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개인\"/>
    </mc:Choice>
  </mc:AlternateContent>
  <xr:revisionPtr revIDLastSave="0" documentId="13_ncr:1_{43D5090A-EF6B-4742-B84D-A65B428D3EDF}" xr6:coauthVersionLast="36" xr6:coauthVersionMax="36" xr10:uidLastSave="{00000000-0000-0000-0000-000000000000}"/>
  <bookViews>
    <workbookView xWindow="0" yWindow="0" windowWidth="28800" windowHeight="12180" activeTab="4" xr2:uid="{00000000-000D-0000-FFFF-FFFF00000000}"/>
  </bookViews>
  <sheets>
    <sheet name="83~84" sheetId="1" r:id="rId1"/>
    <sheet name="57~59" sheetId="2" r:id="rId2"/>
    <sheet name="60~82" sheetId="3" r:id="rId3"/>
    <sheet name="~56" sheetId="4" r:id="rId4"/>
    <sheet name="전체" sheetId="5" r:id="rId5"/>
    <sheet name="신축(2016~)" sheetId="6" r:id="rId6"/>
    <sheet name="준신축(2008~)" sheetId="7" r:id="rId7"/>
    <sheet name="준구축(2000~)" sheetId="8" r:id="rId8"/>
    <sheet name="구축(1990~)" sheetId="9" r:id="rId9"/>
    <sheet name="83-84 그루핑" sheetId="10" r:id="rId10"/>
    <sheet name="58-59 그루핑" sheetId="11" r:id="rId11"/>
    <sheet name="만든이" sheetId="12" r:id="rId12"/>
  </sheets>
  <calcPr calcId="191029"/>
</workbook>
</file>

<file path=xl/calcChain.xml><?xml version="1.0" encoding="utf-8"?>
<calcChain xmlns="http://schemas.openxmlformats.org/spreadsheetml/2006/main">
  <c r="G202" i="9" l="1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<sst xmlns="http://schemas.openxmlformats.org/spreadsheetml/2006/main" count="13532" uniqueCount="711">
  <si>
    <t>아파트번호</t>
  </si>
  <si>
    <t>시</t>
  </si>
  <si>
    <t>군구</t>
  </si>
  <si>
    <t>동</t>
  </si>
  <si>
    <t>이름</t>
  </si>
  <si>
    <t>네이버부동산</t>
  </si>
  <si>
    <t>준공연도</t>
  </si>
  <si>
    <t>준공월</t>
  </si>
  <si>
    <t>세대수</t>
  </si>
  <si>
    <t>전용면적</t>
  </si>
  <si>
    <t>현관구조</t>
  </si>
  <si>
    <t>구조</t>
  </si>
  <si>
    <t>매매타입</t>
  </si>
  <si>
    <t>매매</t>
  </si>
  <si>
    <t>전세타입</t>
  </si>
  <si>
    <t>전세</t>
  </si>
  <si>
    <t>투자금</t>
  </si>
  <si>
    <t>전세가율</t>
  </si>
  <si>
    <t>최고가</t>
  </si>
  <si>
    <t>전고점 대비</t>
  </si>
  <si>
    <t>공시지가</t>
  </si>
  <si>
    <t>공시지가대비매매가</t>
  </si>
  <si>
    <t>최고가 순위</t>
  </si>
  <si>
    <t>매매가 순위</t>
  </si>
  <si>
    <t>순위변동</t>
  </si>
  <si>
    <t>수집일</t>
  </si>
  <si>
    <t>경기도</t>
  </si>
  <si>
    <t>안양시 동안구</t>
  </si>
  <si>
    <t>호계동</t>
  </si>
  <si>
    <t>관양동</t>
  </si>
  <si>
    <t>평촌동</t>
  </si>
  <si>
    <t>비산동</t>
  </si>
  <si>
    <t>평촌센텀퍼스트</t>
  </si>
  <si>
    <t>평촌더샵센트럴시티</t>
  </si>
  <si>
    <t>평촌트리지아</t>
  </si>
  <si>
    <t>힐스테이트인덕원역베르텍스</t>
  </si>
  <si>
    <t>향촌롯데</t>
  </si>
  <si>
    <t>평촌더샵아이파크</t>
  </si>
  <si>
    <t>평촌래미안푸르지오</t>
  </si>
  <si>
    <t>향촌현대4차</t>
  </si>
  <si>
    <t>평촌엘프라우드</t>
  </si>
  <si>
    <t>향촌현대5차</t>
  </si>
  <si>
    <t>꿈라이프</t>
  </si>
  <si>
    <t>인덕원마을삼성</t>
  </si>
  <si>
    <t>뉴타운4차</t>
  </si>
  <si>
    <t>평촌자이아이파크</t>
  </si>
  <si>
    <t>평촌어바인퍼스트</t>
  </si>
  <si>
    <t>동편마을3단지</t>
  </si>
  <si>
    <t>무궁화경남</t>
  </si>
  <si>
    <t>은하수(신성)</t>
  </si>
  <si>
    <t>초원2단지대림</t>
  </si>
  <si>
    <t>뉴타운1,2,3차</t>
  </si>
  <si>
    <t>무궁화금호</t>
  </si>
  <si>
    <t>은하수(벽산)</t>
  </si>
  <si>
    <t>초원1단지성원</t>
  </si>
  <si>
    <t>은하수(청구)</t>
  </si>
  <si>
    <t>초원3단지대원</t>
  </si>
  <si>
    <t>샛별한양2,3단지</t>
  </si>
  <si>
    <t>뉴타운5차</t>
  </si>
  <si>
    <t>인덕원센트럴푸르지오</t>
  </si>
  <si>
    <t>초원5단지LG</t>
  </si>
  <si>
    <t>한가람삼성</t>
  </si>
  <si>
    <t>한가람한양</t>
  </si>
  <si>
    <t>한가람두산</t>
  </si>
  <si>
    <t>초원6단지한양</t>
  </si>
  <si>
    <t>무궁화효성,한양</t>
  </si>
  <si>
    <t>인덕원대림2차</t>
  </si>
  <si>
    <t>비산e-편한세상</t>
  </si>
  <si>
    <t>평촌두산위브더프라임</t>
  </si>
  <si>
    <t>평촌두산위브리버뷰</t>
  </si>
  <si>
    <t>금정역호계푸르지오</t>
  </si>
  <si>
    <t>현대</t>
  </si>
  <si>
    <t>호계현대홈타운1차</t>
  </si>
  <si>
    <t>무궁화진흥</t>
  </si>
  <si>
    <t>비산한화꿈에그린</t>
  </si>
  <si>
    <t>인덕원메트로빌(주상복합)</t>
  </si>
  <si>
    <t>관악(부영)</t>
  </si>
  <si>
    <t>래미안인덕원더포인트</t>
  </si>
  <si>
    <t>삼호</t>
  </si>
  <si>
    <t>무궁화코오롱</t>
  </si>
  <si>
    <t>관악(동성,현대,청구)</t>
  </si>
  <si>
    <t>비산삼성래미안</t>
  </si>
  <si>
    <t>리버빌</t>
  </si>
  <si>
    <t>신일해피트리</t>
  </si>
  <si>
    <t>안양임곡휴먼시아</t>
  </si>
  <si>
    <t>무궁화건영</t>
  </si>
  <si>
    <t>호계럭키</t>
  </si>
  <si>
    <t>인덕원대림1차</t>
  </si>
  <si>
    <t>한마음1단지</t>
  </si>
  <si>
    <t>무궁화태영</t>
  </si>
  <si>
    <t>호계현대홈타운2차</t>
  </si>
  <si>
    <t>호계e-편한세상</t>
  </si>
  <si>
    <t>푸른마을삼성</t>
  </si>
  <si>
    <t>호계동원베네스트</t>
  </si>
  <si>
    <t>영풍</t>
  </si>
  <si>
    <t>HHI브라운빌3차</t>
  </si>
  <si>
    <t>흥화브라운빌</t>
  </si>
  <si>
    <t>한일미래</t>
  </si>
  <si>
    <t>호계신성미소지움</t>
  </si>
  <si>
    <t>대광로제비앙(주상복합)</t>
  </si>
  <si>
    <t>진성베가타운(주상복합)</t>
  </si>
  <si>
    <t>안양비산대주파크빌</t>
  </si>
  <si>
    <t>더포레스트힐</t>
  </si>
  <si>
    <t>호계금호</t>
  </si>
  <si>
    <t>천평대</t>
  </si>
  <si>
    <t>호계신도브래뉴</t>
  </si>
  <si>
    <t>호계임광그대가</t>
  </si>
  <si>
    <t>평촌더힐즈</t>
  </si>
  <si>
    <t>호계효성</t>
  </si>
  <si>
    <t>호계금호어울림</t>
  </si>
  <si>
    <t>아리랑타워</t>
  </si>
  <si>
    <t>비산화성파크드림(주상복합)</t>
  </si>
  <si>
    <t>성원</t>
  </si>
  <si>
    <t>삼아(118-5)</t>
  </si>
  <si>
    <t>흥화</t>
  </si>
  <si>
    <t>호계마젤란21</t>
  </si>
  <si>
    <t>호계미원</t>
  </si>
  <si>
    <t>동양월드타워(주상복합)</t>
  </si>
  <si>
    <t>양우내안애팰리스(주상복합)</t>
  </si>
  <si>
    <t>범계마을LD</t>
  </si>
  <si>
    <t>호산</t>
  </si>
  <si>
    <t>삼익(주상복합)</t>
  </si>
  <si>
    <t>일신(920-4)</t>
  </si>
  <si>
    <t>호계아크로리버(주상복합)</t>
  </si>
  <si>
    <t>호계현대</t>
  </si>
  <si>
    <t>리치밸리(주상복합)</t>
  </si>
  <si>
    <t>일신건영장미</t>
  </si>
  <si>
    <t>삼호우주</t>
  </si>
  <si>
    <t>서안이노빌(주상복합)</t>
  </si>
  <si>
    <t>금호</t>
  </si>
  <si>
    <t>이룸렉스힐(주상복합)</t>
  </si>
  <si>
    <t>우양파크빌</t>
  </si>
  <si>
    <t>미륭</t>
  </si>
  <si>
    <t>에덴</t>
  </si>
  <si>
    <t>관보프라자(주상복합)</t>
  </si>
  <si>
    <t>계단식</t>
  </si>
  <si>
    <t>복도식</t>
  </si>
  <si>
    <t>방3화2</t>
  </si>
  <si>
    <t>방3화1</t>
  </si>
  <si>
    <t>방4화2</t>
  </si>
  <si>
    <t>110A</t>
  </si>
  <si>
    <t>113C</t>
  </si>
  <si>
    <t>111A</t>
  </si>
  <si>
    <t>111</t>
  </si>
  <si>
    <t>110</t>
  </si>
  <si>
    <t>112A</t>
  </si>
  <si>
    <t>115B</t>
  </si>
  <si>
    <t>106</t>
  </si>
  <si>
    <t>105</t>
  </si>
  <si>
    <t>107A</t>
  </si>
  <si>
    <t>103</t>
  </si>
  <si>
    <t>112B</t>
  </si>
  <si>
    <t>114A</t>
  </si>
  <si>
    <t>111D</t>
  </si>
  <si>
    <t>106S</t>
  </si>
  <si>
    <t>104</t>
  </si>
  <si>
    <t>105A</t>
  </si>
  <si>
    <t>102</t>
  </si>
  <si>
    <t>107B</t>
  </si>
  <si>
    <t>102S</t>
  </si>
  <si>
    <t>108</t>
  </si>
  <si>
    <t>107</t>
  </si>
  <si>
    <t>106B</t>
  </si>
  <si>
    <t>109</t>
  </si>
  <si>
    <t>111F</t>
  </si>
  <si>
    <t>108B</t>
  </si>
  <si>
    <t>120B</t>
  </si>
  <si>
    <t>117</t>
  </si>
  <si>
    <t>109B</t>
  </si>
  <si>
    <t>96</t>
  </si>
  <si>
    <t>105B</t>
  </si>
  <si>
    <t>101</t>
  </si>
  <si>
    <t>100A</t>
  </si>
  <si>
    <t>113A</t>
  </si>
  <si>
    <t>113</t>
  </si>
  <si>
    <t>106A</t>
  </si>
  <si>
    <t>115A</t>
  </si>
  <si>
    <t>110B</t>
  </si>
  <si>
    <t>110G</t>
  </si>
  <si>
    <t>134</t>
  </si>
  <si>
    <t>112E</t>
  </si>
  <si>
    <t>100</t>
  </si>
  <si>
    <t>114B</t>
  </si>
  <si>
    <t>114</t>
  </si>
  <si>
    <t>109A</t>
  </si>
  <si>
    <t>121</t>
  </si>
  <si>
    <t>112</t>
  </si>
  <si>
    <t>115</t>
  </si>
  <si>
    <t>96B</t>
  </si>
  <si>
    <t>98</t>
  </si>
  <si>
    <t>90B</t>
  </si>
  <si>
    <t>115A2</t>
  </si>
  <si>
    <t>111E</t>
  </si>
  <si>
    <t>106C</t>
  </si>
  <si>
    <t>110C</t>
  </si>
  <si>
    <t>108C</t>
  </si>
  <si>
    <t>111B</t>
  </si>
  <si>
    <t>105C</t>
  </si>
  <si>
    <t>2025/01/16</t>
  </si>
  <si>
    <t>2025/01/02</t>
  </si>
  <si>
    <t>2024/11/28</t>
  </si>
  <si>
    <t>2024/11/21</t>
  </si>
  <si>
    <t>2024/10/03</t>
  </si>
  <si>
    <t>2024/10/31</t>
  </si>
  <si>
    <t>2024/10/09</t>
  </si>
  <si>
    <t>2024/12/12</t>
  </si>
  <si>
    <t>2024/01/11</t>
  </si>
  <si>
    <t>2024/09/05</t>
  </si>
  <si>
    <t>2023/06/29</t>
  </si>
  <si>
    <t>백운</t>
  </si>
  <si>
    <t>진성</t>
  </si>
  <si>
    <t>평촌어바인퍼스트더샵</t>
  </si>
  <si>
    <t>목련5단지</t>
  </si>
  <si>
    <t>평촌트루엘파크</t>
  </si>
  <si>
    <t>한미</t>
  </si>
  <si>
    <t>힐스테이트비산파크뷰</t>
  </si>
  <si>
    <t>목련2단지</t>
  </si>
  <si>
    <t>한양수자인평촌리버뷰</t>
  </si>
  <si>
    <t>미래센트럴타워(주상복합)</t>
  </si>
  <si>
    <t>공작성일</t>
  </si>
  <si>
    <t>은하수,샛별5,6단지</t>
  </si>
  <si>
    <t>평촌대성유니드</t>
  </si>
  <si>
    <t>한가람신라</t>
  </si>
  <si>
    <t>비산힐스테이트</t>
  </si>
  <si>
    <t>아리랑맨션2차</t>
  </si>
  <si>
    <t>남광2차</t>
  </si>
  <si>
    <t>원주</t>
  </si>
  <si>
    <t>뉴골든</t>
  </si>
  <si>
    <t>아리랑5차</t>
  </si>
  <si>
    <t>루미에르(주상복합)</t>
  </si>
  <si>
    <t>호계더카운티</t>
  </si>
  <si>
    <t>유환3차</t>
  </si>
  <si>
    <t>서부인터빌</t>
  </si>
  <si>
    <t>영풍(주상복합)</t>
  </si>
  <si>
    <t>삼성원시티(주상복합)</t>
  </si>
  <si>
    <t>방2화1</t>
  </si>
  <si>
    <t>방1화1</t>
  </si>
  <si>
    <t>86</t>
  </si>
  <si>
    <t>63</t>
  </si>
  <si>
    <t>81B</t>
  </si>
  <si>
    <t>82A</t>
  </si>
  <si>
    <t>83B</t>
  </si>
  <si>
    <t>62C</t>
  </si>
  <si>
    <t>83A</t>
  </si>
  <si>
    <t>86A</t>
  </si>
  <si>
    <t>75</t>
  </si>
  <si>
    <t>79A</t>
  </si>
  <si>
    <t>78</t>
  </si>
  <si>
    <t>74</t>
  </si>
  <si>
    <t>85A</t>
  </si>
  <si>
    <t>77</t>
  </si>
  <si>
    <t>84B</t>
  </si>
  <si>
    <t>81A</t>
  </si>
  <si>
    <t>84C</t>
  </si>
  <si>
    <t>76</t>
  </si>
  <si>
    <t>76S</t>
  </si>
  <si>
    <t>85C</t>
  </si>
  <si>
    <t>63B</t>
  </si>
  <si>
    <t>79</t>
  </si>
  <si>
    <t>88</t>
  </si>
  <si>
    <t>84A</t>
  </si>
  <si>
    <t>82B</t>
  </si>
  <si>
    <t>81E</t>
  </si>
  <si>
    <t>81</t>
  </si>
  <si>
    <t>73B</t>
  </si>
  <si>
    <t>80A1</t>
  </si>
  <si>
    <t>83</t>
  </si>
  <si>
    <t>82</t>
  </si>
  <si>
    <t>70</t>
  </si>
  <si>
    <t>79B</t>
  </si>
  <si>
    <t>85</t>
  </si>
  <si>
    <t>80</t>
  </si>
  <si>
    <t>84</t>
  </si>
  <si>
    <t>61A</t>
  </si>
  <si>
    <t>78B</t>
  </si>
  <si>
    <t>78E</t>
  </si>
  <si>
    <t>71B</t>
  </si>
  <si>
    <t>65</t>
  </si>
  <si>
    <t>69B</t>
  </si>
  <si>
    <t>68A</t>
  </si>
  <si>
    <t>66B</t>
  </si>
  <si>
    <t>84H</t>
  </si>
  <si>
    <t>85B</t>
  </si>
  <si>
    <t>81C</t>
  </si>
  <si>
    <t>78A</t>
  </si>
  <si>
    <t>71A</t>
  </si>
  <si>
    <t>64C</t>
  </si>
  <si>
    <t>2025/01/09</t>
  </si>
  <si>
    <t>2024/12/26</t>
  </si>
  <si>
    <t>2023/09/21</t>
  </si>
  <si>
    <t>2024/06/21</t>
  </si>
  <si>
    <t>2023/07/06</t>
  </si>
  <si>
    <t>귀인마을현대홈타운</t>
  </si>
  <si>
    <t>경남</t>
  </si>
  <si>
    <t>무지개</t>
  </si>
  <si>
    <t>뉴타운6차</t>
  </si>
  <si>
    <t>비산한신더휴</t>
  </si>
  <si>
    <t>초원7단지부영</t>
  </si>
  <si>
    <t>목련</t>
  </si>
  <si>
    <t>인덕원관양뜰</t>
  </si>
  <si>
    <t>대도</t>
  </si>
  <si>
    <t>비산롯데캐슬</t>
  </si>
  <si>
    <t>한마음2단지</t>
  </si>
  <si>
    <t>개성하이뷰(주상복합)</t>
  </si>
  <si>
    <t>공작부영</t>
  </si>
  <si>
    <t>렉스타워(주상복합)</t>
  </si>
  <si>
    <t>개성하이빌(주상복합)</t>
  </si>
  <si>
    <t>평촌신원아침도시</t>
  </si>
  <si>
    <t>개성하이빌2(주상복합)</t>
  </si>
  <si>
    <t>현암</t>
  </si>
  <si>
    <t>바우</t>
  </si>
  <si>
    <t>이너스내안에</t>
  </si>
  <si>
    <t>유포그니</t>
  </si>
  <si>
    <t>남광</t>
  </si>
  <si>
    <t>진우</t>
  </si>
  <si>
    <t>해오름</t>
  </si>
  <si>
    <t>주상퍼스트</t>
  </si>
  <si>
    <t>청광플러스원</t>
  </si>
  <si>
    <t>삼천리</t>
  </si>
  <si>
    <t>수정</t>
  </si>
  <si>
    <t>렉스타운(주상복합)</t>
  </si>
  <si>
    <t>다미안(주상복합)</t>
  </si>
  <si>
    <t>동산</t>
  </si>
  <si>
    <t>늘해랑(주상복합)</t>
  </si>
  <si>
    <t>강남6차</t>
  </si>
  <si>
    <t>수성드림빌</t>
  </si>
  <si>
    <t>코오롱동산타워(주상복합)</t>
  </si>
  <si>
    <t>해밀리안</t>
  </si>
  <si>
    <t>블루오션(주상복합)</t>
  </si>
  <si>
    <t>미래타운(주상복합)</t>
  </si>
  <si>
    <t>대경시실리(주상복합)</t>
  </si>
  <si>
    <t>유환프라자(주상복합)</t>
  </si>
  <si>
    <t>골든</t>
  </si>
  <si>
    <t>청담밸리체3</t>
  </si>
  <si>
    <t>샘대우한양</t>
  </si>
  <si>
    <t>덕원</t>
  </si>
  <si>
    <t>복합식</t>
  </si>
  <si>
    <t>방3화2(다양)</t>
  </si>
  <si>
    <t>방2화2</t>
  </si>
  <si>
    <t>68</t>
  </si>
  <si>
    <t>77B</t>
  </si>
  <si>
    <t>92</t>
  </si>
  <si>
    <t>97</t>
  </si>
  <si>
    <t>99</t>
  </si>
  <si>
    <t>98A</t>
  </si>
  <si>
    <t>75D</t>
  </si>
  <si>
    <t>94</t>
  </si>
  <si>
    <t>92G</t>
  </si>
  <si>
    <t>95</t>
  </si>
  <si>
    <t>99B</t>
  </si>
  <si>
    <t>95A</t>
  </si>
  <si>
    <t>88A</t>
  </si>
  <si>
    <t>66A</t>
  </si>
  <si>
    <t>104A</t>
  </si>
  <si>
    <t>118A</t>
  </si>
  <si>
    <t>74B</t>
  </si>
  <si>
    <t>74A</t>
  </si>
  <si>
    <t>101E</t>
  </si>
  <si>
    <t>89</t>
  </si>
  <si>
    <t>91</t>
  </si>
  <si>
    <t>92B</t>
  </si>
  <si>
    <t>93</t>
  </si>
  <si>
    <t>90</t>
  </si>
  <si>
    <t>86BP</t>
  </si>
  <si>
    <t>80B</t>
  </si>
  <si>
    <t>102A</t>
  </si>
  <si>
    <t>96A</t>
  </si>
  <si>
    <t>90A</t>
  </si>
  <si>
    <t>75B</t>
  </si>
  <si>
    <t>107C</t>
  </si>
  <si>
    <t>73A</t>
  </si>
  <si>
    <t>72</t>
  </si>
  <si>
    <t>89A</t>
  </si>
  <si>
    <t>92A</t>
  </si>
  <si>
    <t>87</t>
  </si>
  <si>
    <t>97A</t>
  </si>
  <si>
    <t>77A</t>
  </si>
  <si>
    <t>102F</t>
  </si>
  <si>
    <t>86B</t>
  </si>
  <si>
    <t>98B</t>
  </si>
  <si>
    <t>94C</t>
  </si>
  <si>
    <t>97B</t>
  </si>
  <si>
    <t>78C</t>
  </si>
  <si>
    <t>91A</t>
  </si>
  <si>
    <t>72A</t>
  </si>
  <si>
    <t>69</t>
  </si>
  <si>
    <t>76B</t>
  </si>
  <si>
    <t>2024/10/17</t>
  </si>
  <si>
    <t>2024/12/05</t>
  </si>
  <si>
    <t>2023/06/13</t>
  </si>
  <si>
    <t>2023/08/03</t>
  </si>
  <si>
    <t>2024/07/25</t>
  </si>
  <si>
    <t>2024/05/16</t>
  </si>
  <si>
    <t>2024/11/14</t>
  </si>
  <si>
    <t>2024/05/02</t>
  </si>
  <si>
    <t>2024/08/29</t>
  </si>
  <si>
    <t>2023/11/23</t>
  </si>
  <si>
    <t>2024/04/18</t>
  </si>
  <si>
    <t>2024/02/01</t>
  </si>
  <si>
    <t>2024/08/01</t>
  </si>
  <si>
    <t>2024/06/14</t>
  </si>
  <si>
    <t>2023/12/21</t>
  </si>
  <si>
    <t>2023/12/14</t>
  </si>
  <si>
    <t>2024/09/12</t>
  </si>
  <si>
    <t>2023/10/19</t>
  </si>
  <si>
    <t>2024/09/26</t>
  </si>
  <si>
    <t>2024/05/09</t>
  </si>
  <si>
    <t>2024/07/11</t>
  </si>
  <si>
    <t>2024/11/08</t>
  </si>
  <si>
    <t>2024/02/08</t>
  </si>
  <si>
    <t>2024/07/05</t>
  </si>
  <si>
    <t>2023/11/30</t>
  </si>
  <si>
    <t>2023/07/20</t>
  </si>
  <si>
    <t>2023/05/25</t>
  </si>
  <si>
    <t>유환1차</t>
  </si>
  <si>
    <t>신라(915)</t>
  </si>
  <si>
    <t>덕원8차</t>
  </si>
  <si>
    <t>청운</t>
  </si>
  <si>
    <t>서진스테이뷰(도시형)</t>
  </si>
  <si>
    <t>목련3단지</t>
  </si>
  <si>
    <t>영화</t>
  </si>
  <si>
    <t>초원8단지세경</t>
  </si>
  <si>
    <t>신라</t>
  </si>
  <si>
    <t>부림</t>
  </si>
  <si>
    <t>한가람세경</t>
  </si>
  <si>
    <t>공작럭키</t>
  </si>
  <si>
    <t>상남</t>
  </si>
  <si>
    <t>덕원맨숀7차</t>
  </si>
  <si>
    <t>신태양</t>
  </si>
  <si>
    <t>청도</t>
  </si>
  <si>
    <t>관악(성원)</t>
  </si>
  <si>
    <t>정화</t>
  </si>
  <si>
    <t>샛별한양1단지</t>
  </si>
  <si>
    <t>덕원맨숀</t>
  </si>
  <si>
    <t>아리랑3차</t>
  </si>
  <si>
    <t>대화</t>
  </si>
  <si>
    <t>아리랑1차</t>
  </si>
  <si>
    <t>아리랑6차</t>
  </si>
  <si>
    <t>미성</t>
  </si>
  <si>
    <t>삼덕</t>
  </si>
  <si>
    <t>양수</t>
  </si>
  <si>
    <t>장미</t>
  </si>
  <si>
    <t>성도</t>
  </si>
  <si>
    <t>대명</t>
  </si>
  <si>
    <t>한솔(도시형)</t>
  </si>
  <si>
    <t>태하</t>
  </si>
  <si>
    <t>세기파크뷰(도시형)</t>
  </si>
  <si>
    <t>한스하임(도시형)</t>
  </si>
  <si>
    <t>리츠팰리스(도시형)</t>
  </si>
  <si>
    <t>파인빌(도시형)</t>
  </si>
  <si>
    <t>디와이타운(주상복합)</t>
  </si>
  <si>
    <t>호계타운(도시형)</t>
  </si>
  <si>
    <t>일진</t>
  </si>
  <si>
    <t>헤이븐(도시형)</t>
  </si>
  <si>
    <t>49B</t>
  </si>
  <si>
    <t>53B</t>
  </si>
  <si>
    <t>53A</t>
  </si>
  <si>
    <t>74C</t>
  </si>
  <si>
    <t>34</t>
  </si>
  <si>
    <t>61D</t>
  </si>
  <si>
    <t>69A</t>
  </si>
  <si>
    <t>66</t>
  </si>
  <si>
    <t>60A</t>
  </si>
  <si>
    <t>73</t>
  </si>
  <si>
    <t>61B</t>
  </si>
  <si>
    <t>70A</t>
  </si>
  <si>
    <t>67</t>
  </si>
  <si>
    <t>67C</t>
  </si>
  <si>
    <t>71</t>
  </si>
  <si>
    <t>64</t>
  </si>
  <si>
    <t>54A</t>
  </si>
  <si>
    <t>57B</t>
  </si>
  <si>
    <t>55</t>
  </si>
  <si>
    <t>51</t>
  </si>
  <si>
    <t>56</t>
  </si>
  <si>
    <t>60</t>
  </si>
  <si>
    <t>51D</t>
  </si>
  <si>
    <t>54</t>
  </si>
  <si>
    <t>65A</t>
  </si>
  <si>
    <t>58</t>
  </si>
  <si>
    <t>58A</t>
  </si>
  <si>
    <t>63A</t>
  </si>
  <si>
    <t>62A</t>
  </si>
  <si>
    <t>57A</t>
  </si>
  <si>
    <t>57</t>
  </si>
  <si>
    <t>59</t>
  </si>
  <si>
    <t>56B</t>
  </si>
  <si>
    <t>61</t>
  </si>
  <si>
    <t>46</t>
  </si>
  <si>
    <t>48</t>
  </si>
  <si>
    <t>52</t>
  </si>
  <si>
    <t>50</t>
  </si>
  <si>
    <t>51A</t>
  </si>
  <si>
    <t>60B</t>
  </si>
  <si>
    <t>62</t>
  </si>
  <si>
    <t>43</t>
  </si>
  <si>
    <t>50B</t>
  </si>
  <si>
    <t>54B</t>
  </si>
  <si>
    <t>59B</t>
  </si>
  <si>
    <t>47C</t>
  </si>
  <si>
    <t>47</t>
  </si>
  <si>
    <t>50A</t>
  </si>
  <si>
    <t>38</t>
  </si>
  <si>
    <t>45A</t>
  </si>
  <si>
    <t>36</t>
  </si>
  <si>
    <t>40A</t>
  </si>
  <si>
    <t>23A</t>
  </si>
  <si>
    <t>24B</t>
  </si>
  <si>
    <t>21</t>
  </si>
  <si>
    <t>25A</t>
  </si>
  <si>
    <t>21A</t>
  </si>
  <si>
    <t>18</t>
  </si>
  <si>
    <t>29</t>
  </si>
  <si>
    <t>68B</t>
  </si>
  <si>
    <t>49</t>
  </si>
  <si>
    <t>21B</t>
  </si>
  <si>
    <t>56A</t>
  </si>
  <si>
    <t>42</t>
  </si>
  <si>
    <t>17B</t>
  </si>
  <si>
    <t>17A</t>
  </si>
  <si>
    <t>45B</t>
  </si>
  <si>
    <t>2024/03/21</t>
  </si>
  <si>
    <t>2024/05/30</t>
  </si>
  <si>
    <t>2023/06/09</t>
  </si>
  <si>
    <t>2024/07/20</t>
  </si>
  <si>
    <t>2024/01/04</t>
  </si>
  <si>
    <t>2024/02/29</t>
  </si>
  <si>
    <t>2024/04/04</t>
  </si>
  <si>
    <t>2023/07/27</t>
  </si>
  <si>
    <t>목련6단지</t>
  </si>
  <si>
    <t>꿈우성</t>
  </si>
  <si>
    <t>목련7단지</t>
  </si>
  <si>
    <t>목련1단지</t>
  </si>
  <si>
    <t>꿈금호</t>
  </si>
  <si>
    <t>평촌e-편한세상</t>
  </si>
  <si>
    <t>꿈현대</t>
  </si>
  <si>
    <t>꿈건영3단지</t>
  </si>
  <si>
    <t>꿈한신</t>
  </si>
  <si>
    <t>꿈건영5단지</t>
  </si>
  <si>
    <t>동편마을4단지</t>
  </si>
  <si>
    <t>샘쌍용</t>
  </si>
  <si>
    <t>목련9단지</t>
  </si>
  <si>
    <t>현대맨션1차</t>
  </si>
  <si>
    <t>목련8단지</t>
  </si>
  <si>
    <t>꿈동아</t>
  </si>
  <si>
    <t>샘마을임광</t>
  </si>
  <si>
    <t>샘우방</t>
  </si>
  <si>
    <t>안양대우디오슈페리움(주상복합)</t>
  </si>
  <si>
    <t>신송프라자(주상복합)</t>
  </si>
  <si>
    <t>관양타워</t>
  </si>
  <si>
    <t>계단식(다양)</t>
  </si>
  <si>
    <t>방5화2</t>
  </si>
  <si>
    <t>방6화3</t>
  </si>
  <si>
    <t>방6화2</t>
  </si>
  <si>
    <t>방5화3</t>
  </si>
  <si>
    <t>193</t>
  </si>
  <si>
    <t>184</t>
  </si>
  <si>
    <t>149</t>
  </si>
  <si>
    <t>187</t>
  </si>
  <si>
    <t>194</t>
  </si>
  <si>
    <t>157</t>
  </si>
  <si>
    <t>177</t>
  </si>
  <si>
    <t>187A</t>
  </si>
  <si>
    <t>217</t>
  </si>
  <si>
    <t>176A</t>
  </si>
  <si>
    <t>187B</t>
  </si>
  <si>
    <t>186</t>
  </si>
  <si>
    <t>167</t>
  </si>
  <si>
    <t>201</t>
  </si>
  <si>
    <t>158</t>
  </si>
  <si>
    <t>156</t>
  </si>
  <si>
    <t>155</t>
  </si>
  <si>
    <t>142</t>
  </si>
  <si>
    <t>171Y</t>
  </si>
  <si>
    <t>141</t>
  </si>
  <si>
    <t>205</t>
  </si>
  <si>
    <t>176</t>
  </si>
  <si>
    <t>188</t>
  </si>
  <si>
    <t>127</t>
  </si>
  <si>
    <t>152C</t>
  </si>
  <si>
    <t>128B</t>
  </si>
  <si>
    <t>145</t>
  </si>
  <si>
    <t>195</t>
  </si>
  <si>
    <t>198A</t>
  </si>
  <si>
    <t>151</t>
  </si>
  <si>
    <t>128A</t>
  </si>
  <si>
    <t>122</t>
  </si>
  <si>
    <t>139E</t>
  </si>
  <si>
    <t>119</t>
  </si>
  <si>
    <t>138A</t>
  </si>
  <si>
    <t>123</t>
  </si>
  <si>
    <t>128</t>
  </si>
  <si>
    <t>191</t>
  </si>
  <si>
    <t>120</t>
  </si>
  <si>
    <t>126</t>
  </si>
  <si>
    <t>126BN</t>
  </si>
  <si>
    <t>160</t>
  </si>
  <si>
    <t>131</t>
  </si>
  <si>
    <t>169</t>
  </si>
  <si>
    <t>162B</t>
  </si>
  <si>
    <t>136</t>
  </si>
  <si>
    <t>148</t>
  </si>
  <si>
    <t>153A</t>
  </si>
  <si>
    <t>138</t>
  </si>
  <si>
    <t>164</t>
  </si>
  <si>
    <t>213</t>
  </si>
  <si>
    <t>199</t>
  </si>
  <si>
    <t>173B</t>
  </si>
  <si>
    <t>123B</t>
  </si>
  <si>
    <t>144</t>
  </si>
  <si>
    <t>95C</t>
  </si>
  <si>
    <t>150A</t>
  </si>
  <si>
    <t>151B</t>
  </si>
  <si>
    <t>171</t>
  </si>
  <si>
    <t>93C</t>
  </si>
  <si>
    <t>172</t>
  </si>
  <si>
    <t>106N</t>
  </si>
  <si>
    <t>162</t>
  </si>
  <si>
    <t>159</t>
  </si>
  <si>
    <t>129</t>
  </si>
  <si>
    <t>143</t>
  </si>
  <si>
    <t>154</t>
  </si>
  <si>
    <t>92J</t>
  </si>
  <si>
    <t>172B</t>
  </si>
  <si>
    <t>214</t>
  </si>
  <si>
    <t>150B</t>
  </si>
  <si>
    <t>163</t>
  </si>
  <si>
    <t>140A</t>
  </si>
  <si>
    <t>181</t>
  </si>
  <si>
    <t>133</t>
  </si>
  <si>
    <t>142B</t>
  </si>
  <si>
    <t>130</t>
  </si>
  <si>
    <t>113D</t>
  </si>
  <si>
    <t>140</t>
  </si>
  <si>
    <t>111C</t>
  </si>
  <si>
    <t>192</t>
  </si>
  <si>
    <t>94B</t>
  </si>
  <si>
    <t>124</t>
  </si>
  <si>
    <t>171X</t>
  </si>
  <si>
    <t>126A</t>
  </si>
  <si>
    <t>172A</t>
  </si>
  <si>
    <t>123A</t>
  </si>
  <si>
    <t>108A</t>
  </si>
  <si>
    <t>2024/08/15</t>
  </si>
  <si>
    <t>2024/08/07</t>
  </si>
  <si>
    <t>2023/08/24</t>
  </si>
  <si>
    <t>안양시 동안구 호계동</t>
  </si>
  <si>
    <t>안양시 동안구 비산동</t>
  </si>
  <si>
    <t>안양시 동안구 평촌동</t>
  </si>
  <si>
    <t>안양시 동안구 관양동</t>
  </si>
  <si>
    <t xml:space="preserve">평촌센텀퍼스트 23' 12.7_x000D_
평촌트리지아 24' 12.0_x000D_
</t>
  </si>
  <si>
    <t xml:space="preserve">평촌더샵아이파크 19' 11.5_x000D_
</t>
  </si>
  <si>
    <t xml:space="preserve">평촌어바인퍼스트 21' 9.8_x000D_
무궁화경남 94' 9.5_x000D_
무궁화금호 92' 9.0_x000D_
</t>
  </si>
  <si>
    <t xml:space="preserve">무궁화효성,한양 92' 7.8_x000D_
평촌두산위브더프라임 25' 7.8_x000D_
평촌두산위브리버뷰 22' 7.7_x000D_
금정역호계푸르지오 15' 7.7_x000D_
호계현대홈타운1차 02' 7.5_x000D_
무궁화진흥 92' 7.5_x000D_
</t>
  </si>
  <si>
    <t xml:space="preserve">무궁화코오롱 92' 6.8_x000D_
무궁화건영 92' 6.5_x000D_
호계럭키 92' 6.2_x000D_
한마음1단지 99' 6.2_x000D_
무궁화태영 92' 6.0_x000D_
호계현대홈타운2차 03' 6.0_x000D_
</t>
  </si>
  <si>
    <t xml:space="preserve">호계e-편한세상 03' 5.95_x000D_
푸른마을삼성 99' 5.8_x000D_
호계동원베네스트 06' 5.8_x000D_
HHI브라운빌3차 07' 5.6_x000D_
흥화브라운빌 05' 5.6_x000D_
호계신성미소지움 04' 5.5_x000D_
진성베가타운(주상복합) 05' 5.5_x000D_
호계금호 01' 5.3_x000D_
호계신도브래뉴 04' 5.3_x000D_
호계임광그대가 05' 5.3_x000D_
평촌더힐즈 05' 5.3_x000D_
호계효성 00' 5.2_x000D_
호계금호어울림 12' 5.2_x000D_
</t>
  </si>
  <si>
    <t xml:space="preserve">호계신도브래뉴 04' 4.9_x000D_
흥화 99' 4.8_x000D_
호계마젤란21 06' 4.7_x000D_
호계미원 13' 4.7_x000D_
양우내안애팰리스(주상복합) 09' 4.6_x000D_
범계마을LD 99' 4.5_x000D_
호산 99' 4.5_x000D_
삼익(주상복합) 96' 4.5_x000D_
일신(920-4) 98' 4.5_x000D_
호계아크로리버(주상복합) 07' 4.45_x000D_
호계현대 99' 4.3_x000D_
리치밸리(주상복합) 06' 4.3_x000D_
일신건영장미 00' 4.3_x000D_
삼호우주 94' 4.2_x000D_
서안이노빌(주상복합) 03' 4.0_x000D_
</t>
  </si>
  <si>
    <t xml:space="preserve">금호 00' 3.9_x000D_
이룸렉스힐(주상복합) 15' 3.7_x000D_
우양파크빌 04' 3.7_x000D_
</t>
  </si>
  <si>
    <t xml:space="preserve">평촌래미안푸르지오 22' 11.1_x000D_
평촌엘프라우드 24' 11.0_x000D_
</t>
  </si>
  <si>
    <t xml:space="preserve">뉴타운4차 85' 9.99_x000D_
평촌자이아이파크 21' 9.9_x000D_
은하수(신성) 92' 9.2_x000D_
뉴타운1,2,3차 81' 9.1_x000D_
</t>
  </si>
  <si>
    <t xml:space="preserve">은하수(벽산) 92' 8.8_x000D_
은하수(청구) 92' 8.5_x000D_
샛별한양2,3단지 93' 8.3_x000D_
뉴타운5차 85' 8.3_x000D_
</t>
  </si>
  <si>
    <t xml:space="preserve">비산e-편한세상 08' 7.8_x000D_
비산한화꿈에그린 09' 7.3_x000D_
관악(부영) 93' 7.1_x000D_
삼호 03' 7.0_x000D_
</t>
  </si>
  <si>
    <t xml:space="preserve">관악(동성,현대,청구) 92' 6.8_x000D_
비산삼성래미안 03' 6.8_x000D_
안양임곡휴먼시아 07' 6.5_x000D_
</t>
  </si>
  <si>
    <t xml:space="preserve">대광로제비앙(주상복합) 17' 5.5_x000D_
안양비산대주파크빌 05' 5.48_x000D_
더포레스트힐 03' 5.3_x000D_
비산화성파크드림(주상복합) 14' 5.0_x000D_
</t>
  </si>
  <si>
    <t xml:space="preserve">성원 95' 4.9_x000D_
동양월드타워(주상복합) 00' 4.6_x000D_
</t>
  </si>
  <si>
    <t xml:space="preserve">미륭 79' 3.5_x000D_
</t>
  </si>
  <si>
    <t xml:space="preserve">힐스테이트인덕원역베르텍스 24' 11.9684_x000D_
향촌롯데 93' 11.9_x000D_
향촌현대4차 92' 11.0_x000D_
</t>
  </si>
  <si>
    <t xml:space="preserve">향촌현대5차 93' 10.95_x000D_
꿈라이프 92' 10.5_x000D_
</t>
  </si>
  <si>
    <t xml:space="preserve">초원2단지대림 93' 9.15_x000D_
</t>
  </si>
  <si>
    <t xml:space="preserve">초원1단지성원 92' 8.5_x000D_
초원3단지대원 93' 8.5_x000D_
인덕원센트럴푸르지오 01' 8.2_x000D_
초원5단지LG 93' 8.2_x000D_
</t>
  </si>
  <si>
    <t xml:space="preserve">초원6단지한양 93' 7.8_x000D_
인덕원대림2차 04' 7.8_x000D_
래미안인덕원더포인트 00' 7.0_x000D_
</t>
  </si>
  <si>
    <t xml:space="preserve">인덕원대림1차 00' 6.2_x000D_
</t>
  </si>
  <si>
    <t xml:space="preserve">영풍 00' 5.65_x000D_
한일미래 99' 5.6_x000D_
천평대 03' 5.3_x000D_
</t>
  </si>
  <si>
    <t xml:space="preserve">삼아(118-5) 99' 4.8_x000D_
</t>
  </si>
  <si>
    <t xml:space="preserve">평촌더샵센트럴시티 16' 12.5_x000D_
</t>
  </si>
  <si>
    <t xml:space="preserve">인덕원마을삼성 98' 10.0_x000D_
</t>
  </si>
  <si>
    <t xml:space="preserve">동편마을3단지 12' 9.5_x000D_
</t>
  </si>
  <si>
    <t xml:space="preserve">한가람삼성 95' 8.2_x000D_
한가람한양 95' 8.1_x000D_
</t>
  </si>
  <si>
    <t xml:space="preserve">한가람두산 92' 7.99_x000D_
현대 85' 7.6_x000D_
인덕원메트로빌(주상복합) 00' 7.1_x000D_
</t>
  </si>
  <si>
    <t xml:space="preserve">리버빌 01' 6.7_x000D_
신일해피트리 07' 6.5_x000D_
</t>
  </si>
  <si>
    <t xml:space="preserve">아리랑타워 96' 5.0_x000D_
</t>
  </si>
  <si>
    <t xml:space="preserve">백운 88' 14.5_x000D_
</t>
  </si>
  <si>
    <t xml:space="preserve">평촌더샵아이파크 19' 9.0_x000D_
평촌센텀퍼스트 23' 9.0_x000D_
</t>
  </si>
  <si>
    <t xml:space="preserve">평촌트리지아 24' 8.5_x000D_
</t>
  </si>
  <si>
    <t xml:space="preserve">평촌어바인퍼스트 21' 7.8_x000D_
평촌어바인퍼스트더샵 24' 7.37_x000D_
목련5단지 93' 7.2_x000D_
평촌트루엘파크 18' 7.1_x000D_
</t>
  </si>
  <si>
    <t xml:space="preserve">호계현대홈타운1차 02' 6.8_x000D_
무궁화금호 92' 6.5_x000D_
평촌두산위브리버뷰 22' 6.5_x000D_
목련2단지 92' 6.4_x000D_
무궁화경남 94' 6.3_x000D_
금정역호계푸르지오 15' 6.3_x000D_
평촌두산위브더프라임 25' 6.105_x000D_
평촌대성유니드 19' 6.0_x000D_
</t>
  </si>
  <si>
    <t xml:space="preserve">무궁화코오롱 92' 5.5_x000D_
무궁화효성,한양 92' 5.4_x000D_
호계e-편한세상 03' 5.1_x000D_
호계현대홈타운2차 03' 5.1_x000D_
한마음1단지 99' 5.0_x000D_
</t>
  </si>
  <si>
    <t xml:space="preserve">호계금호어울림 12' 4.9_x000D_
푸른마을삼성 99' 4.8_x000D_
호계동원베네스트 06' 4.8_x000D_
무궁화태영 92' 4.6_x000D_
호계신성미소지움 04' 4.3_x000D_
호계효성 00' 4.1_x000D_
루미에르(주상복합) 17' 4.0_x000D_
</t>
  </si>
  <si>
    <t xml:space="preserve">일신(920-4) 98' 3.9_x000D_
호계현대 99' 3.7_x000D_
흥화 99' 3.7_x000D_
호계더카운티 19' 3.6_x000D_
일신건영장미 00' 3.55_x000D_
유환3차 88' 3.5_x000D_
루미에르(주상복합) 17' 3.5_x000D_
범계마을LD 99' 3.35_x000D_
영풍(주상복합) 96' 3.3_x000D_
삼호우주 94' 3.3_x000D_
삼성원시티(주상복합) 19' 3.2_x000D_
삼익(주상복합) 96' 3.1_x000D_
</t>
  </si>
  <si>
    <t xml:space="preserve">평촌엘프라우드 24' 9.3_x000D_
</t>
  </si>
  <si>
    <t xml:space="preserve">뉴타운1,2,3차 81' 8.565_x000D_
평촌래미안푸르지오 22' 8.3_x000D_
</t>
  </si>
  <si>
    <t xml:space="preserve">은하수(신성) 92' 7.8_x000D_
평촌자이아이파크 21' 7.6_x000D_
은하수(벽산) 92' 7.0_x000D_
</t>
  </si>
  <si>
    <t xml:space="preserve">뉴타운1,2,3차 81' 6.95_x000D_
힐스테이트비산파크뷰 22' 6.6_x000D_
샛별한양2,3단지 93' 6.3_x000D_
한양수자인평촌리버뷰 21' 6.3_x000D_
비산한화꿈에그린 09' 6.1_x000D_
비산삼성래미안 03' 6.0_x000D_
</t>
  </si>
  <si>
    <t xml:space="preserve">관악(부영) 93' 5.8_x000D_
비산힐스테이트 05' 5.6_x000D_
안양비산대주파크빌 05' 5.5_x000D_
관악(동성,현대,청구) 92' 5.2_x000D_
안양임곡휴먼시아 07' 5.0_x000D_
</t>
  </si>
  <si>
    <t xml:space="preserve">더포레스트힐 03' 4.3_x000D_
동양월드타워(주상복합) 00' 4.0_x000D_
</t>
  </si>
  <si>
    <t xml:space="preserve">성원 95' 3.8_x000D_
</t>
  </si>
  <si>
    <t xml:space="preserve">향촌현대5차 93' 8.1_x000D_
향촌현대4차 92' 8.0_x000D_
</t>
  </si>
  <si>
    <t xml:space="preserve">향촌롯데 93' 7.7_x000D_
인덕원센트럴푸르지오 01' 7.4_x000D_
초원3단지대원 93' 7.2_x000D_
</t>
  </si>
  <si>
    <t xml:space="preserve">인덕원대림2차 04' 6.9_x000D_
초원1단지성원 92' 6.75_x000D_
초원5단지LG 93' 6.7_x000D_
래미안인덕원더포인트 00' 6.5_x000D_
초원2단지대림 93' 6.4_x000D_
</t>
  </si>
  <si>
    <t xml:space="preserve">초원6단지한양 93' 5.8_x000D_
</t>
  </si>
  <si>
    <t xml:space="preserve">인덕원대림1차 00' 4.8_x000D_
한일미래 99' 4.1_x000D_
</t>
  </si>
  <si>
    <t xml:space="preserve">삼아(118-5) 99' 3.9_x000D_
</t>
  </si>
  <si>
    <t xml:space="preserve">평촌더샵센트럴시티 16' 9.7_x000D_
</t>
  </si>
  <si>
    <t xml:space="preserve">인덕원마을삼성 98' 8.0_x000D_
</t>
  </si>
  <si>
    <t xml:space="preserve">한가람한양 95' 6.55_x000D_
한가람두산 92' 6.5_x000D_
미래센트럴타워(주상복합) 22' 6.3_x000D_
공작성일 93' 6.2_x000D_
한가람삼성 95' 6.2_x000D_
</t>
  </si>
  <si>
    <t xml:space="preserve">한가람신라 92' 5.7_x000D_
아리랑맨션2차 89' 5.5_x000D_
</t>
  </si>
  <si>
    <t xml:space="preserve">뉴골든 86' 4.2_x000D_
아리랑5차 88' 4.0_x000D_
</t>
  </si>
  <si>
    <t>만든이</t>
  </si>
  <si>
    <t>치즈</t>
  </si>
  <si>
    <t>출처</t>
  </si>
  <si>
    <t>https://land.devcheese.net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</si>
</sst>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1" applyAlignment="1" applyProtection="1"/>
  </cellXfs>
  <cellStyles count="2">
    <cellStyle name="표준" xfId="0" builtinId="0"/>
    <cellStyle name="하이퍼링크" xfId="1" builtinId="8"/>
  </cellStyles>
  <dxfs count="27">
    <dxf>
      <fill>
        <patternFill>
          <bgColor rgb="FFFFC0CB"/>
        </patternFill>
      </fill>
    </dxf>
    <dxf>
      <fill>
        <patternFill>
          <bgColor rgb="FFFFC0CB"/>
        </patternFill>
      </fill>
    </dxf>
    <dxf>
      <fill>
        <patternFill>
          <bgColor rgb="FFFFFFFF"/>
        </patternFill>
      </fill>
      <border>
        <left style="thin">
          <color rgb="FFD5DBDB"/>
        </left>
        <right style="thin">
          <color rgb="FFD5DBDB"/>
        </right>
        <top style="thin">
          <color rgb="FFD5DBDB"/>
        </top>
        <bottom style="thin">
          <color rgb="FFD5DBDB"/>
        </bottom>
        <vertical/>
        <horizontal/>
      </border>
    </dxf>
    <dxf>
      <fill>
        <patternFill>
          <bgColor rgb="FFFFC0CB"/>
        </patternFill>
      </fill>
    </dxf>
    <dxf>
      <fill>
        <patternFill>
          <bgColor rgb="FFFFC0CB"/>
        </patternFill>
      </fill>
    </dxf>
    <dxf>
      <fill>
        <patternFill>
          <bgColor rgb="FFFFFFFF"/>
        </patternFill>
      </fill>
      <border>
        <left style="thin">
          <color rgb="FFD5DBDB"/>
        </left>
        <right style="thin">
          <color rgb="FFD5DBDB"/>
        </right>
        <top style="thin">
          <color rgb="FFD5DBDB"/>
        </top>
        <bottom style="thin">
          <color rgb="FFD5DBDB"/>
        </bottom>
        <vertical/>
        <horizontal/>
      </border>
    </dxf>
    <dxf>
      <fill>
        <patternFill>
          <bgColor rgb="FFFFC0CB"/>
        </patternFill>
      </fill>
    </dxf>
    <dxf>
      <fill>
        <patternFill>
          <bgColor rgb="FFFFC0CB"/>
        </patternFill>
      </fill>
    </dxf>
    <dxf>
      <fill>
        <patternFill>
          <bgColor rgb="FFFFFFFF"/>
        </patternFill>
      </fill>
      <border>
        <left style="thin">
          <color rgb="FFD5DBDB"/>
        </left>
        <right style="thin">
          <color rgb="FFD5DBDB"/>
        </right>
        <top style="thin">
          <color rgb="FFD5DBDB"/>
        </top>
        <bottom style="thin">
          <color rgb="FFD5DBDB"/>
        </bottom>
        <vertical/>
        <horizontal/>
      </border>
    </dxf>
    <dxf>
      <fill>
        <patternFill>
          <bgColor rgb="FFFFC0CB"/>
        </patternFill>
      </fill>
    </dxf>
    <dxf>
      <fill>
        <patternFill>
          <bgColor rgb="FFFFC0CB"/>
        </patternFill>
      </fill>
    </dxf>
    <dxf>
      <fill>
        <patternFill>
          <bgColor rgb="FFFFFFFF"/>
        </patternFill>
      </fill>
      <border>
        <left style="thin">
          <color rgb="FFD5DBDB"/>
        </left>
        <right style="thin">
          <color rgb="FFD5DBDB"/>
        </right>
        <top style="thin">
          <color rgb="FFD5DBDB"/>
        </top>
        <bottom style="thin">
          <color rgb="FFD5DBDB"/>
        </bottom>
        <vertical/>
        <horizontal/>
      </border>
    </dxf>
    <dxf>
      <fill>
        <patternFill>
          <bgColor rgb="FFFFC0CB"/>
        </patternFill>
      </fill>
    </dxf>
    <dxf>
      <fill>
        <patternFill>
          <bgColor rgb="FFFFC0CB"/>
        </patternFill>
      </fill>
    </dxf>
    <dxf>
      <fill>
        <patternFill>
          <bgColor rgb="FFFFFFFF"/>
        </patternFill>
      </fill>
      <border>
        <left style="thin">
          <color rgb="FFD5DBDB"/>
        </left>
        <right style="thin">
          <color rgb="FFD5DBDB"/>
        </right>
        <top style="thin">
          <color rgb="FFD5DBDB"/>
        </top>
        <bottom style="thin">
          <color rgb="FFD5DBDB"/>
        </bottom>
        <vertical/>
        <horizontal/>
      </border>
    </dxf>
    <dxf>
      <fill>
        <patternFill>
          <bgColor rgb="FFFFC0CB"/>
        </patternFill>
      </fill>
    </dxf>
    <dxf>
      <fill>
        <patternFill>
          <bgColor rgb="FFFFC0CB"/>
        </patternFill>
      </fill>
    </dxf>
    <dxf>
      <fill>
        <patternFill>
          <bgColor rgb="FFFFFFFF"/>
        </patternFill>
      </fill>
      <border>
        <left style="thin">
          <color rgb="FFD5DBDB"/>
        </left>
        <right style="thin">
          <color rgb="FFD5DBDB"/>
        </right>
        <top style="thin">
          <color rgb="FFD5DBDB"/>
        </top>
        <bottom style="thin">
          <color rgb="FFD5DBDB"/>
        </bottom>
        <vertical/>
        <horizontal/>
      </border>
    </dxf>
    <dxf>
      <fill>
        <patternFill>
          <bgColor rgb="FFFFC0CB"/>
        </patternFill>
      </fill>
    </dxf>
    <dxf>
      <fill>
        <patternFill>
          <bgColor rgb="FFFFC0CB"/>
        </patternFill>
      </fill>
    </dxf>
    <dxf>
      <fill>
        <patternFill>
          <bgColor rgb="FFFFFFFF"/>
        </patternFill>
      </fill>
      <border>
        <left style="thin">
          <color rgb="FFD5DBDB"/>
        </left>
        <right style="thin">
          <color rgb="FFD5DBDB"/>
        </right>
        <top style="thin">
          <color rgb="FFD5DBDB"/>
        </top>
        <bottom style="thin">
          <color rgb="FFD5DBDB"/>
        </bottom>
        <vertical/>
        <horizontal/>
      </border>
    </dxf>
    <dxf>
      <fill>
        <patternFill>
          <bgColor rgb="FFFFC0CB"/>
        </patternFill>
      </fill>
    </dxf>
    <dxf>
      <fill>
        <patternFill>
          <bgColor rgb="FFFFC0CB"/>
        </patternFill>
      </fill>
    </dxf>
    <dxf>
      <fill>
        <patternFill>
          <bgColor rgb="FFFFFFFF"/>
        </patternFill>
      </fill>
      <border>
        <left style="thin">
          <color rgb="FFD5DBDB"/>
        </left>
        <right style="thin">
          <color rgb="FFD5DBDB"/>
        </right>
        <top style="thin">
          <color rgb="FFD5DBDB"/>
        </top>
        <bottom style="thin">
          <color rgb="FFD5DBDB"/>
        </bottom>
        <vertical/>
        <horizontal/>
      </border>
    </dxf>
    <dxf>
      <fill>
        <patternFill>
          <bgColor rgb="FFFFC0CB"/>
        </patternFill>
      </fill>
    </dxf>
    <dxf>
      <fill>
        <patternFill>
          <bgColor rgb="FFFFC0CB"/>
        </patternFill>
      </fill>
    </dxf>
    <dxf>
      <fill>
        <patternFill>
          <bgColor rgb="FFFFFFFF"/>
        </patternFill>
      </fill>
      <border>
        <left style="thin">
          <color rgb="FFD5DBDB"/>
        </left>
        <right style="thin">
          <color rgb="FFD5DBDB"/>
        </right>
        <top style="thin">
          <color rgb="FFD5DBDB"/>
        </top>
        <bottom style="thin">
          <color rgb="FFD5DBDB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and.devcheese.ne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workbookViewId="0"/>
  </sheetViews>
  <sheetFormatPr defaultRowHeight="16.5" x14ac:dyDescent="0.3"/>
  <cols>
    <col min="1" max="1" width="4" bestFit="1" customWidth="1"/>
    <col min="2" max="2" width="7" bestFit="1" customWidth="1"/>
    <col min="3" max="3" width="4.375" bestFit="1" customWidth="1"/>
    <col min="4" max="4" width="8.25" bestFit="1" customWidth="1"/>
    <col min="5" max="5" width="4.375" bestFit="1" customWidth="1"/>
    <col min="6" max="6" width="16.125" bestFit="1" customWidth="1"/>
    <col min="7" max="7" width="7.875" style="1" bestFit="1" customWidth="1"/>
    <col min="8" max="8" width="5.625" bestFit="1" customWidth="1"/>
    <col min="9" max="9" width="4.375" bestFit="1" customWidth="1"/>
    <col min="10" max="10" width="5" bestFit="1" customWidth="1"/>
    <col min="11" max="12" width="5.625" bestFit="1" customWidth="1"/>
    <col min="13" max="13" width="5.25" bestFit="1" customWidth="1"/>
    <col min="14" max="14" width="5.625" bestFit="1" customWidth="1"/>
    <col min="15" max="15" width="9" bestFit="1" customWidth="1"/>
    <col min="16" max="16" width="6.25" bestFit="1" customWidth="1"/>
    <col min="17" max="18" width="8" bestFit="1" customWidth="1"/>
    <col min="19" max="19" width="20" style="2" bestFit="1" customWidth="1"/>
    <col min="20" max="20" width="9" bestFit="1" customWidth="1"/>
    <col min="21" max="21" width="23" style="2" bestFit="1" customWidth="1"/>
    <col min="22" max="22" width="8" bestFit="1" customWidth="1"/>
    <col min="23" max="23" width="19" style="2" bestFit="1" customWidth="1"/>
    <col min="24" max="25" width="7.125" bestFit="1" customWidth="1"/>
    <col min="26" max="26" width="6" bestFit="1" customWidth="1"/>
    <col min="27" max="27" width="10.75" bestFit="1" customWidth="1"/>
  </cols>
  <sheetData>
    <row r="1" spans="1:27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3">
        <v>0</v>
      </c>
      <c r="B2">
        <v>154917</v>
      </c>
      <c r="C2" t="s">
        <v>26</v>
      </c>
      <c r="D2" t="s">
        <v>27</v>
      </c>
      <c r="E2" t="s">
        <v>28</v>
      </c>
      <c r="F2" t="s">
        <v>32</v>
      </c>
      <c r="G2" s="1" t="str">
        <f>HYPERLINK("https://new.land.naver.com/complexes/154917", "클릭")</f>
        <v>클릭</v>
      </c>
      <c r="H2">
        <v>2023</v>
      </c>
      <c r="I2">
        <v>11</v>
      </c>
      <c r="J2">
        <v>2886</v>
      </c>
      <c r="K2">
        <v>84</v>
      </c>
      <c r="L2" t="s">
        <v>135</v>
      </c>
      <c r="M2" t="s">
        <v>137</v>
      </c>
      <c r="N2" t="s">
        <v>140</v>
      </c>
      <c r="O2">
        <v>127000</v>
      </c>
      <c r="P2" t="s">
        <v>177</v>
      </c>
      <c r="Q2">
        <v>70000</v>
      </c>
      <c r="R2">
        <v>57000</v>
      </c>
      <c r="S2" s="2">
        <v>0.55118110236220474</v>
      </c>
      <c r="Y2">
        <v>1</v>
      </c>
      <c r="AA2" t="s">
        <v>198</v>
      </c>
    </row>
    <row r="3" spans="1:27" x14ac:dyDescent="0.3">
      <c r="A3" s="3">
        <v>1</v>
      </c>
      <c r="B3">
        <v>107579</v>
      </c>
      <c r="C3" t="s">
        <v>26</v>
      </c>
      <c r="D3" t="s">
        <v>27</v>
      </c>
      <c r="E3" t="s">
        <v>29</v>
      </c>
      <c r="F3" t="s">
        <v>33</v>
      </c>
      <c r="G3" s="1" t="str">
        <f>HYPERLINK("https://new.land.naver.com/complexes/107579", "클릭")</f>
        <v>클릭</v>
      </c>
      <c r="H3">
        <v>2016</v>
      </c>
      <c r="I3">
        <v>6</v>
      </c>
      <c r="J3">
        <v>1459</v>
      </c>
      <c r="K3">
        <v>84</v>
      </c>
      <c r="L3" t="s">
        <v>135</v>
      </c>
      <c r="M3" t="s">
        <v>137</v>
      </c>
      <c r="N3" t="s">
        <v>141</v>
      </c>
      <c r="O3">
        <v>125000</v>
      </c>
      <c r="P3" t="s">
        <v>145</v>
      </c>
      <c r="Q3">
        <v>80000</v>
      </c>
      <c r="R3">
        <v>45000</v>
      </c>
      <c r="S3" s="2">
        <v>0.64</v>
      </c>
      <c r="T3">
        <v>154000</v>
      </c>
      <c r="U3" s="2">
        <v>-0.18831168831168829</v>
      </c>
      <c r="V3">
        <v>72900</v>
      </c>
      <c r="W3" s="2">
        <v>1.714677640603566</v>
      </c>
      <c r="X3">
        <v>1</v>
      </c>
      <c r="Y3">
        <v>2</v>
      </c>
      <c r="Z3">
        <v>-1</v>
      </c>
      <c r="AA3" t="s">
        <v>198</v>
      </c>
    </row>
    <row r="4" spans="1:27" x14ac:dyDescent="0.3">
      <c r="A4" s="3">
        <v>2</v>
      </c>
      <c r="B4">
        <v>142558</v>
      </c>
      <c r="C4" t="s">
        <v>26</v>
      </c>
      <c r="D4" t="s">
        <v>27</v>
      </c>
      <c r="E4" t="s">
        <v>28</v>
      </c>
      <c r="F4" t="s">
        <v>34</v>
      </c>
      <c r="G4" s="1" t="str">
        <f>HYPERLINK("https://new.land.naver.com/complexes/142558", "클릭")</f>
        <v>클릭</v>
      </c>
      <c r="H4">
        <v>2024</v>
      </c>
      <c r="I4">
        <v>8</v>
      </c>
      <c r="J4">
        <v>2417</v>
      </c>
      <c r="K4">
        <v>84</v>
      </c>
      <c r="L4" t="s">
        <v>135</v>
      </c>
      <c r="M4" t="s">
        <v>137</v>
      </c>
      <c r="N4" t="s">
        <v>142</v>
      </c>
      <c r="O4">
        <v>120000</v>
      </c>
      <c r="P4" t="s">
        <v>142</v>
      </c>
      <c r="Q4">
        <v>70000</v>
      </c>
      <c r="R4">
        <v>50000</v>
      </c>
      <c r="S4" s="2">
        <v>0.58333333333333337</v>
      </c>
      <c r="Y4">
        <v>3</v>
      </c>
      <c r="AA4" t="s">
        <v>198</v>
      </c>
    </row>
    <row r="5" spans="1:27" x14ac:dyDescent="0.3">
      <c r="A5" s="3">
        <v>3</v>
      </c>
      <c r="B5">
        <v>171438</v>
      </c>
      <c r="C5" t="s">
        <v>26</v>
      </c>
      <c r="D5" t="s">
        <v>27</v>
      </c>
      <c r="E5" t="s">
        <v>30</v>
      </c>
      <c r="F5" t="s">
        <v>35</v>
      </c>
      <c r="G5" s="1" t="str">
        <f>HYPERLINK("https://new.land.naver.com/complexes/171438", "클릭")</f>
        <v>클릭</v>
      </c>
      <c r="H5">
        <v>2024</v>
      </c>
      <c r="I5">
        <v>11</v>
      </c>
      <c r="J5">
        <v>472</v>
      </c>
      <c r="K5">
        <v>84</v>
      </c>
      <c r="L5" t="s">
        <v>135</v>
      </c>
      <c r="M5" t="s">
        <v>137</v>
      </c>
      <c r="N5" t="s">
        <v>143</v>
      </c>
      <c r="O5">
        <v>119684</v>
      </c>
      <c r="P5" t="s">
        <v>143</v>
      </c>
      <c r="Q5">
        <v>55000</v>
      </c>
      <c r="R5">
        <v>64684</v>
      </c>
      <c r="S5" s="2">
        <v>0.45954346445640187</v>
      </c>
      <c r="Y5">
        <v>4</v>
      </c>
      <c r="AA5" t="s">
        <v>199</v>
      </c>
    </row>
    <row r="6" spans="1:27" x14ac:dyDescent="0.3">
      <c r="A6" s="3">
        <v>4</v>
      </c>
      <c r="B6">
        <v>1480</v>
      </c>
      <c r="C6" t="s">
        <v>26</v>
      </c>
      <c r="D6" t="s">
        <v>27</v>
      </c>
      <c r="E6" t="s">
        <v>30</v>
      </c>
      <c r="F6" t="s">
        <v>36</v>
      </c>
      <c r="G6" s="1" t="str">
        <f>HYPERLINK("https://new.land.naver.com/complexes/1480", "클릭")</f>
        <v>클릭</v>
      </c>
      <c r="H6">
        <v>1993</v>
      </c>
      <c r="I6">
        <v>3</v>
      </c>
      <c r="J6">
        <v>530</v>
      </c>
      <c r="K6">
        <v>84</v>
      </c>
      <c r="L6" t="s">
        <v>135</v>
      </c>
      <c r="M6" t="s">
        <v>137</v>
      </c>
      <c r="N6" t="s">
        <v>144</v>
      </c>
      <c r="O6">
        <v>119000</v>
      </c>
      <c r="P6" t="s">
        <v>144</v>
      </c>
      <c r="Q6">
        <v>65000</v>
      </c>
      <c r="R6">
        <v>54000</v>
      </c>
      <c r="S6" s="2">
        <v>0.54621848739495793</v>
      </c>
      <c r="T6">
        <v>140000</v>
      </c>
      <c r="U6" s="2">
        <v>-0.15</v>
      </c>
      <c r="V6">
        <v>73700</v>
      </c>
      <c r="W6" s="2">
        <v>1.614654002713704</v>
      </c>
      <c r="X6">
        <v>2</v>
      </c>
      <c r="Y6">
        <v>5</v>
      </c>
      <c r="Z6">
        <v>-3</v>
      </c>
      <c r="AA6" t="s">
        <v>198</v>
      </c>
    </row>
    <row r="7" spans="1:27" x14ac:dyDescent="0.3">
      <c r="A7" s="3">
        <v>5</v>
      </c>
      <c r="B7">
        <v>113297</v>
      </c>
      <c r="C7" t="s">
        <v>26</v>
      </c>
      <c r="D7" t="s">
        <v>27</v>
      </c>
      <c r="E7" t="s">
        <v>28</v>
      </c>
      <c r="F7" t="s">
        <v>37</v>
      </c>
      <c r="G7" s="1" t="str">
        <f>HYPERLINK("https://new.land.naver.com/complexes/113297", "클릭")</f>
        <v>클릭</v>
      </c>
      <c r="H7">
        <v>2019</v>
      </c>
      <c r="I7">
        <v>3</v>
      </c>
      <c r="J7">
        <v>1174</v>
      </c>
      <c r="K7">
        <v>84</v>
      </c>
      <c r="L7" t="s">
        <v>135</v>
      </c>
      <c r="M7" t="s">
        <v>137</v>
      </c>
      <c r="N7" t="s">
        <v>145</v>
      </c>
      <c r="O7">
        <v>115000</v>
      </c>
      <c r="P7" t="s">
        <v>145</v>
      </c>
      <c r="Q7">
        <v>66000</v>
      </c>
      <c r="R7">
        <v>49000</v>
      </c>
      <c r="S7" s="2">
        <v>0.57391304347826089</v>
      </c>
      <c r="T7">
        <v>138500</v>
      </c>
      <c r="U7" s="2">
        <v>-0.16967509025270761</v>
      </c>
      <c r="V7">
        <v>63500</v>
      </c>
      <c r="W7" s="2">
        <v>1.811023622047244</v>
      </c>
      <c r="X7">
        <v>3</v>
      </c>
      <c r="Y7">
        <v>6</v>
      </c>
      <c r="Z7">
        <v>-3</v>
      </c>
      <c r="AA7" t="s">
        <v>198</v>
      </c>
    </row>
    <row r="8" spans="1:27" x14ac:dyDescent="0.3">
      <c r="A8" s="3">
        <v>6</v>
      </c>
      <c r="B8">
        <v>126060</v>
      </c>
      <c r="C8" t="s">
        <v>26</v>
      </c>
      <c r="D8" t="s">
        <v>27</v>
      </c>
      <c r="E8" t="s">
        <v>31</v>
      </c>
      <c r="F8" t="s">
        <v>38</v>
      </c>
      <c r="G8" s="1" t="str">
        <f>HYPERLINK("https://new.land.naver.com/complexes/126060", "클릭")</f>
        <v>클릭</v>
      </c>
      <c r="H8">
        <v>2022</v>
      </c>
      <c r="I8">
        <v>3</v>
      </c>
      <c r="J8">
        <v>1199</v>
      </c>
      <c r="K8">
        <v>84</v>
      </c>
      <c r="L8" t="s">
        <v>135</v>
      </c>
      <c r="M8" t="s">
        <v>137</v>
      </c>
      <c r="N8" t="s">
        <v>146</v>
      </c>
      <c r="O8">
        <v>111000</v>
      </c>
      <c r="P8" t="s">
        <v>191</v>
      </c>
      <c r="Q8">
        <v>64900</v>
      </c>
      <c r="R8">
        <v>46100</v>
      </c>
      <c r="S8" s="2">
        <v>0.58468468468468471</v>
      </c>
      <c r="T8">
        <v>137291</v>
      </c>
      <c r="U8" s="2">
        <v>-0.19149835021960651</v>
      </c>
      <c r="V8">
        <v>63600</v>
      </c>
      <c r="W8" s="2">
        <v>1.745283018867924</v>
      </c>
      <c r="X8">
        <v>4</v>
      </c>
      <c r="Y8">
        <v>7</v>
      </c>
      <c r="Z8">
        <v>-3</v>
      </c>
      <c r="AA8" t="s">
        <v>198</v>
      </c>
    </row>
    <row r="9" spans="1:27" x14ac:dyDescent="0.3">
      <c r="A9" s="3">
        <v>7</v>
      </c>
      <c r="B9">
        <v>1481</v>
      </c>
      <c r="C9" t="s">
        <v>26</v>
      </c>
      <c r="D9" t="s">
        <v>27</v>
      </c>
      <c r="E9" t="s">
        <v>30</v>
      </c>
      <c r="F9" t="s">
        <v>39</v>
      </c>
      <c r="G9" s="1" t="str">
        <f>HYPERLINK("https://new.land.naver.com/complexes/1481", "클릭")</f>
        <v>클릭</v>
      </c>
      <c r="H9">
        <v>1992</v>
      </c>
      <c r="I9">
        <v>11</v>
      </c>
      <c r="J9">
        <v>552</v>
      </c>
      <c r="K9">
        <v>84</v>
      </c>
      <c r="L9" t="s">
        <v>135</v>
      </c>
      <c r="M9" t="s">
        <v>137</v>
      </c>
      <c r="N9" t="s">
        <v>147</v>
      </c>
      <c r="O9">
        <v>110000</v>
      </c>
      <c r="P9" t="s">
        <v>147</v>
      </c>
      <c r="Q9">
        <v>60000</v>
      </c>
      <c r="R9">
        <v>50000</v>
      </c>
      <c r="S9" s="2">
        <v>0.54545454545454541</v>
      </c>
      <c r="T9">
        <v>127000</v>
      </c>
      <c r="U9" s="2">
        <v>-0.13385826771653539</v>
      </c>
      <c r="V9">
        <v>66700</v>
      </c>
      <c r="W9" s="2">
        <v>1.6491754122938529</v>
      </c>
      <c r="X9">
        <v>8</v>
      </c>
      <c r="Y9">
        <v>8</v>
      </c>
      <c r="Z9">
        <v>0</v>
      </c>
      <c r="AA9" t="s">
        <v>198</v>
      </c>
    </row>
    <row r="10" spans="1:27" x14ac:dyDescent="0.3">
      <c r="A10" s="3">
        <v>8</v>
      </c>
      <c r="B10">
        <v>144023</v>
      </c>
      <c r="C10" t="s">
        <v>26</v>
      </c>
      <c r="D10" t="s">
        <v>27</v>
      </c>
      <c r="E10" t="s">
        <v>31</v>
      </c>
      <c r="F10" t="s">
        <v>40</v>
      </c>
      <c r="G10" s="1" t="str">
        <f>HYPERLINK("https://new.land.naver.com/complexes/144023", "클릭")</f>
        <v>클릭</v>
      </c>
      <c r="H10">
        <v>2024</v>
      </c>
      <c r="I10">
        <v>6</v>
      </c>
      <c r="J10">
        <v>2739</v>
      </c>
      <c r="K10">
        <v>84</v>
      </c>
      <c r="L10" t="s">
        <v>135</v>
      </c>
      <c r="M10" t="s">
        <v>137</v>
      </c>
      <c r="N10" t="s">
        <v>140</v>
      </c>
      <c r="O10">
        <v>110000</v>
      </c>
      <c r="P10" t="s">
        <v>140</v>
      </c>
      <c r="Q10">
        <v>55000</v>
      </c>
      <c r="R10">
        <v>55000</v>
      </c>
      <c r="S10" s="2">
        <v>0.5</v>
      </c>
      <c r="Y10">
        <v>8</v>
      </c>
      <c r="AA10" t="s">
        <v>198</v>
      </c>
    </row>
    <row r="11" spans="1:27" x14ac:dyDescent="0.3">
      <c r="A11" s="3">
        <v>9</v>
      </c>
      <c r="B11">
        <v>1482</v>
      </c>
      <c r="C11" t="s">
        <v>26</v>
      </c>
      <c r="D11" t="s">
        <v>27</v>
      </c>
      <c r="E11" t="s">
        <v>30</v>
      </c>
      <c r="F11" t="s">
        <v>41</v>
      </c>
      <c r="G11" s="1" t="str">
        <f>HYPERLINK("https://new.land.naver.com/complexes/1482", "클릭")</f>
        <v>클릭</v>
      </c>
      <c r="H11">
        <v>1993</v>
      </c>
      <c r="I11">
        <v>4</v>
      </c>
      <c r="J11">
        <v>780</v>
      </c>
      <c r="K11">
        <v>84</v>
      </c>
      <c r="L11" t="s">
        <v>135</v>
      </c>
      <c r="M11" t="s">
        <v>137</v>
      </c>
      <c r="N11" t="s">
        <v>148</v>
      </c>
      <c r="O11">
        <v>109500</v>
      </c>
      <c r="P11" t="s">
        <v>148</v>
      </c>
      <c r="Q11">
        <v>63000</v>
      </c>
      <c r="R11">
        <v>46500</v>
      </c>
      <c r="S11" s="2">
        <v>0.57534246575342463</v>
      </c>
      <c r="T11">
        <v>127700</v>
      </c>
      <c r="U11" s="2">
        <v>-0.14252153484729829</v>
      </c>
      <c r="V11">
        <v>68600</v>
      </c>
      <c r="W11" s="2">
        <v>1.5962099125364431</v>
      </c>
      <c r="X11">
        <v>7</v>
      </c>
      <c r="Y11">
        <v>10</v>
      </c>
      <c r="Z11">
        <v>-3</v>
      </c>
      <c r="AA11" t="s">
        <v>198</v>
      </c>
    </row>
    <row r="12" spans="1:27" x14ac:dyDescent="0.3">
      <c r="A12" s="3">
        <v>10</v>
      </c>
      <c r="B12">
        <v>1450</v>
      </c>
      <c r="C12" t="s">
        <v>26</v>
      </c>
      <c r="D12" t="s">
        <v>27</v>
      </c>
      <c r="E12" t="s">
        <v>30</v>
      </c>
      <c r="F12" t="s">
        <v>42</v>
      </c>
      <c r="G12" s="1" t="str">
        <f>HYPERLINK("https://new.land.naver.com/complexes/1450", "클릭")</f>
        <v>클릭</v>
      </c>
      <c r="H12">
        <v>1992</v>
      </c>
      <c r="I12">
        <v>9</v>
      </c>
      <c r="J12">
        <v>548</v>
      </c>
      <c r="K12">
        <v>84</v>
      </c>
      <c r="L12" t="s">
        <v>135</v>
      </c>
      <c r="M12" t="s">
        <v>137</v>
      </c>
      <c r="N12" t="s">
        <v>149</v>
      </c>
      <c r="O12">
        <v>105000</v>
      </c>
      <c r="P12" t="s">
        <v>149</v>
      </c>
      <c r="Q12">
        <v>63000</v>
      </c>
      <c r="R12">
        <v>42000</v>
      </c>
      <c r="S12" s="2">
        <v>0.6</v>
      </c>
      <c r="T12">
        <v>85000</v>
      </c>
      <c r="U12" s="2">
        <v>0.23529411764705879</v>
      </c>
      <c r="V12">
        <v>61000</v>
      </c>
      <c r="W12" s="2">
        <v>1.721311475409836</v>
      </c>
      <c r="X12">
        <v>42</v>
      </c>
      <c r="Y12">
        <v>11</v>
      </c>
      <c r="Z12">
        <v>31</v>
      </c>
      <c r="AA12" t="s">
        <v>200</v>
      </c>
    </row>
    <row r="13" spans="1:27" x14ac:dyDescent="0.3">
      <c r="A13" s="3">
        <v>11</v>
      </c>
      <c r="B13">
        <v>2505</v>
      </c>
      <c r="C13" t="s">
        <v>26</v>
      </c>
      <c r="D13" t="s">
        <v>27</v>
      </c>
      <c r="E13" t="s">
        <v>29</v>
      </c>
      <c r="F13" t="s">
        <v>43</v>
      </c>
      <c r="G13" s="1" t="str">
        <f>HYPERLINK("https://new.land.naver.com/complexes/2505", "클릭")</f>
        <v>클릭</v>
      </c>
      <c r="H13">
        <v>1998</v>
      </c>
      <c r="I13">
        <v>12</v>
      </c>
      <c r="J13">
        <v>1314</v>
      </c>
      <c r="K13">
        <v>84</v>
      </c>
      <c r="L13" t="s">
        <v>135</v>
      </c>
      <c r="M13" t="s">
        <v>137</v>
      </c>
      <c r="N13" t="s">
        <v>147</v>
      </c>
      <c r="O13">
        <v>100000</v>
      </c>
      <c r="P13" t="s">
        <v>147</v>
      </c>
      <c r="Q13">
        <v>45000</v>
      </c>
      <c r="R13">
        <v>55000</v>
      </c>
      <c r="S13" s="2">
        <v>0.45</v>
      </c>
      <c r="T13">
        <v>133000</v>
      </c>
      <c r="U13" s="2">
        <v>-0.24812030075187971</v>
      </c>
      <c r="V13">
        <v>62300</v>
      </c>
      <c r="W13" s="2">
        <v>1.605136436597111</v>
      </c>
      <c r="X13">
        <v>5</v>
      </c>
      <c r="Y13">
        <v>12</v>
      </c>
      <c r="Z13">
        <v>-7</v>
      </c>
      <c r="AA13" t="s">
        <v>198</v>
      </c>
    </row>
    <row r="14" spans="1:27" x14ac:dyDescent="0.3">
      <c r="A14" s="3">
        <v>12</v>
      </c>
      <c r="B14">
        <v>13924</v>
      </c>
      <c r="C14" t="s">
        <v>26</v>
      </c>
      <c r="D14" t="s">
        <v>27</v>
      </c>
      <c r="E14" t="s">
        <v>31</v>
      </c>
      <c r="F14" t="s">
        <v>44</v>
      </c>
      <c r="G14" s="1" t="str">
        <f>HYPERLINK("https://new.land.naver.com/complexes/13924", "클릭")</f>
        <v>클릭</v>
      </c>
      <c r="H14">
        <v>1985</v>
      </c>
      <c r="I14">
        <v>8</v>
      </c>
      <c r="J14">
        <v>474</v>
      </c>
      <c r="K14">
        <v>84</v>
      </c>
      <c r="L14" t="s">
        <v>135</v>
      </c>
      <c r="M14" t="s">
        <v>138</v>
      </c>
      <c r="N14" t="s">
        <v>150</v>
      </c>
      <c r="O14">
        <v>99900</v>
      </c>
      <c r="T14">
        <v>97000</v>
      </c>
      <c r="U14" s="2">
        <v>2.989690721649485E-2</v>
      </c>
      <c r="V14">
        <v>57900</v>
      </c>
      <c r="W14" s="2">
        <v>1.7253886010362689</v>
      </c>
      <c r="X14">
        <v>29</v>
      </c>
      <c r="Y14">
        <v>13</v>
      </c>
      <c r="Z14">
        <v>16</v>
      </c>
      <c r="AA14" t="s">
        <v>198</v>
      </c>
    </row>
    <row r="15" spans="1:27" x14ac:dyDescent="0.3">
      <c r="A15" s="3">
        <v>13</v>
      </c>
      <c r="B15">
        <v>124780</v>
      </c>
      <c r="C15" t="s">
        <v>26</v>
      </c>
      <c r="D15" t="s">
        <v>27</v>
      </c>
      <c r="E15" t="s">
        <v>31</v>
      </c>
      <c r="F15" t="s">
        <v>45</v>
      </c>
      <c r="G15" s="1" t="str">
        <f>HYPERLINK("https://new.land.naver.com/complexes/124780", "클릭")</f>
        <v>클릭</v>
      </c>
      <c r="H15">
        <v>2021</v>
      </c>
      <c r="I15">
        <v>12</v>
      </c>
      <c r="J15">
        <v>2737</v>
      </c>
      <c r="K15">
        <v>84</v>
      </c>
      <c r="L15" t="s">
        <v>135</v>
      </c>
      <c r="M15" t="s">
        <v>137</v>
      </c>
      <c r="N15" t="s">
        <v>151</v>
      </c>
      <c r="O15">
        <v>99000</v>
      </c>
      <c r="P15" t="s">
        <v>151</v>
      </c>
      <c r="Q15">
        <v>60000</v>
      </c>
      <c r="R15">
        <v>39000</v>
      </c>
      <c r="S15" s="2">
        <v>0.60606060606060608</v>
      </c>
      <c r="T15">
        <v>120000</v>
      </c>
      <c r="U15" s="2">
        <v>-0.17499999999999999</v>
      </c>
      <c r="V15">
        <v>56100</v>
      </c>
      <c r="W15" s="2">
        <v>1.7647058823529409</v>
      </c>
      <c r="X15">
        <v>10</v>
      </c>
      <c r="Y15">
        <v>14</v>
      </c>
      <c r="Z15">
        <v>-4</v>
      </c>
      <c r="AA15" t="s">
        <v>198</v>
      </c>
    </row>
    <row r="16" spans="1:27" x14ac:dyDescent="0.3">
      <c r="A16" s="3">
        <v>14</v>
      </c>
      <c r="B16">
        <v>122682</v>
      </c>
      <c r="C16" t="s">
        <v>26</v>
      </c>
      <c r="D16" t="s">
        <v>27</v>
      </c>
      <c r="E16" t="s">
        <v>28</v>
      </c>
      <c r="F16" t="s">
        <v>46</v>
      </c>
      <c r="G16" s="1" t="str">
        <f>HYPERLINK("https://new.land.naver.com/complexes/122682", "클릭")</f>
        <v>클릭</v>
      </c>
      <c r="H16">
        <v>2021</v>
      </c>
      <c r="I16">
        <v>4</v>
      </c>
      <c r="J16">
        <v>3850</v>
      </c>
      <c r="K16">
        <v>84</v>
      </c>
      <c r="L16" t="s">
        <v>135</v>
      </c>
      <c r="M16" t="s">
        <v>137</v>
      </c>
      <c r="N16" t="s">
        <v>152</v>
      </c>
      <c r="O16">
        <v>98000</v>
      </c>
      <c r="P16" t="s">
        <v>152</v>
      </c>
      <c r="Q16">
        <v>55000</v>
      </c>
      <c r="R16">
        <v>43000</v>
      </c>
      <c r="S16" s="2">
        <v>0.56122448979591832</v>
      </c>
      <c r="T16">
        <v>120000</v>
      </c>
      <c r="U16" s="2">
        <v>-0.18333333333333329</v>
      </c>
      <c r="V16">
        <v>63200</v>
      </c>
      <c r="W16" s="2">
        <v>1.5506329113924049</v>
      </c>
      <c r="X16">
        <v>10</v>
      </c>
      <c r="Y16">
        <v>15</v>
      </c>
      <c r="Z16">
        <v>-5</v>
      </c>
      <c r="AA16" t="s">
        <v>198</v>
      </c>
    </row>
    <row r="17" spans="1:27" x14ac:dyDescent="0.3">
      <c r="A17" s="3">
        <v>15</v>
      </c>
      <c r="B17">
        <v>102312</v>
      </c>
      <c r="C17" t="s">
        <v>26</v>
      </c>
      <c r="D17" t="s">
        <v>27</v>
      </c>
      <c r="E17" t="s">
        <v>29</v>
      </c>
      <c r="F17" t="s">
        <v>47</v>
      </c>
      <c r="G17" s="1" t="str">
        <f>HYPERLINK("https://new.land.naver.com/complexes/102312", "클릭")</f>
        <v>클릭</v>
      </c>
      <c r="H17">
        <v>2012</v>
      </c>
      <c r="I17">
        <v>4</v>
      </c>
      <c r="J17">
        <v>1042</v>
      </c>
      <c r="K17">
        <v>84</v>
      </c>
      <c r="L17" t="s">
        <v>135</v>
      </c>
      <c r="M17" t="s">
        <v>137</v>
      </c>
      <c r="N17" t="s">
        <v>153</v>
      </c>
      <c r="O17">
        <v>95000</v>
      </c>
      <c r="P17" t="s">
        <v>192</v>
      </c>
      <c r="Q17">
        <v>48000</v>
      </c>
      <c r="R17">
        <v>47000</v>
      </c>
      <c r="S17" s="2">
        <v>0.50526315789473686</v>
      </c>
      <c r="T17">
        <v>132000</v>
      </c>
      <c r="U17" s="2">
        <v>-0.28030303030303028</v>
      </c>
      <c r="V17">
        <v>61200</v>
      </c>
      <c r="W17" s="2">
        <v>1.552287581699346</v>
      </c>
      <c r="X17">
        <v>6</v>
      </c>
      <c r="Y17">
        <v>16</v>
      </c>
      <c r="Z17">
        <v>-10</v>
      </c>
      <c r="AA17" t="s">
        <v>198</v>
      </c>
    </row>
    <row r="18" spans="1:27" x14ac:dyDescent="0.3">
      <c r="A18" s="3">
        <v>16</v>
      </c>
      <c r="B18">
        <v>1471</v>
      </c>
      <c r="C18" t="s">
        <v>26</v>
      </c>
      <c r="D18" t="s">
        <v>27</v>
      </c>
      <c r="E18" t="s">
        <v>28</v>
      </c>
      <c r="F18" t="s">
        <v>48</v>
      </c>
      <c r="G18" s="1" t="str">
        <f>HYPERLINK("https://new.land.naver.com/complexes/1471", "클릭")</f>
        <v>클릭</v>
      </c>
      <c r="H18">
        <v>1994</v>
      </c>
      <c r="I18">
        <v>8</v>
      </c>
      <c r="J18">
        <v>590</v>
      </c>
      <c r="K18">
        <v>84</v>
      </c>
      <c r="L18" t="s">
        <v>135</v>
      </c>
      <c r="M18" t="s">
        <v>137</v>
      </c>
      <c r="N18" t="s">
        <v>154</v>
      </c>
      <c r="O18">
        <v>95000</v>
      </c>
      <c r="P18" t="s">
        <v>154</v>
      </c>
      <c r="Q18">
        <v>56000</v>
      </c>
      <c r="R18">
        <v>39000</v>
      </c>
      <c r="S18" s="2">
        <v>0.58947368421052626</v>
      </c>
      <c r="T18">
        <v>109500</v>
      </c>
      <c r="U18" s="2">
        <v>-0.13242009132420091</v>
      </c>
      <c r="V18">
        <v>55700</v>
      </c>
      <c r="W18" s="2">
        <v>1.7055655296229799</v>
      </c>
      <c r="X18">
        <v>17</v>
      </c>
      <c r="Y18">
        <v>16</v>
      </c>
      <c r="Z18">
        <v>1</v>
      </c>
      <c r="AA18" t="s">
        <v>198</v>
      </c>
    </row>
    <row r="19" spans="1:27" x14ac:dyDescent="0.3">
      <c r="A19" s="3">
        <v>17</v>
      </c>
      <c r="B19">
        <v>1468</v>
      </c>
      <c r="C19" t="s">
        <v>26</v>
      </c>
      <c r="D19" t="s">
        <v>27</v>
      </c>
      <c r="E19" t="s">
        <v>31</v>
      </c>
      <c r="F19" t="s">
        <v>49</v>
      </c>
      <c r="G19" s="1" t="str">
        <f>HYPERLINK("https://new.land.naver.com/complexes/1468", "클릭")</f>
        <v>클릭</v>
      </c>
      <c r="H19">
        <v>1992</v>
      </c>
      <c r="I19">
        <v>11</v>
      </c>
      <c r="J19">
        <v>508</v>
      </c>
      <c r="K19">
        <v>84</v>
      </c>
      <c r="L19" t="s">
        <v>135</v>
      </c>
      <c r="M19" t="s">
        <v>137</v>
      </c>
      <c r="N19" t="s">
        <v>155</v>
      </c>
      <c r="O19">
        <v>92000</v>
      </c>
      <c r="P19" t="s">
        <v>155</v>
      </c>
      <c r="Q19">
        <v>45000</v>
      </c>
      <c r="R19">
        <v>47000</v>
      </c>
      <c r="S19" s="2">
        <v>0.4891304347826087</v>
      </c>
      <c r="T19">
        <v>100000</v>
      </c>
      <c r="U19" s="2">
        <v>-0.08</v>
      </c>
      <c r="V19">
        <v>54400</v>
      </c>
      <c r="W19" s="2">
        <v>1.6911764705882351</v>
      </c>
      <c r="X19">
        <v>26</v>
      </c>
      <c r="Y19">
        <v>18</v>
      </c>
      <c r="Z19">
        <v>8</v>
      </c>
      <c r="AA19" t="s">
        <v>198</v>
      </c>
    </row>
    <row r="20" spans="1:27" x14ac:dyDescent="0.3">
      <c r="A20" s="3">
        <v>18</v>
      </c>
      <c r="B20">
        <v>1483</v>
      </c>
      <c r="C20" t="s">
        <v>26</v>
      </c>
      <c r="D20" t="s">
        <v>27</v>
      </c>
      <c r="E20" t="s">
        <v>30</v>
      </c>
      <c r="F20" t="s">
        <v>50</v>
      </c>
      <c r="G20" s="1" t="str">
        <f>HYPERLINK("https://new.land.naver.com/complexes/1483", "클릭")</f>
        <v>클릭</v>
      </c>
      <c r="H20">
        <v>1993</v>
      </c>
      <c r="I20">
        <v>11</v>
      </c>
      <c r="J20">
        <v>1035</v>
      </c>
      <c r="K20">
        <v>84</v>
      </c>
      <c r="L20" t="s">
        <v>135</v>
      </c>
      <c r="M20" t="s">
        <v>137</v>
      </c>
      <c r="N20" t="s">
        <v>147</v>
      </c>
      <c r="O20">
        <v>91500</v>
      </c>
      <c r="P20" t="s">
        <v>147</v>
      </c>
      <c r="Q20">
        <v>45000</v>
      </c>
      <c r="R20">
        <v>46500</v>
      </c>
      <c r="S20" s="2">
        <v>0.49180327868852458</v>
      </c>
      <c r="T20">
        <v>113500</v>
      </c>
      <c r="U20" s="2">
        <v>-0.19383259911894271</v>
      </c>
      <c r="V20">
        <v>55800</v>
      </c>
      <c r="W20" s="2">
        <v>1.639784946236559</v>
      </c>
      <c r="X20">
        <v>13</v>
      </c>
      <c r="Y20">
        <v>19</v>
      </c>
      <c r="Z20">
        <v>-6</v>
      </c>
      <c r="AA20" t="s">
        <v>198</v>
      </c>
    </row>
    <row r="21" spans="1:27" x14ac:dyDescent="0.3">
      <c r="A21" s="3">
        <v>19</v>
      </c>
      <c r="B21">
        <v>13922</v>
      </c>
      <c r="C21" t="s">
        <v>26</v>
      </c>
      <c r="D21" t="s">
        <v>27</v>
      </c>
      <c r="E21" t="s">
        <v>31</v>
      </c>
      <c r="F21" t="s">
        <v>51</v>
      </c>
      <c r="G21" s="1" t="str">
        <f>HYPERLINK("https://new.land.naver.com/complexes/13922", "클릭")</f>
        <v>클릭</v>
      </c>
      <c r="H21">
        <v>1981</v>
      </c>
      <c r="I21">
        <v>9</v>
      </c>
      <c r="J21">
        <v>912</v>
      </c>
      <c r="K21">
        <v>84</v>
      </c>
      <c r="L21" t="s">
        <v>136</v>
      </c>
      <c r="M21" t="s">
        <v>137</v>
      </c>
      <c r="N21" t="s">
        <v>156</v>
      </c>
      <c r="O21">
        <v>91000</v>
      </c>
      <c r="T21">
        <v>112000</v>
      </c>
      <c r="U21" s="2">
        <v>-0.1875</v>
      </c>
      <c r="V21">
        <v>46600</v>
      </c>
      <c r="W21" s="2">
        <v>1.9527896995708149</v>
      </c>
      <c r="X21">
        <v>15</v>
      </c>
      <c r="Y21">
        <v>20</v>
      </c>
      <c r="Z21">
        <v>-5</v>
      </c>
      <c r="AA21" t="s">
        <v>198</v>
      </c>
    </row>
    <row r="22" spans="1:27" x14ac:dyDescent="0.3">
      <c r="A22" s="3">
        <v>20</v>
      </c>
      <c r="B22">
        <v>1472</v>
      </c>
      <c r="C22" t="s">
        <v>26</v>
      </c>
      <c r="D22" t="s">
        <v>27</v>
      </c>
      <c r="E22" t="s">
        <v>28</v>
      </c>
      <c r="F22" t="s">
        <v>52</v>
      </c>
      <c r="G22" s="1" t="str">
        <f>HYPERLINK("https://new.land.naver.com/complexes/1472", "클릭")</f>
        <v>클릭</v>
      </c>
      <c r="H22">
        <v>1992</v>
      </c>
      <c r="I22">
        <v>8</v>
      </c>
      <c r="J22">
        <v>438</v>
      </c>
      <c r="K22">
        <v>84</v>
      </c>
      <c r="L22" t="s">
        <v>135</v>
      </c>
      <c r="M22" t="s">
        <v>137</v>
      </c>
      <c r="N22" t="s">
        <v>150</v>
      </c>
      <c r="O22">
        <v>90000</v>
      </c>
      <c r="P22" t="s">
        <v>150</v>
      </c>
      <c r="Q22">
        <v>53000</v>
      </c>
      <c r="R22">
        <v>37000</v>
      </c>
      <c r="S22" s="2">
        <v>0.58888888888888891</v>
      </c>
      <c r="T22">
        <v>100000</v>
      </c>
      <c r="U22" s="2">
        <v>-0.1</v>
      </c>
      <c r="V22">
        <v>52500</v>
      </c>
      <c r="W22" s="2">
        <v>1.714285714285714</v>
      </c>
      <c r="X22">
        <v>26</v>
      </c>
      <c r="Y22">
        <v>21</v>
      </c>
      <c r="Z22">
        <v>5</v>
      </c>
      <c r="AA22" t="s">
        <v>198</v>
      </c>
    </row>
    <row r="23" spans="1:27" x14ac:dyDescent="0.3">
      <c r="A23" s="3">
        <v>21</v>
      </c>
      <c r="B23">
        <v>1467</v>
      </c>
      <c r="C23" t="s">
        <v>26</v>
      </c>
      <c r="D23" t="s">
        <v>27</v>
      </c>
      <c r="E23" t="s">
        <v>31</v>
      </c>
      <c r="F23" t="s">
        <v>53</v>
      </c>
      <c r="G23" s="1" t="str">
        <f>HYPERLINK("https://new.land.naver.com/complexes/1467", "클릭")</f>
        <v>클릭</v>
      </c>
      <c r="H23">
        <v>1992</v>
      </c>
      <c r="I23">
        <v>5</v>
      </c>
      <c r="J23">
        <v>620</v>
      </c>
      <c r="K23">
        <v>84</v>
      </c>
      <c r="L23" t="s">
        <v>135</v>
      </c>
      <c r="M23" t="s">
        <v>137</v>
      </c>
      <c r="N23" t="s">
        <v>147</v>
      </c>
      <c r="O23">
        <v>88000</v>
      </c>
      <c r="P23" t="s">
        <v>147</v>
      </c>
      <c r="Q23">
        <v>43000</v>
      </c>
      <c r="R23">
        <v>45000</v>
      </c>
      <c r="S23" s="2">
        <v>0.48863636363636359</v>
      </c>
      <c r="T23">
        <v>113000</v>
      </c>
      <c r="U23" s="2">
        <v>-0.22123893805309741</v>
      </c>
      <c r="V23">
        <v>57700</v>
      </c>
      <c r="W23" s="2">
        <v>1.525129982668977</v>
      </c>
      <c r="X23">
        <v>14</v>
      </c>
      <c r="Y23">
        <v>22</v>
      </c>
      <c r="Z23">
        <v>-8</v>
      </c>
      <c r="AA23" t="s">
        <v>198</v>
      </c>
    </row>
    <row r="24" spans="1:27" x14ac:dyDescent="0.3">
      <c r="A24" s="3">
        <v>22</v>
      </c>
      <c r="B24">
        <v>1479</v>
      </c>
      <c r="C24" t="s">
        <v>26</v>
      </c>
      <c r="D24" t="s">
        <v>27</v>
      </c>
      <c r="E24" t="s">
        <v>30</v>
      </c>
      <c r="F24" t="s">
        <v>54</v>
      </c>
      <c r="G24" s="1" t="str">
        <f>HYPERLINK("https://new.land.naver.com/complexes/1479", "클릭")</f>
        <v>클릭</v>
      </c>
      <c r="H24">
        <v>1992</v>
      </c>
      <c r="I24">
        <v>8</v>
      </c>
      <c r="J24">
        <v>368</v>
      </c>
      <c r="K24">
        <v>84</v>
      </c>
      <c r="L24" t="s">
        <v>135</v>
      </c>
      <c r="M24" t="s">
        <v>137</v>
      </c>
      <c r="N24" t="s">
        <v>157</v>
      </c>
      <c r="O24">
        <v>85000</v>
      </c>
      <c r="P24" t="s">
        <v>157</v>
      </c>
      <c r="Q24">
        <v>51000</v>
      </c>
      <c r="R24">
        <v>34000</v>
      </c>
      <c r="S24" s="2">
        <v>0.6</v>
      </c>
      <c r="T24">
        <v>98000</v>
      </c>
      <c r="U24" s="2">
        <v>-0.1326530612244898</v>
      </c>
      <c r="V24">
        <v>52600</v>
      </c>
      <c r="W24" s="2">
        <v>1.6159695817490489</v>
      </c>
      <c r="X24">
        <v>28</v>
      </c>
      <c r="Y24">
        <v>23</v>
      </c>
      <c r="Z24">
        <v>5</v>
      </c>
      <c r="AA24" t="s">
        <v>198</v>
      </c>
    </row>
    <row r="25" spans="1:27" x14ac:dyDescent="0.3">
      <c r="A25" s="3">
        <v>23</v>
      </c>
      <c r="B25">
        <v>3075</v>
      </c>
      <c r="C25" t="s">
        <v>26</v>
      </c>
      <c r="D25" t="s">
        <v>27</v>
      </c>
      <c r="E25" t="s">
        <v>31</v>
      </c>
      <c r="F25" t="s">
        <v>55</v>
      </c>
      <c r="G25" s="1" t="str">
        <f>HYPERLINK("https://new.land.naver.com/complexes/3075", "클릭")</f>
        <v>클릭</v>
      </c>
      <c r="H25">
        <v>1992</v>
      </c>
      <c r="I25">
        <v>6</v>
      </c>
      <c r="J25">
        <v>502</v>
      </c>
      <c r="K25">
        <v>84</v>
      </c>
      <c r="L25" t="s">
        <v>135</v>
      </c>
      <c r="M25" t="s">
        <v>137</v>
      </c>
      <c r="N25" t="s">
        <v>158</v>
      </c>
      <c r="O25">
        <v>85000</v>
      </c>
      <c r="P25" t="s">
        <v>158</v>
      </c>
      <c r="Q25">
        <v>46000</v>
      </c>
      <c r="R25">
        <v>39000</v>
      </c>
      <c r="S25" s="2">
        <v>0.54117647058823526</v>
      </c>
      <c r="T25">
        <v>105000</v>
      </c>
      <c r="U25" s="2">
        <v>-0.19047619047619049</v>
      </c>
      <c r="V25">
        <v>48500</v>
      </c>
      <c r="W25" s="2">
        <v>1.7525773195876291</v>
      </c>
      <c r="X25">
        <v>18</v>
      </c>
      <c r="Y25">
        <v>23</v>
      </c>
      <c r="Z25">
        <v>-5</v>
      </c>
      <c r="AA25" t="s">
        <v>198</v>
      </c>
    </row>
    <row r="26" spans="1:27" x14ac:dyDescent="0.3">
      <c r="A26" s="3">
        <v>24</v>
      </c>
      <c r="B26">
        <v>1477</v>
      </c>
      <c r="C26" t="s">
        <v>26</v>
      </c>
      <c r="D26" t="s">
        <v>27</v>
      </c>
      <c r="E26" t="s">
        <v>30</v>
      </c>
      <c r="F26" t="s">
        <v>56</v>
      </c>
      <c r="G26" s="1" t="str">
        <f>HYPERLINK("https://new.land.naver.com/complexes/1477", "클릭")</f>
        <v>클릭</v>
      </c>
      <c r="H26">
        <v>1993</v>
      </c>
      <c r="I26">
        <v>7</v>
      </c>
      <c r="J26">
        <v>752</v>
      </c>
      <c r="K26">
        <v>84</v>
      </c>
      <c r="L26" t="s">
        <v>135</v>
      </c>
      <c r="M26" t="s">
        <v>137</v>
      </c>
      <c r="N26" t="s">
        <v>150</v>
      </c>
      <c r="O26">
        <v>85000</v>
      </c>
      <c r="P26" t="s">
        <v>148</v>
      </c>
      <c r="Q26">
        <v>50000</v>
      </c>
      <c r="R26">
        <v>35000</v>
      </c>
      <c r="S26" s="2">
        <v>0.58823529411764708</v>
      </c>
      <c r="T26">
        <v>102000</v>
      </c>
      <c r="U26" s="2">
        <v>-0.16666666666666671</v>
      </c>
      <c r="V26">
        <v>49200</v>
      </c>
      <c r="W26" s="2">
        <v>1.7276422764227639</v>
      </c>
      <c r="X26">
        <v>24</v>
      </c>
      <c r="Y26">
        <v>23</v>
      </c>
      <c r="Z26">
        <v>1</v>
      </c>
      <c r="AA26" t="s">
        <v>198</v>
      </c>
    </row>
    <row r="27" spans="1:27" x14ac:dyDescent="0.3">
      <c r="A27" s="3">
        <v>25</v>
      </c>
      <c r="B27">
        <v>1454</v>
      </c>
      <c r="C27" t="s">
        <v>26</v>
      </c>
      <c r="D27" t="s">
        <v>27</v>
      </c>
      <c r="E27" t="s">
        <v>31</v>
      </c>
      <c r="F27" t="s">
        <v>57</v>
      </c>
      <c r="G27" s="1" t="str">
        <f>HYPERLINK("https://new.land.naver.com/complexes/1454", "클릭")</f>
        <v>클릭</v>
      </c>
      <c r="H27">
        <v>1993</v>
      </c>
      <c r="I27">
        <v>4</v>
      </c>
      <c r="J27">
        <v>1482</v>
      </c>
      <c r="K27">
        <v>84</v>
      </c>
      <c r="L27" t="s">
        <v>135</v>
      </c>
      <c r="M27" t="s">
        <v>137</v>
      </c>
      <c r="N27" t="s">
        <v>150</v>
      </c>
      <c r="O27">
        <v>83000</v>
      </c>
      <c r="P27" t="s">
        <v>150</v>
      </c>
      <c r="Q27">
        <v>40000</v>
      </c>
      <c r="R27">
        <v>43000</v>
      </c>
      <c r="S27" s="2">
        <v>0.48192771084337349</v>
      </c>
      <c r="T27">
        <v>110000</v>
      </c>
      <c r="U27" s="2">
        <v>-0.24545454545454551</v>
      </c>
      <c r="V27">
        <v>49300</v>
      </c>
      <c r="W27" s="2">
        <v>1.683569979716024</v>
      </c>
      <c r="X27">
        <v>16</v>
      </c>
      <c r="Y27">
        <v>26</v>
      </c>
      <c r="Z27">
        <v>-10</v>
      </c>
      <c r="AA27" t="s">
        <v>198</v>
      </c>
    </row>
    <row r="28" spans="1:27" x14ac:dyDescent="0.3">
      <c r="A28" s="3">
        <v>26</v>
      </c>
      <c r="B28">
        <v>1995</v>
      </c>
      <c r="C28" t="s">
        <v>26</v>
      </c>
      <c r="D28" t="s">
        <v>27</v>
      </c>
      <c r="E28" t="s">
        <v>31</v>
      </c>
      <c r="F28" t="s">
        <v>58</v>
      </c>
      <c r="G28" s="1" t="str">
        <f>HYPERLINK("https://new.land.naver.com/complexes/1995", "클릭")</f>
        <v>클릭</v>
      </c>
      <c r="H28">
        <v>1985</v>
      </c>
      <c r="I28">
        <v>11</v>
      </c>
      <c r="J28">
        <v>540</v>
      </c>
      <c r="K28">
        <v>84</v>
      </c>
      <c r="L28" t="s">
        <v>135</v>
      </c>
      <c r="M28" t="s">
        <v>138</v>
      </c>
      <c r="N28" t="s">
        <v>159</v>
      </c>
      <c r="O28">
        <v>83000</v>
      </c>
      <c r="T28">
        <v>105000</v>
      </c>
      <c r="U28" s="2">
        <v>-0.2095238095238095</v>
      </c>
      <c r="V28">
        <v>53900</v>
      </c>
      <c r="W28" s="2">
        <v>1.539888682745826</v>
      </c>
      <c r="X28">
        <v>18</v>
      </c>
      <c r="Y28">
        <v>26</v>
      </c>
      <c r="Z28">
        <v>-8</v>
      </c>
      <c r="AA28" t="s">
        <v>198</v>
      </c>
    </row>
    <row r="29" spans="1:27" x14ac:dyDescent="0.3">
      <c r="A29" s="3">
        <v>27</v>
      </c>
      <c r="B29">
        <v>8205</v>
      </c>
      <c r="C29" t="s">
        <v>26</v>
      </c>
      <c r="D29" t="s">
        <v>27</v>
      </c>
      <c r="E29" t="s">
        <v>30</v>
      </c>
      <c r="F29" t="s">
        <v>59</v>
      </c>
      <c r="G29" s="1" t="str">
        <f>HYPERLINK("https://new.land.naver.com/complexes/8205", "클릭")</f>
        <v>클릭</v>
      </c>
      <c r="H29">
        <v>2001</v>
      </c>
      <c r="I29">
        <v>4</v>
      </c>
      <c r="J29">
        <v>1996</v>
      </c>
      <c r="K29">
        <v>84</v>
      </c>
      <c r="L29" t="s">
        <v>135</v>
      </c>
      <c r="M29" t="s">
        <v>137</v>
      </c>
      <c r="N29" t="s">
        <v>160</v>
      </c>
      <c r="O29">
        <v>82000</v>
      </c>
      <c r="P29" t="s">
        <v>160</v>
      </c>
      <c r="Q29">
        <v>43000</v>
      </c>
      <c r="R29">
        <v>39000</v>
      </c>
      <c r="S29" s="2">
        <v>0.52439024390243905</v>
      </c>
      <c r="T29">
        <v>124000</v>
      </c>
      <c r="U29" s="2">
        <v>-0.33870967741935482</v>
      </c>
      <c r="V29">
        <v>49500</v>
      </c>
      <c r="W29" s="2">
        <v>1.656565656565657</v>
      </c>
      <c r="X29">
        <v>9</v>
      </c>
      <c r="Y29">
        <v>28</v>
      </c>
      <c r="Z29">
        <v>-19</v>
      </c>
      <c r="AA29" t="s">
        <v>198</v>
      </c>
    </row>
    <row r="30" spans="1:27" x14ac:dyDescent="0.3">
      <c r="A30" s="3">
        <v>28</v>
      </c>
      <c r="B30">
        <v>1478</v>
      </c>
      <c r="C30" t="s">
        <v>26</v>
      </c>
      <c r="D30" t="s">
        <v>27</v>
      </c>
      <c r="E30" t="s">
        <v>30</v>
      </c>
      <c r="F30" t="s">
        <v>60</v>
      </c>
      <c r="G30" s="1" t="str">
        <f>HYPERLINK("https://new.land.naver.com/complexes/1478", "클릭")</f>
        <v>클릭</v>
      </c>
      <c r="H30">
        <v>1993</v>
      </c>
      <c r="I30">
        <v>10</v>
      </c>
      <c r="J30">
        <v>656</v>
      </c>
      <c r="K30">
        <v>84</v>
      </c>
      <c r="L30" t="s">
        <v>135</v>
      </c>
      <c r="M30" t="s">
        <v>137</v>
      </c>
      <c r="N30" t="s">
        <v>147</v>
      </c>
      <c r="O30">
        <v>82000</v>
      </c>
      <c r="P30" t="s">
        <v>147</v>
      </c>
      <c r="Q30">
        <v>45000</v>
      </c>
      <c r="R30">
        <v>37000</v>
      </c>
      <c r="S30" s="2">
        <v>0.54878048780487809</v>
      </c>
      <c r="T30">
        <v>103000</v>
      </c>
      <c r="U30" s="2">
        <v>-0.20388349514563109</v>
      </c>
      <c r="V30">
        <v>54200</v>
      </c>
      <c r="W30" s="2">
        <v>1.512915129151291</v>
      </c>
      <c r="X30">
        <v>21</v>
      </c>
      <c r="Y30">
        <v>28</v>
      </c>
      <c r="Z30">
        <v>-7</v>
      </c>
      <c r="AA30" t="s">
        <v>198</v>
      </c>
    </row>
    <row r="31" spans="1:27" x14ac:dyDescent="0.3">
      <c r="A31" s="3">
        <v>29</v>
      </c>
      <c r="B31">
        <v>1465</v>
      </c>
      <c r="C31" t="s">
        <v>26</v>
      </c>
      <c r="D31" t="s">
        <v>27</v>
      </c>
      <c r="E31" t="s">
        <v>29</v>
      </c>
      <c r="F31" t="s">
        <v>61</v>
      </c>
      <c r="G31" s="1" t="str">
        <f>HYPERLINK("https://new.land.naver.com/complexes/1465", "클릭")</f>
        <v>클릭</v>
      </c>
      <c r="H31">
        <v>1995</v>
      </c>
      <c r="I31">
        <v>1</v>
      </c>
      <c r="J31">
        <v>708</v>
      </c>
      <c r="K31">
        <v>84</v>
      </c>
      <c r="L31" t="s">
        <v>135</v>
      </c>
      <c r="M31" t="s">
        <v>137</v>
      </c>
      <c r="N31" t="s">
        <v>147</v>
      </c>
      <c r="O31">
        <v>82000</v>
      </c>
      <c r="P31" t="s">
        <v>147</v>
      </c>
      <c r="Q31">
        <v>38000</v>
      </c>
      <c r="R31">
        <v>44000</v>
      </c>
      <c r="S31" s="2">
        <v>0.46341463414634149</v>
      </c>
      <c r="T31">
        <v>92000</v>
      </c>
      <c r="U31" s="2">
        <v>-0.108695652173913</v>
      </c>
      <c r="V31">
        <v>48700</v>
      </c>
      <c r="W31" s="2">
        <v>1.6837782340862419</v>
      </c>
      <c r="X31">
        <v>35</v>
      </c>
      <c r="Y31">
        <v>28</v>
      </c>
      <c r="Z31">
        <v>7</v>
      </c>
      <c r="AA31" t="s">
        <v>198</v>
      </c>
    </row>
    <row r="32" spans="1:27" x14ac:dyDescent="0.3">
      <c r="A32" s="3">
        <v>30</v>
      </c>
      <c r="B32">
        <v>3001</v>
      </c>
      <c r="C32" t="s">
        <v>26</v>
      </c>
      <c r="D32" t="s">
        <v>27</v>
      </c>
      <c r="E32" t="s">
        <v>29</v>
      </c>
      <c r="F32" t="s">
        <v>62</v>
      </c>
      <c r="G32" s="1" t="str">
        <f>HYPERLINK("https://new.land.naver.com/complexes/3001", "클릭")</f>
        <v>클릭</v>
      </c>
      <c r="H32">
        <v>1995</v>
      </c>
      <c r="I32">
        <v>5</v>
      </c>
      <c r="J32">
        <v>952</v>
      </c>
      <c r="K32">
        <v>84</v>
      </c>
      <c r="L32" t="s">
        <v>135</v>
      </c>
      <c r="M32" t="s">
        <v>137</v>
      </c>
      <c r="N32" t="s">
        <v>155</v>
      </c>
      <c r="O32">
        <v>81000</v>
      </c>
      <c r="P32" t="s">
        <v>155</v>
      </c>
      <c r="Q32">
        <v>40000</v>
      </c>
      <c r="R32">
        <v>41000</v>
      </c>
      <c r="S32" s="2">
        <v>0.49382716049382708</v>
      </c>
      <c r="T32">
        <v>84000</v>
      </c>
      <c r="U32" s="2">
        <v>-3.5714285714285712E-2</v>
      </c>
      <c r="V32">
        <v>48600</v>
      </c>
      <c r="W32" s="2">
        <v>1.666666666666667</v>
      </c>
      <c r="X32">
        <v>43</v>
      </c>
      <c r="Y32">
        <v>31</v>
      </c>
      <c r="Z32">
        <v>12</v>
      </c>
      <c r="AA32" t="s">
        <v>198</v>
      </c>
    </row>
    <row r="33" spans="1:27" x14ac:dyDescent="0.3">
      <c r="A33" s="3">
        <v>31</v>
      </c>
      <c r="B33">
        <v>1461</v>
      </c>
      <c r="C33" t="s">
        <v>26</v>
      </c>
      <c r="D33" t="s">
        <v>27</v>
      </c>
      <c r="E33" t="s">
        <v>29</v>
      </c>
      <c r="F33" t="s">
        <v>63</v>
      </c>
      <c r="G33" s="1" t="str">
        <f>HYPERLINK("https://new.land.naver.com/complexes/1461", "클릭")</f>
        <v>클릭</v>
      </c>
      <c r="H33">
        <v>1992</v>
      </c>
      <c r="I33">
        <v>11</v>
      </c>
      <c r="J33">
        <v>436</v>
      </c>
      <c r="K33">
        <v>84</v>
      </c>
      <c r="L33" t="s">
        <v>135</v>
      </c>
      <c r="M33" t="s">
        <v>137</v>
      </c>
      <c r="N33" t="s">
        <v>155</v>
      </c>
      <c r="O33">
        <v>79900</v>
      </c>
      <c r="P33" t="s">
        <v>155</v>
      </c>
      <c r="Q33">
        <v>40000</v>
      </c>
      <c r="R33">
        <v>39900</v>
      </c>
      <c r="S33" s="2">
        <v>0.50062578222778475</v>
      </c>
      <c r="T33">
        <v>86000</v>
      </c>
      <c r="U33" s="2">
        <v>-7.093023255813953E-2</v>
      </c>
      <c r="V33">
        <v>48600</v>
      </c>
      <c r="W33" s="2">
        <v>1.644032921810699</v>
      </c>
      <c r="X33">
        <v>40</v>
      </c>
      <c r="Y33">
        <v>32</v>
      </c>
      <c r="Z33">
        <v>8</v>
      </c>
      <c r="AA33" t="s">
        <v>198</v>
      </c>
    </row>
    <row r="34" spans="1:27" x14ac:dyDescent="0.3">
      <c r="A34" s="3">
        <v>32</v>
      </c>
      <c r="B34">
        <v>8481</v>
      </c>
      <c r="C34" t="s">
        <v>26</v>
      </c>
      <c r="D34" t="s">
        <v>27</v>
      </c>
      <c r="E34" t="s">
        <v>30</v>
      </c>
      <c r="F34" t="s">
        <v>64</v>
      </c>
      <c r="G34" s="1" t="str">
        <f>HYPERLINK("https://new.land.naver.com/complexes/8481", "클릭")</f>
        <v>클릭</v>
      </c>
      <c r="H34">
        <v>1993</v>
      </c>
      <c r="I34">
        <v>11</v>
      </c>
      <c r="J34">
        <v>870</v>
      </c>
      <c r="K34">
        <v>84</v>
      </c>
      <c r="L34" t="s">
        <v>135</v>
      </c>
      <c r="M34" t="s">
        <v>137</v>
      </c>
      <c r="N34" t="s">
        <v>148</v>
      </c>
      <c r="O34">
        <v>78000</v>
      </c>
      <c r="P34" t="s">
        <v>148</v>
      </c>
      <c r="Q34">
        <v>42000</v>
      </c>
      <c r="R34">
        <v>36000</v>
      </c>
      <c r="S34" s="2">
        <v>0.53846153846153844</v>
      </c>
      <c r="T34">
        <v>95000</v>
      </c>
      <c r="U34" s="2">
        <v>-0.1789473684210526</v>
      </c>
      <c r="V34">
        <v>46600</v>
      </c>
      <c r="W34" s="2">
        <v>1.67381974248927</v>
      </c>
      <c r="X34">
        <v>31</v>
      </c>
      <c r="Y34">
        <v>33</v>
      </c>
      <c r="Z34">
        <v>-2</v>
      </c>
      <c r="AA34" t="s">
        <v>198</v>
      </c>
    </row>
    <row r="35" spans="1:27" x14ac:dyDescent="0.3">
      <c r="A35" s="3">
        <v>33</v>
      </c>
      <c r="B35">
        <v>19492</v>
      </c>
      <c r="C35" t="s">
        <v>26</v>
      </c>
      <c r="D35" t="s">
        <v>27</v>
      </c>
      <c r="E35" t="s">
        <v>28</v>
      </c>
      <c r="F35" t="s">
        <v>65</v>
      </c>
      <c r="G35" s="1" t="str">
        <f>HYPERLINK("https://new.land.naver.com/complexes/19492", "클릭")</f>
        <v>클릭</v>
      </c>
      <c r="H35">
        <v>1992</v>
      </c>
      <c r="I35">
        <v>12</v>
      </c>
      <c r="J35">
        <v>800</v>
      </c>
      <c r="K35">
        <v>84</v>
      </c>
      <c r="L35" t="s">
        <v>135</v>
      </c>
      <c r="M35" t="s">
        <v>137</v>
      </c>
      <c r="N35" t="s">
        <v>149</v>
      </c>
      <c r="O35">
        <v>78000</v>
      </c>
      <c r="P35" t="s">
        <v>158</v>
      </c>
      <c r="Q35">
        <v>43000</v>
      </c>
      <c r="R35">
        <v>35000</v>
      </c>
      <c r="S35" s="2">
        <v>0.55128205128205132</v>
      </c>
      <c r="T35">
        <v>96500</v>
      </c>
      <c r="U35" s="2">
        <v>-0.19170984455958551</v>
      </c>
      <c r="V35">
        <v>48800</v>
      </c>
      <c r="W35" s="2">
        <v>1.598360655737705</v>
      </c>
      <c r="X35">
        <v>30</v>
      </c>
      <c r="Y35">
        <v>33</v>
      </c>
      <c r="Z35">
        <v>-3</v>
      </c>
      <c r="AA35" t="s">
        <v>198</v>
      </c>
    </row>
    <row r="36" spans="1:27" x14ac:dyDescent="0.3">
      <c r="A36" s="3">
        <v>34</v>
      </c>
      <c r="B36">
        <v>8194</v>
      </c>
      <c r="C36" t="s">
        <v>26</v>
      </c>
      <c r="D36" t="s">
        <v>27</v>
      </c>
      <c r="E36" t="s">
        <v>30</v>
      </c>
      <c r="F36" t="s">
        <v>66</v>
      </c>
      <c r="G36" s="1" t="str">
        <f>HYPERLINK("https://new.land.naver.com/complexes/8194", "클릭")</f>
        <v>클릭</v>
      </c>
      <c r="H36">
        <v>2004</v>
      </c>
      <c r="I36">
        <v>11</v>
      </c>
      <c r="J36">
        <v>862</v>
      </c>
      <c r="K36">
        <v>84</v>
      </c>
      <c r="L36" t="s">
        <v>135</v>
      </c>
      <c r="M36" t="s">
        <v>137</v>
      </c>
      <c r="N36" t="s">
        <v>161</v>
      </c>
      <c r="O36">
        <v>78000</v>
      </c>
      <c r="P36" t="s">
        <v>161</v>
      </c>
      <c r="Q36">
        <v>43000</v>
      </c>
      <c r="R36">
        <v>35000</v>
      </c>
      <c r="S36" s="2">
        <v>0.55128205128205132</v>
      </c>
      <c r="T36">
        <v>103000</v>
      </c>
      <c r="U36" s="2">
        <v>-0.24271844660194181</v>
      </c>
      <c r="V36">
        <v>48500</v>
      </c>
      <c r="W36" s="2">
        <v>1.608247422680412</v>
      </c>
      <c r="X36">
        <v>21</v>
      </c>
      <c r="Y36">
        <v>33</v>
      </c>
      <c r="Z36">
        <v>-12</v>
      </c>
      <c r="AA36" t="s">
        <v>198</v>
      </c>
    </row>
    <row r="37" spans="1:27" x14ac:dyDescent="0.3">
      <c r="A37" s="3">
        <v>35</v>
      </c>
      <c r="B37">
        <v>26320</v>
      </c>
      <c r="C37" t="s">
        <v>26</v>
      </c>
      <c r="D37" t="s">
        <v>27</v>
      </c>
      <c r="E37" t="s">
        <v>31</v>
      </c>
      <c r="F37" t="s">
        <v>67</v>
      </c>
      <c r="G37" s="1" t="str">
        <f>HYPERLINK("https://new.land.naver.com/complexes/26320", "클릭")</f>
        <v>클릭</v>
      </c>
      <c r="H37">
        <v>2008</v>
      </c>
      <c r="I37">
        <v>10</v>
      </c>
      <c r="J37">
        <v>486</v>
      </c>
      <c r="K37">
        <v>84</v>
      </c>
      <c r="L37" t="s">
        <v>135</v>
      </c>
      <c r="M37" t="s">
        <v>137</v>
      </c>
      <c r="N37" t="s">
        <v>162</v>
      </c>
      <c r="O37">
        <v>78000</v>
      </c>
      <c r="P37" t="s">
        <v>193</v>
      </c>
      <c r="Q37">
        <v>45000</v>
      </c>
      <c r="R37">
        <v>33000</v>
      </c>
      <c r="S37" s="2">
        <v>0.57692307692307687</v>
      </c>
      <c r="T37">
        <v>103700</v>
      </c>
      <c r="U37" s="2">
        <v>-0.24783027965284471</v>
      </c>
      <c r="V37">
        <v>51700</v>
      </c>
      <c r="W37" s="2">
        <v>1.508704061895551</v>
      </c>
      <c r="X37">
        <v>20</v>
      </c>
      <c r="Y37">
        <v>33</v>
      </c>
      <c r="Z37">
        <v>-13</v>
      </c>
      <c r="AA37" t="s">
        <v>198</v>
      </c>
    </row>
    <row r="38" spans="1:27" x14ac:dyDescent="0.3">
      <c r="A38" s="3">
        <v>36</v>
      </c>
      <c r="B38">
        <v>152005</v>
      </c>
      <c r="C38" t="s">
        <v>26</v>
      </c>
      <c r="D38" t="s">
        <v>27</v>
      </c>
      <c r="E38" t="s">
        <v>28</v>
      </c>
      <c r="F38" t="s">
        <v>68</v>
      </c>
      <c r="G38" s="1" t="str">
        <f>HYPERLINK("https://new.land.naver.com/complexes/152005", "클릭")</f>
        <v>클릭</v>
      </c>
      <c r="H38">
        <v>2025</v>
      </c>
      <c r="I38">
        <v>6</v>
      </c>
      <c r="J38">
        <v>456</v>
      </c>
      <c r="K38">
        <v>84</v>
      </c>
      <c r="L38" t="s">
        <v>135</v>
      </c>
      <c r="M38" t="s">
        <v>139</v>
      </c>
      <c r="N38" t="s">
        <v>163</v>
      </c>
      <c r="O38">
        <v>78000</v>
      </c>
      <c r="Y38">
        <v>33</v>
      </c>
      <c r="AA38" t="s">
        <v>198</v>
      </c>
    </row>
    <row r="39" spans="1:27" x14ac:dyDescent="0.3">
      <c r="A39" s="3">
        <v>37</v>
      </c>
      <c r="B39">
        <v>123900</v>
      </c>
      <c r="C39" t="s">
        <v>26</v>
      </c>
      <c r="D39" t="s">
        <v>27</v>
      </c>
      <c r="E39" t="s">
        <v>28</v>
      </c>
      <c r="F39" t="s">
        <v>69</v>
      </c>
      <c r="G39" s="1" t="str">
        <f>HYPERLINK("https://new.land.naver.com/complexes/123900", "클릭")</f>
        <v>클릭</v>
      </c>
      <c r="H39">
        <v>2022</v>
      </c>
      <c r="I39">
        <v>5</v>
      </c>
      <c r="J39">
        <v>855</v>
      </c>
      <c r="K39">
        <v>84</v>
      </c>
      <c r="L39" t="s">
        <v>135</v>
      </c>
      <c r="M39" t="s">
        <v>137</v>
      </c>
      <c r="N39" t="s">
        <v>164</v>
      </c>
      <c r="O39">
        <v>77000</v>
      </c>
      <c r="P39" t="s">
        <v>153</v>
      </c>
      <c r="Q39">
        <v>45000</v>
      </c>
      <c r="R39">
        <v>32000</v>
      </c>
      <c r="S39" s="2">
        <v>0.58441558441558439</v>
      </c>
      <c r="T39">
        <v>80820</v>
      </c>
      <c r="U39" s="2">
        <v>-4.726552833457065E-2</v>
      </c>
      <c r="V39">
        <v>52800</v>
      </c>
      <c r="W39" s="2">
        <v>1.458333333333333</v>
      </c>
      <c r="X39">
        <v>47</v>
      </c>
      <c r="Y39">
        <v>38</v>
      </c>
      <c r="Z39">
        <v>9</v>
      </c>
      <c r="AA39" t="s">
        <v>198</v>
      </c>
    </row>
    <row r="40" spans="1:27" x14ac:dyDescent="0.3">
      <c r="A40" s="3">
        <v>38</v>
      </c>
      <c r="B40">
        <v>107639</v>
      </c>
      <c r="C40" t="s">
        <v>26</v>
      </c>
      <c r="D40" t="s">
        <v>27</v>
      </c>
      <c r="E40" t="s">
        <v>28</v>
      </c>
      <c r="F40" t="s">
        <v>70</v>
      </c>
      <c r="G40" s="1" t="str">
        <f>HYPERLINK("https://new.land.naver.com/complexes/107639", "클릭")</f>
        <v>클릭</v>
      </c>
      <c r="H40">
        <v>2015</v>
      </c>
      <c r="I40">
        <v>8</v>
      </c>
      <c r="J40">
        <v>410</v>
      </c>
      <c r="K40">
        <v>84</v>
      </c>
      <c r="L40" t="s">
        <v>135</v>
      </c>
      <c r="M40" t="s">
        <v>137</v>
      </c>
      <c r="N40" t="s">
        <v>160</v>
      </c>
      <c r="O40">
        <v>77000</v>
      </c>
      <c r="P40" t="s">
        <v>160</v>
      </c>
      <c r="Q40">
        <v>45000</v>
      </c>
      <c r="R40">
        <v>32000</v>
      </c>
      <c r="S40" s="2">
        <v>0.58441558441558439</v>
      </c>
      <c r="T40">
        <v>101000</v>
      </c>
      <c r="U40" s="2">
        <v>-0.23762376237623761</v>
      </c>
      <c r="V40">
        <v>50600</v>
      </c>
      <c r="W40" s="2">
        <v>1.5217391304347829</v>
      </c>
      <c r="X40">
        <v>25</v>
      </c>
      <c r="Y40">
        <v>38</v>
      </c>
      <c r="Z40">
        <v>-13</v>
      </c>
      <c r="AA40" t="s">
        <v>198</v>
      </c>
    </row>
    <row r="41" spans="1:27" x14ac:dyDescent="0.3">
      <c r="A41" s="3">
        <v>39</v>
      </c>
      <c r="B41">
        <v>1978</v>
      </c>
      <c r="C41" t="s">
        <v>26</v>
      </c>
      <c r="D41" t="s">
        <v>27</v>
      </c>
      <c r="E41" t="s">
        <v>29</v>
      </c>
      <c r="F41" t="s">
        <v>71</v>
      </c>
      <c r="G41" s="1" t="str">
        <f>HYPERLINK("https://new.land.naver.com/complexes/1978", "클릭")</f>
        <v>클릭</v>
      </c>
      <c r="H41">
        <v>1985</v>
      </c>
      <c r="I41">
        <v>4</v>
      </c>
      <c r="J41">
        <v>904</v>
      </c>
      <c r="K41">
        <v>84</v>
      </c>
      <c r="L41" t="s">
        <v>136</v>
      </c>
      <c r="M41" t="s">
        <v>138</v>
      </c>
      <c r="N41" t="s">
        <v>165</v>
      </c>
      <c r="O41">
        <v>76000</v>
      </c>
      <c r="P41" t="s">
        <v>165</v>
      </c>
      <c r="Q41">
        <v>28000</v>
      </c>
      <c r="R41">
        <v>48000</v>
      </c>
      <c r="S41" s="2">
        <v>0.36842105263157893</v>
      </c>
      <c r="T41">
        <v>120000</v>
      </c>
      <c r="U41" s="2">
        <v>-0.36666666666666659</v>
      </c>
      <c r="V41">
        <v>54400</v>
      </c>
      <c r="W41" s="2">
        <v>1.3970588235294119</v>
      </c>
      <c r="X41">
        <v>10</v>
      </c>
      <c r="Y41">
        <v>40</v>
      </c>
      <c r="Z41">
        <v>-30</v>
      </c>
      <c r="AA41" t="s">
        <v>198</v>
      </c>
    </row>
    <row r="42" spans="1:27" x14ac:dyDescent="0.3">
      <c r="A42" s="3">
        <v>40</v>
      </c>
      <c r="B42">
        <v>3081</v>
      </c>
      <c r="C42" t="s">
        <v>26</v>
      </c>
      <c r="D42" t="s">
        <v>27</v>
      </c>
      <c r="E42" t="s">
        <v>28</v>
      </c>
      <c r="F42" t="s">
        <v>72</v>
      </c>
      <c r="G42" s="1" t="str">
        <f>HYPERLINK("https://new.land.naver.com/complexes/3081", "클릭")</f>
        <v>클릭</v>
      </c>
      <c r="H42">
        <v>2002</v>
      </c>
      <c r="I42">
        <v>11</v>
      </c>
      <c r="J42">
        <v>604</v>
      </c>
      <c r="K42">
        <v>84</v>
      </c>
      <c r="L42" t="s">
        <v>135</v>
      </c>
      <c r="M42" t="s">
        <v>137</v>
      </c>
      <c r="N42" t="s">
        <v>166</v>
      </c>
      <c r="O42">
        <v>75000</v>
      </c>
      <c r="P42" t="s">
        <v>166</v>
      </c>
      <c r="Q42">
        <v>45000</v>
      </c>
      <c r="R42">
        <v>30000</v>
      </c>
      <c r="S42" s="2">
        <v>0.6</v>
      </c>
      <c r="T42">
        <v>85600</v>
      </c>
      <c r="U42" s="2">
        <v>-0.12383177570093459</v>
      </c>
      <c r="V42">
        <v>47800</v>
      </c>
      <c r="W42" s="2">
        <v>1.5690376569037661</v>
      </c>
      <c r="X42">
        <v>41</v>
      </c>
      <c r="Y42">
        <v>41</v>
      </c>
      <c r="Z42">
        <v>0</v>
      </c>
      <c r="AA42" t="s">
        <v>198</v>
      </c>
    </row>
    <row r="43" spans="1:27" x14ac:dyDescent="0.3">
      <c r="A43" s="3">
        <v>41</v>
      </c>
      <c r="B43">
        <v>1473</v>
      </c>
      <c r="C43" t="s">
        <v>26</v>
      </c>
      <c r="D43" t="s">
        <v>27</v>
      </c>
      <c r="E43" t="s">
        <v>28</v>
      </c>
      <c r="F43" t="s">
        <v>73</v>
      </c>
      <c r="G43" s="1" t="str">
        <f>HYPERLINK("https://new.land.naver.com/complexes/1473", "클릭")</f>
        <v>클릭</v>
      </c>
      <c r="H43">
        <v>1992</v>
      </c>
      <c r="I43">
        <v>9</v>
      </c>
      <c r="J43">
        <v>321</v>
      </c>
      <c r="K43">
        <v>84</v>
      </c>
      <c r="L43" t="s">
        <v>135</v>
      </c>
      <c r="M43" t="s">
        <v>137</v>
      </c>
      <c r="N43" t="s">
        <v>150</v>
      </c>
      <c r="O43">
        <v>75000</v>
      </c>
      <c r="P43" t="s">
        <v>150</v>
      </c>
      <c r="Q43">
        <v>46000</v>
      </c>
      <c r="R43">
        <v>29000</v>
      </c>
      <c r="S43" s="2">
        <v>0.61333333333333329</v>
      </c>
      <c r="T43">
        <v>88000</v>
      </c>
      <c r="U43" s="2">
        <v>-0.14772727272727271</v>
      </c>
      <c r="V43">
        <v>41800</v>
      </c>
      <c r="W43" s="2">
        <v>1.794258373205742</v>
      </c>
      <c r="X43">
        <v>37</v>
      </c>
      <c r="Y43">
        <v>41</v>
      </c>
      <c r="Z43">
        <v>-4</v>
      </c>
      <c r="AA43" t="s">
        <v>198</v>
      </c>
    </row>
    <row r="44" spans="1:27" x14ac:dyDescent="0.3">
      <c r="A44" s="3">
        <v>42</v>
      </c>
      <c r="B44">
        <v>25725</v>
      </c>
      <c r="C44" t="s">
        <v>26</v>
      </c>
      <c r="D44" t="s">
        <v>27</v>
      </c>
      <c r="E44" t="s">
        <v>31</v>
      </c>
      <c r="F44" t="s">
        <v>74</v>
      </c>
      <c r="G44" s="1" t="str">
        <f>HYPERLINK("https://new.land.naver.com/complexes/25725", "클릭")</f>
        <v>클릭</v>
      </c>
      <c r="H44">
        <v>2009</v>
      </c>
      <c r="I44">
        <v>11</v>
      </c>
      <c r="J44">
        <v>774</v>
      </c>
      <c r="K44">
        <v>84</v>
      </c>
      <c r="L44" t="s">
        <v>135</v>
      </c>
      <c r="M44" t="s">
        <v>137</v>
      </c>
      <c r="N44" t="s">
        <v>163</v>
      </c>
      <c r="O44">
        <v>73000</v>
      </c>
      <c r="P44" t="s">
        <v>163</v>
      </c>
      <c r="Q44">
        <v>44000</v>
      </c>
      <c r="R44">
        <v>29000</v>
      </c>
      <c r="S44" s="2">
        <v>0.60273972602739723</v>
      </c>
      <c r="T44">
        <v>88500</v>
      </c>
      <c r="U44" s="2">
        <v>-0.1751412429378531</v>
      </c>
      <c r="V44">
        <v>46300</v>
      </c>
      <c r="W44" s="2">
        <v>1.5766738660907129</v>
      </c>
      <c r="X44">
        <v>36</v>
      </c>
      <c r="Y44">
        <v>43</v>
      </c>
      <c r="Z44">
        <v>-7</v>
      </c>
      <c r="AA44" t="s">
        <v>198</v>
      </c>
    </row>
    <row r="45" spans="1:27" x14ac:dyDescent="0.3">
      <c r="A45" s="3">
        <v>43</v>
      </c>
      <c r="B45">
        <v>10281</v>
      </c>
      <c r="C45" t="s">
        <v>26</v>
      </c>
      <c r="D45" t="s">
        <v>27</v>
      </c>
      <c r="E45" t="s">
        <v>29</v>
      </c>
      <c r="F45" t="s">
        <v>75</v>
      </c>
      <c r="G45" s="1" t="str">
        <f>HYPERLINK("https://new.land.naver.com/complexes/10281", "클릭")</f>
        <v>클릭</v>
      </c>
      <c r="H45">
        <v>2000</v>
      </c>
      <c r="I45">
        <v>10</v>
      </c>
      <c r="J45">
        <v>160</v>
      </c>
      <c r="K45">
        <v>84</v>
      </c>
      <c r="L45" t="s">
        <v>136</v>
      </c>
      <c r="M45" t="s">
        <v>137</v>
      </c>
      <c r="N45" t="s">
        <v>167</v>
      </c>
      <c r="O45">
        <v>71000</v>
      </c>
      <c r="P45" t="s">
        <v>167</v>
      </c>
      <c r="Q45">
        <v>42000</v>
      </c>
      <c r="R45">
        <v>29000</v>
      </c>
      <c r="S45" s="2">
        <v>0.59154929577464788</v>
      </c>
      <c r="T45">
        <v>102500</v>
      </c>
      <c r="U45" s="2">
        <v>-0.3073170731707317</v>
      </c>
      <c r="V45">
        <v>45200</v>
      </c>
      <c r="W45" s="2">
        <v>1.570796460176991</v>
      </c>
      <c r="X45">
        <v>23</v>
      </c>
      <c r="Y45">
        <v>44</v>
      </c>
      <c r="Z45">
        <v>-21</v>
      </c>
      <c r="AA45" t="s">
        <v>198</v>
      </c>
    </row>
    <row r="46" spans="1:27" x14ac:dyDescent="0.3">
      <c r="A46" s="3">
        <v>44</v>
      </c>
      <c r="B46">
        <v>1993</v>
      </c>
      <c r="C46" t="s">
        <v>26</v>
      </c>
      <c r="D46" t="s">
        <v>27</v>
      </c>
      <c r="E46" t="s">
        <v>31</v>
      </c>
      <c r="F46" t="s">
        <v>76</v>
      </c>
      <c r="G46" s="1" t="str">
        <f>HYPERLINK("https://new.land.naver.com/complexes/1993", "클릭")</f>
        <v>클릭</v>
      </c>
      <c r="H46">
        <v>1993</v>
      </c>
      <c r="I46">
        <v>10</v>
      </c>
      <c r="J46">
        <v>796</v>
      </c>
      <c r="K46">
        <v>84</v>
      </c>
      <c r="L46" t="s">
        <v>135</v>
      </c>
      <c r="M46" t="s">
        <v>137</v>
      </c>
      <c r="N46" t="s">
        <v>150</v>
      </c>
      <c r="O46">
        <v>71000</v>
      </c>
      <c r="P46" t="s">
        <v>150</v>
      </c>
      <c r="Q46">
        <v>39000</v>
      </c>
      <c r="R46">
        <v>32000</v>
      </c>
      <c r="S46" s="2">
        <v>0.54929577464788737</v>
      </c>
      <c r="T46">
        <v>87000</v>
      </c>
      <c r="U46" s="2">
        <v>-0.18390804597701149</v>
      </c>
      <c r="V46">
        <v>41500</v>
      </c>
      <c r="W46" s="2">
        <v>1.7108433734939761</v>
      </c>
      <c r="X46">
        <v>38</v>
      </c>
      <c r="Y46">
        <v>44</v>
      </c>
      <c r="Z46">
        <v>-6</v>
      </c>
      <c r="AA46" t="s">
        <v>198</v>
      </c>
    </row>
    <row r="47" spans="1:27" x14ac:dyDescent="0.3">
      <c r="A47" s="3">
        <v>45</v>
      </c>
      <c r="B47">
        <v>8193</v>
      </c>
      <c r="C47" t="s">
        <v>26</v>
      </c>
      <c r="D47" t="s">
        <v>27</v>
      </c>
      <c r="E47" t="s">
        <v>30</v>
      </c>
      <c r="F47" t="s">
        <v>77</v>
      </c>
      <c r="G47" s="1" t="str">
        <f>HYPERLINK("https://new.land.naver.com/complexes/8193", "클릭")</f>
        <v>클릭</v>
      </c>
      <c r="H47">
        <v>2000</v>
      </c>
      <c r="I47">
        <v>5</v>
      </c>
      <c r="J47">
        <v>535</v>
      </c>
      <c r="K47">
        <v>84</v>
      </c>
      <c r="L47" t="s">
        <v>135</v>
      </c>
      <c r="M47" t="s">
        <v>137</v>
      </c>
      <c r="N47" t="s">
        <v>168</v>
      </c>
      <c r="O47">
        <v>70000</v>
      </c>
      <c r="P47" t="s">
        <v>168</v>
      </c>
      <c r="Q47">
        <v>46000</v>
      </c>
      <c r="R47">
        <v>24000</v>
      </c>
      <c r="S47" s="2">
        <v>0.65714285714285714</v>
      </c>
      <c r="T47">
        <v>94000</v>
      </c>
      <c r="U47" s="2">
        <v>-0.25531914893617019</v>
      </c>
      <c r="X47">
        <v>33</v>
      </c>
      <c r="Y47">
        <v>46</v>
      </c>
      <c r="Z47">
        <v>-13</v>
      </c>
      <c r="AA47" t="s">
        <v>198</v>
      </c>
    </row>
    <row r="48" spans="1:27" x14ac:dyDescent="0.3">
      <c r="A48" s="3">
        <v>46</v>
      </c>
      <c r="B48">
        <v>105771</v>
      </c>
      <c r="C48" t="s">
        <v>26</v>
      </c>
      <c r="D48" t="s">
        <v>27</v>
      </c>
      <c r="E48" t="s">
        <v>31</v>
      </c>
      <c r="F48" t="s">
        <v>78</v>
      </c>
      <c r="G48" s="1" t="str">
        <f>HYPERLINK("https://new.land.naver.com/complexes/105771", "클릭")</f>
        <v>클릭</v>
      </c>
      <c r="H48">
        <v>2003</v>
      </c>
      <c r="I48">
        <v>3</v>
      </c>
      <c r="J48">
        <v>12</v>
      </c>
      <c r="K48">
        <v>83</v>
      </c>
      <c r="L48" t="s">
        <v>135</v>
      </c>
      <c r="M48" t="s">
        <v>138</v>
      </c>
      <c r="N48" t="s">
        <v>169</v>
      </c>
      <c r="O48">
        <v>70000</v>
      </c>
      <c r="P48" t="s">
        <v>169</v>
      </c>
      <c r="Q48">
        <v>30000</v>
      </c>
      <c r="R48">
        <v>40000</v>
      </c>
      <c r="S48" s="2">
        <v>0.42857142857142849</v>
      </c>
      <c r="T48">
        <v>49500</v>
      </c>
      <c r="U48" s="2">
        <v>0.41414141414141409</v>
      </c>
      <c r="V48">
        <v>38600</v>
      </c>
      <c r="W48" s="2">
        <v>1.813471502590674</v>
      </c>
      <c r="X48">
        <v>87</v>
      </c>
      <c r="Y48">
        <v>46</v>
      </c>
      <c r="Z48">
        <v>41</v>
      </c>
      <c r="AA48" t="s">
        <v>198</v>
      </c>
    </row>
    <row r="49" spans="1:27" x14ac:dyDescent="0.3">
      <c r="A49" s="3">
        <v>47</v>
      </c>
      <c r="B49">
        <v>1474</v>
      </c>
      <c r="C49" t="s">
        <v>26</v>
      </c>
      <c r="D49" t="s">
        <v>27</v>
      </c>
      <c r="E49" t="s">
        <v>28</v>
      </c>
      <c r="F49" t="s">
        <v>79</v>
      </c>
      <c r="G49" s="1" t="str">
        <f>HYPERLINK("https://new.land.naver.com/complexes/1474", "클릭")</f>
        <v>클릭</v>
      </c>
      <c r="H49">
        <v>1992</v>
      </c>
      <c r="I49">
        <v>9</v>
      </c>
      <c r="J49">
        <v>458</v>
      </c>
      <c r="K49">
        <v>84</v>
      </c>
      <c r="L49" t="s">
        <v>135</v>
      </c>
      <c r="M49" t="s">
        <v>137</v>
      </c>
      <c r="N49" t="s">
        <v>163</v>
      </c>
      <c r="O49">
        <v>68000</v>
      </c>
      <c r="P49" t="s">
        <v>163</v>
      </c>
      <c r="Q49">
        <v>44000</v>
      </c>
      <c r="R49">
        <v>24000</v>
      </c>
      <c r="S49" s="2">
        <v>0.6470588235294118</v>
      </c>
      <c r="T49">
        <v>87000</v>
      </c>
      <c r="U49" s="2">
        <v>-0.21839080459770119</v>
      </c>
      <c r="V49">
        <v>42600</v>
      </c>
      <c r="W49" s="2">
        <v>1.596244131455399</v>
      </c>
      <c r="X49">
        <v>38</v>
      </c>
      <c r="Y49">
        <v>48</v>
      </c>
      <c r="Z49">
        <v>-10</v>
      </c>
      <c r="AA49" t="s">
        <v>198</v>
      </c>
    </row>
    <row r="50" spans="1:27" x14ac:dyDescent="0.3">
      <c r="A50" s="3">
        <v>48</v>
      </c>
      <c r="B50">
        <v>3076</v>
      </c>
      <c r="C50" t="s">
        <v>26</v>
      </c>
      <c r="D50" t="s">
        <v>27</v>
      </c>
      <c r="E50" t="s">
        <v>31</v>
      </c>
      <c r="F50" t="s">
        <v>80</v>
      </c>
      <c r="G50" s="1" t="str">
        <f>HYPERLINK("https://new.land.naver.com/complexes/3076", "클릭")</f>
        <v>클릭</v>
      </c>
      <c r="H50">
        <v>1992</v>
      </c>
      <c r="I50">
        <v>11</v>
      </c>
      <c r="J50">
        <v>1800</v>
      </c>
      <c r="K50">
        <v>84</v>
      </c>
      <c r="L50" t="s">
        <v>135</v>
      </c>
      <c r="M50" t="s">
        <v>137</v>
      </c>
      <c r="N50" t="s">
        <v>170</v>
      </c>
      <c r="O50">
        <v>68000</v>
      </c>
      <c r="P50" t="s">
        <v>170</v>
      </c>
      <c r="Q50">
        <v>37000</v>
      </c>
      <c r="R50">
        <v>31000</v>
      </c>
      <c r="S50" s="2">
        <v>0.54411764705882348</v>
      </c>
      <c r="T50">
        <v>94000</v>
      </c>
      <c r="U50" s="2">
        <v>-0.27659574468085107</v>
      </c>
      <c r="V50">
        <v>41800</v>
      </c>
      <c r="W50" s="2">
        <v>1.626794258373206</v>
      </c>
      <c r="X50">
        <v>33</v>
      </c>
      <c r="Y50">
        <v>48</v>
      </c>
      <c r="Z50">
        <v>-15</v>
      </c>
      <c r="AA50" t="s">
        <v>198</v>
      </c>
    </row>
    <row r="51" spans="1:27" x14ac:dyDescent="0.3">
      <c r="A51" s="3">
        <v>49</v>
      </c>
      <c r="B51">
        <v>3079</v>
      </c>
      <c r="C51" t="s">
        <v>26</v>
      </c>
      <c r="D51" t="s">
        <v>27</v>
      </c>
      <c r="E51" t="s">
        <v>31</v>
      </c>
      <c r="F51" t="s">
        <v>81</v>
      </c>
      <c r="G51" s="1" t="str">
        <f>HYPERLINK("https://new.land.naver.com/complexes/3079", "클릭")</f>
        <v>클릭</v>
      </c>
      <c r="H51">
        <v>2003</v>
      </c>
      <c r="I51">
        <v>12</v>
      </c>
      <c r="J51">
        <v>3806</v>
      </c>
      <c r="K51">
        <v>84</v>
      </c>
      <c r="L51" t="s">
        <v>135</v>
      </c>
      <c r="M51" t="s">
        <v>137</v>
      </c>
      <c r="N51" t="s">
        <v>160</v>
      </c>
      <c r="O51">
        <v>68000</v>
      </c>
      <c r="P51" t="s">
        <v>160</v>
      </c>
      <c r="Q51">
        <v>40000</v>
      </c>
      <c r="R51">
        <v>28000</v>
      </c>
      <c r="S51" s="2">
        <v>0.58823529411764708</v>
      </c>
      <c r="T51">
        <v>95000</v>
      </c>
      <c r="U51" s="2">
        <v>-0.28421052631578952</v>
      </c>
      <c r="V51">
        <v>44000</v>
      </c>
      <c r="W51" s="2">
        <v>1.545454545454545</v>
      </c>
      <c r="X51">
        <v>31</v>
      </c>
      <c r="Y51">
        <v>48</v>
      </c>
      <c r="Z51">
        <v>-17</v>
      </c>
      <c r="AA51" t="s">
        <v>198</v>
      </c>
    </row>
    <row r="52" spans="1:27" x14ac:dyDescent="0.3">
      <c r="A52" s="3">
        <v>50</v>
      </c>
      <c r="B52">
        <v>24012</v>
      </c>
      <c r="C52" t="s">
        <v>26</v>
      </c>
      <c r="D52" t="s">
        <v>27</v>
      </c>
      <c r="E52" t="s">
        <v>29</v>
      </c>
      <c r="F52" t="s">
        <v>82</v>
      </c>
      <c r="G52" s="1" t="str">
        <f>HYPERLINK("https://new.land.naver.com/complexes/24012", "클릭")</f>
        <v>클릭</v>
      </c>
      <c r="H52">
        <v>2001</v>
      </c>
      <c r="I52">
        <v>7</v>
      </c>
      <c r="J52">
        <v>34</v>
      </c>
      <c r="K52">
        <v>84</v>
      </c>
      <c r="L52" t="s">
        <v>135</v>
      </c>
      <c r="M52" t="s">
        <v>137</v>
      </c>
      <c r="N52" t="s">
        <v>171</v>
      </c>
      <c r="O52">
        <v>67000</v>
      </c>
      <c r="P52" t="s">
        <v>171</v>
      </c>
      <c r="Q52">
        <v>40000</v>
      </c>
      <c r="R52">
        <v>27000</v>
      </c>
      <c r="S52" s="2">
        <v>0.59701492537313428</v>
      </c>
      <c r="T52">
        <v>59000</v>
      </c>
      <c r="U52" s="2">
        <v>0.13559322033898311</v>
      </c>
      <c r="V52">
        <v>33400</v>
      </c>
      <c r="W52" s="2">
        <v>2.0059880239520962</v>
      </c>
      <c r="X52">
        <v>69</v>
      </c>
      <c r="Y52">
        <v>51</v>
      </c>
      <c r="Z52">
        <v>18</v>
      </c>
      <c r="AA52" t="s">
        <v>198</v>
      </c>
    </row>
    <row r="53" spans="1:27" x14ac:dyDescent="0.3">
      <c r="A53" s="3">
        <v>51</v>
      </c>
      <c r="B53">
        <v>25883</v>
      </c>
      <c r="C53" t="s">
        <v>26</v>
      </c>
      <c r="D53" t="s">
        <v>27</v>
      </c>
      <c r="E53" t="s">
        <v>29</v>
      </c>
      <c r="F53" t="s">
        <v>83</v>
      </c>
      <c r="G53" s="1" t="str">
        <f>HYPERLINK("https://new.land.naver.com/complexes/25883", "클릭")</f>
        <v>클릭</v>
      </c>
      <c r="H53">
        <v>2007</v>
      </c>
      <c r="I53">
        <v>5</v>
      </c>
      <c r="J53">
        <v>80</v>
      </c>
      <c r="K53">
        <v>84</v>
      </c>
      <c r="L53" t="s">
        <v>135</v>
      </c>
      <c r="M53" t="s">
        <v>137</v>
      </c>
      <c r="N53" t="s">
        <v>147</v>
      </c>
      <c r="O53">
        <v>65000</v>
      </c>
      <c r="P53" t="s">
        <v>147</v>
      </c>
      <c r="Q53">
        <v>43000</v>
      </c>
      <c r="R53">
        <v>22000</v>
      </c>
      <c r="S53" s="2">
        <v>0.66153846153846152</v>
      </c>
      <c r="T53">
        <v>70000</v>
      </c>
      <c r="U53" s="2">
        <v>-7.1428571428571425E-2</v>
      </c>
      <c r="V53">
        <v>36700</v>
      </c>
      <c r="W53" s="2">
        <v>1.771117166212534</v>
      </c>
      <c r="X53">
        <v>54</v>
      </c>
      <c r="Y53">
        <v>52</v>
      </c>
      <c r="Z53">
        <v>2</v>
      </c>
      <c r="AA53" t="s">
        <v>201</v>
      </c>
    </row>
    <row r="54" spans="1:27" x14ac:dyDescent="0.3">
      <c r="A54" s="3">
        <v>52</v>
      </c>
      <c r="B54">
        <v>22957</v>
      </c>
      <c r="C54" t="s">
        <v>26</v>
      </c>
      <c r="D54" t="s">
        <v>27</v>
      </c>
      <c r="E54" t="s">
        <v>31</v>
      </c>
      <c r="F54" t="s">
        <v>84</v>
      </c>
      <c r="G54" s="1" t="str">
        <f>HYPERLINK("https://new.land.naver.com/complexes/22957", "클릭")</f>
        <v>클릭</v>
      </c>
      <c r="H54">
        <v>2007</v>
      </c>
      <c r="I54">
        <v>7</v>
      </c>
      <c r="J54">
        <v>492</v>
      </c>
      <c r="K54">
        <v>84</v>
      </c>
      <c r="L54" t="s">
        <v>135</v>
      </c>
      <c r="M54" t="s">
        <v>137</v>
      </c>
      <c r="N54" t="s">
        <v>146</v>
      </c>
      <c r="O54">
        <v>65000</v>
      </c>
      <c r="P54" t="s">
        <v>146</v>
      </c>
      <c r="Q54">
        <v>40000</v>
      </c>
      <c r="R54">
        <v>25000</v>
      </c>
      <c r="S54" s="2">
        <v>0.61538461538461542</v>
      </c>
      <c r="T54">
        <v>80200</v>
      </c>
      <c r="U54" s="2">
        <v>-0.18952618453865341</v>
      </c>
      <c r="V54">
        <v>40100</v>
      </c>
      <c r="W54" s="2">
        <v>1.6209476309226929</v>
      </c>
      <c r="X54">
        <v>48</v>
      </c>
      <c r="Y54">
        <v>52</v>
      </c>
      <c r="Z54">
        <v>-4</v>
      </c>
      <c r="AA54" t="s">
        <v>198</v>
      </c>
    </row>
    <row r="55" spans="1:27" x14ac:dyDescent="0.3">
      <c r="A55" s="3">
        <v>53</v>
      </c>
      <c r="B55">
        <v>1470</v>
      </c>
      <c r="C55" t="s">
        <v>26</v>
      </c>
      <c r="D55" t="s">
        <v>27</v>
      </c>
      <c r="E55" t="s">
        <v>28</v>
      </c>
      <c r="F55" t="s">
        <v>85</v>
      </c>
      <c r="G55" s="1" t="str">
        <f>HYPERLINK("https://new.land.naver.com/complexes/1470", "클릭")</f>
        <v>클릭</v>
      </c>
      <c r="H55">
        <v>1992</v>
      </c>
      <c r="I55">
        <v>9</v>
      </c>
      <c r="J55">
        <v>468</v>
      </c>
      <c r="K55">
        <v>84</v>
      </c>
      <c r="L55" t="s">
        <v>135</v>
      </c>
      <c r="M55" t="s">
        <v>137</v>
      </c>
      <c r="N55" t="s">
        <v>157</v>
      </c>
      <c r="O55">
        <v>65000</v>
      </c>
      <c r="P55" t="s">
        <v>157</v>
      </c>
      <c r="Q55">
        <v>36500</v>
      </c>
      <c r="R55">
        <v>28500</v>
      </c>
      <c r="S55" s="2">
        <v>0.56153846153846154</v>
      </c>
      <c r="T55">
        <v>81700</v>
      </c>
      <c r="U55" s="2">
        <v>-0.204406364749082</v>
      </c>
      <c r="V55">
        <v>41800</v>
      </c>
      <c r="W55" s="2">
        <v>1.5550239234449761</v>
      </c>
      <c r="X55">
        <v>46</v>
      </c>
      <c r="Y55">
        <v>52</v>
      </c>
      <c r="Z55">
        <v>-6</v>
      </c>
      <c r="AA55" t="s">
        <v>198</v>
      </c>
    </row>
    <row r="56" spans="1:27" x14ac:dyDescent="0.3">
      <c r="A56" s="3">
        <v>54</v>
      </c>
      <c r="B56">
        <v>2033</v>
      </c>
      <c r="C56" t="s">
        <v>26</v>
      </c>
      <c r="D56" t="s">
        <v>27</v>
      </c>
      <c r="E56" t="s">
        <v>28</v>
      </c>
      <c r="F56" t="s">
        <v>86</v>
      </c>
      <c r="G56" s="1" t="str">
        <f>HYPERLINK("https://new.land.naver.com/complexes/2033", "클릭")</f>
        <v>클릭</v>
      </c>
      <c r="H56">
        <v>1992</v>
      </c>
      <c r="I56">
        <v>12</v>
      </c>
      <c r="J56">
        <v>794</v>
      </c>
      <c r="K56">
        <v>84</v>
      </c>
      <c r="L56" t="s">
        <v>135</v>
      </c>
      <c r="M56" t="s">
        <v>137</v>
      </c>
      <c r="N56" t="s">
        <v>172</v>
      </c>
      <c r="O56">
        <v>62000</v>
      </c>
      <c r="P56" t="s">
        <v>172</v>
      </c>
      <c r="Q56">
        <v>29000</v>
      </c>
      <c r="R56">
        <v>33000</v>
      </c>
      <c r="S56" s="2">
        <v>0.46774193548387089</v>
      </c>
      <c r="T56">
        <v>74700</v>
      </c>
      <c r="U56" s="2">
        <v>-0.17001338688085679</v>
      </c>
      <c r="V56">
        <v>36900</v>
      </c>
      <c r="W56" s="2">
        <v>1.6802168021680219</v>
      </c>
      <c r="X56">
        <v>51</v>
      </c>
      <c r="Y56">
        <v>55</v>
      </c>
      <c r="Z56">
        <v>-4</v>
      </c>
      <c r="AA56" t="s">
        <v>198</v>
      </c>
    </row>
    <row r="57" spans="1:27" x14ac:dyDescent="0.3">
      <c r="A57" s="3">
        <v>55</v>
      </c>
      <c r="B57">
        <v>25078</v>
      </c>
      <c r="C57" t="s">
        <v>26</v>
      </c>
      <c r="D57" t="s">
        <v>27</v>
      </c>
      <c r="E57" t="s">
        <v>30</v>
      </c>
      <c r="F57" t="s">
        <v>87</v>
      </c>
      <c r="G57" s="1" t="str">
        <f>HYPERLINK("https://new.land.naver.com/complexes/25078", "클릭")</f>
        <v>클릭</v>
      </c>
      <c r="H57">
        <v>2000</v>
      </c>
      <c r="I57">
        <v>10</v>
      </c>
      <c r="J57">
        <v>180</v>
      </c>
      <c r="K57">
        <v>84</v>
      </c>
      <c r="L57" t="s">
        <v>135</v>
      </c>
      <c r="M57" t="s">
        <v>137</v>
      </c>
      <c r="N57" t="s">
        <v>173</v>
      </c>
      <c r="O57">
        <v>62000</v>
      </c>
      <c r="P57" t="s">
        <v>173</v>
      </c>
      <c r="Q57">
        <v>38000</v>
      </c>
      <c r="R57">
        <v>24000</v>
      </c>
      <c r="S57" s="2">
        <v>0.61290322580645162</v>
      </c>
      <c r="T57">
        <v>78000</v>
      </c>
      <c r="U57" s="2">
        <v>-0.20512820512820509</v>
      </c>
      <c r="V57">
        <v>36800</v>
      </c>
      <c r="W57" s="2">
        <v>1.6847826086956521</v>
      </c>
      <c r="X57">
        <v>50</v>
      </c>
      <c r="Y57">
        <v>55</v>
      </c>
      <c r="Z57">
        <v>-5</v>
      </c>
      <c r="AA57" t="s">
        <v>198</v>
      </c>
    </row>
    <row r="58" spans="1:27" x14ac:dyDescent="0.3">
      <c r="A58" s="3">
        <v>56</v>
      </c>
      <c r="B58">
        <v>2042</v>
      </c>
      <c r="C58" t="s">
        <v>26</v>
      </c>
      <c r="D58" t="s">
        <v>27</v>
      </c>
      <c r="E58" t="s">
        <v>28</v>
      </c>
      <c r="F58" t="s">
        <v>88</v>
      </c>
      <c r="G58" s="1" t="str">
        <f>HYPERLINK("https://new.land.naver.com/complexes/2042", "클릭")</f>
        <v>클릭</v>
      </c>
      <c r="H58">
        <v>1999</v>
      </c>
      <c r="I58">
        <v>7</v>
      </c>
      <c r="J58">
        <v>644</v>
      </c>
      <c r="K58">
        <v>84</v>
      </c>
      <c r="L58" t="s">
        <v>135</v>
      </c>
      <c r="M58" t="s">
        <v>137</v>
      </c>
      <c r="N58" t="s">
        <v>161</v>
      </c>
      <c r="O58">
        <v>62000</v>
      </c>
      <c r="P58" t="s">
        <v>161</v>
      </c>
      <c r="Q58">
        <v>39000</v>
      </c>
      <c r="R58">
        <v>23000</v>
      </c>
      <c r="S58" s="2">
        <v>0.62903225806451613</v>
      </c>
      <c r="T58">
        <v>71600</v>
      </c>
      <c r="U58" s="2">
        <v>-0.13407821229050279</v>
      </c>
      <c r="V58">
        <v>39300</v>
      </c>
      <c r="W58" s="2">
        <v>1.577608142493639</v>
      </c>
      <c r="X58">
        <v>53</v>
      </c>
      <c r="Y58">
        <v>55</v>
      </c>
      <c r="Z58">
        <v>-2</v>
      </c>
      <c r="AA58" t="s">
        <v>198</v>
      </c>
    </row>
    <row r="59" spans="1:27" x14ac:dyDescent="0.3">
      <c r="A59" s="3">
        <v>57</v>
      </c>
      <c r="B59">
        <v>1476</v>
      </c>
      <c r="C59" t="s">
        <v>26</v>
      </c>
      <c r="D59" t="s">
        <v>27</v>
      </c>
      <c r="E59" t="s">
        <v>28</v>
      </c>
      <c r="F59" t="s">
        <v>89</v>
      </c>
      <c r="G59" s="1" t="str">
        <f>HYPERLINK("https://new.land.naver.com/complexes/1476", "클릭")</f>
        <v>클릭</v>
      </c>
      <c r="H59">
        <v>1992</v>
      </c>
      <c r="I59">
        <v>8</v>
      </c>
      <c r="J59">
        <v>654</v>
      </c>
      <c r="K59">
        <v>84</v>
      </c>
      <c r="L59" t="s">
        <v>135</v>
      </c>
      <c r="M59" t="s">
        <v>137</v>
      </c>
      <c r="N59" t="s">
        <v>155</v>
      </c>
      <c r="O59">
        <v>60000</v>
      </c>
      <c r="P59" t="s">
        <v>155</v>
      </c>
      <c r="Q59">
        <v>37000</v>
      </c>
      <c r="R59">
        <v>23000</v>
      </c>
      <c r="S59" s="2">
        <v>0.6166666666666667</v>
      </c>
      <c r="T59">
        <v>82000</v>
      </c>
      <c r="U59" s="2">
        <v>-0.26829268292682928</v>
      </c>
      <c r="V59">
        <v>38000</v>
      </c>
      <c r="W59" s="2">
        <v>1.5789473684210531</v>
      </c>
      <c r="X59">
        <v>45</v>
      </c>
      <c r="Y59">
        <v>58</v>
      </c>
      <c r="Z59">
        <v>-13</v>
      </c>
      <c r="AA59" t="s">
        <v>198</v>
      </c>
    </row>
    <row r="60" spans="1:27" x14ac:dyDescent="0.3">
      <c r="A60" s="3">
        <v>58</v>
      </c>
      <c r="B60">
        <v>3082</v>
      </c>
      <c r="C60" t="s">
        <v>26</v>
      </c>
      <c r="D60" t="s">
        <v>27</v>
      </c>
      <c r="E60" t="s">
        <v>28</v>
      </c>
      <c r="F60" t="s">
        <v>90</v>
      </c>
      <c r="G60" s="1" t="str">
        <f>HYPERLINK("https://new.land.naver.com/complexes/3082", "클릭")</f>
        <v>클릭</v>
      </c>
      <c r="H60">
        <v>2003</v>
      </c>
      <c r="I60">
        <v>11</v>
      </c>
      <c r="J60">
        <v>1977</v>
      </c>
      <c r="K60">
        <v>84</v>
      </c>
      <c r="L60" t="s">
        <v>135</v>
      </c>
      <c r="M60" t="s">
        <v>137</v>
      </c>
      <c r="N60" t="s">
        <v>161</v>
      </c>
      <c r="O60">
        <v>60000</v>
      </c>
      <c r="P60" t="s">
        <v>161</v>
      </c>
      <c r="Q60">
        <v>37000</v>
      </c>
      <c r="R60">
        <v>23000</v>
      </c>
      <c r="S60" s="2">
        <v>0.6166666666666667</v>
      </c>
      <c r="T60">
        <v>79750</v>
      </c>
      <c r="U60" s="2">
        <v>-0.2476489028213166</v>
      </c>
      <c r="V60">
        <v>35900</v>
      </c>
      <c r="W60" s="2">
        <v>1.671309192200557</v>
      </c>
      <c r="X60">
        <v>49</v>
      </c>
      <c r="Y60">
        <v>58</v>
      </c>
      <c r="Z60">
        <v>-9</v>
      </c>
      <c r="AA60" t="s">
        <v>198</v>
      </c>
    </row>
    <row r="61" spans="1:27" x14ac:dyDescent="0.3">
      <c r="A61" s="3">
        <v>59</v>
      </c>
      <c r="B61">
        <v>8036</v>
      </c>
      <c r="C61" t="s">
        <v>26</v>
      </c>
      <c r="D61" t="s">
        <v>27</v>
      </c>
      <c r="E61" t="s">
        <v>28</v>
      </c>
      <c r="F61" t="s">
        <v>91</v>
      </c>
      <c r="G61" s="1" t="str">
        <f>HYPERLINK("https://new.land.naver.com/complexes/8036", "클릭")</f>
        <v>클릭</v>
      </c>
      <c r="H61">
        <v>2003</v>
      </c>
      <c r="I61">
        <v>12</v>
      </c>
      <c r="J61">
        <v>1752</v>
      </c>
      <c r="K61">
        <v>84</v>
      </c>
      <c r="L61" t="s">
        <v>135</v>
      </c>
      <c r="M61" t="s">
        <v>137</v>
      </c>
      <c r="N61" t="s">
        <v>158</v>
      </c>
      <c r="O61">
        <v>59500</v>
      </c>
      <c r="P61" t="s">
        <v>149</v>
      </c>
      <c r="Q61">
        <v>40000</v>
      </c>
      <c r="R61">
        <v>19500</v>
      </c>
      <c r="S61" s="2">
        <v>0.67226890756302526</v>
      </c>
      <c r="T61">
        <v>83000</v>
      </c>
      <c r="U61" s="2">
        <v>-0.28313253012048201</v>
      </c>
      <c r="V61">
        <v>37300</v>
      </c>
      <c r="W61" s="2">
        <v>1.595174262734584</v>
      </c>
      <c r="X61">
        <v>44</v>
      </c>
      <c r="Y61">
        <v>60</v>
      </c>
      <c r="Z61">
        <v>-16</v>
      </c>
      <c r="AA61" t="s">
        <v>198</v>
      </c>
    </row>
    <row r="62" spans="1:27" x14ac:dyDescent="0.3">
      <c r="A62" s="3">
        <v>60</v>
      </c>
      <c r="B62">
        <v>2026</v>
      </c>
      <c r="C62" t="s">
        <v>26</v>
      </c>
      <c r="D62" t="s">
        <v>27</v>
      </c>
      <c r="E62" t="s">
        <v>28</v>
      </c>
      <c r="F62" t="s">
        <v>92</v>
      </c>
      <c r="G62" s="1" t="str">
        <f>HYPERLINK("https://new.land.naver.com/complexes/2026", "클릭")</f>
        <v>클릭</v>
      </c>
      <c r="H62">
        <v>1999</v>
      </c>
      <c r="I62">
        <v>1</v>
      </c>
      <c r="J62">
        <v>231</v>
      </c>
      <c r="K62">
        <v>84</v>
      </c>
      <c r="L62" t="s">
        <v>135</v>
      </c>
      <c r="M62" t="s">
        <v>137</v>
      </c>
      <c r="N62" t="s">
        <v>161</v>
      </c>
      <c r="O62">
        <v>58000</v>
      </c>
      <c r="P62" t="s">
        <v>161</v>
      </c>
      <c r="Q62">
        <v>38000</v>
      </c>
      <c r="R62">
        <v>20000</v>
      </c>
      <c r="S62" s="2">
        <v>0.65517241379310343</v>
      </c>
      <c r="T62">
        <v>59500</v>
      </c>
      <c r="U62" s="2">
        <v>-2.5210084033613449E-2</v>
      </c>
      <c r="V62">
        <v>33100</v>
      </c>
      <c r="W62" s="2">
        <v>1.75226586102719</v>
      </c>
      <c r="X62">
        <v>68</v>
      </c>
      <c r="Y62">
        <v>61</v>
      </c>
      <c r="Z62">
        <v>7</v>
      </c>
      <c r="AA62" t="s">
        <v>198</v>
      </c>
    </row>
    <row r="63" spans="1:27" x14ac:dyDescent="0.3">
      <c r="A63" s="3">
        <v>61</v>
      </c>
      <c r="B63">
        <v>26273</v>
      </c>
      <c r="C63" t="s">
        <v>26</v>
      </c>
      <c r="D63" t="s">
        <v>27</v>
      </c>
      <c r="E63" t="s">
        <v>28</v>
      </c>
      <c r="F63" t="s">
        <v>93</v>
      </c>
      <c r="G63" s="1" t="str">
        <f>HYPERLINK("https://new.land.naver.com/complexes/26273", "클릭")</f>
        <v>클릭</v>
      </c>
      <c r="H63">
        <v>2006</v>
      </c>
      <c r="I63">
        <v>11</v>
      </c>
      <c r="J63">
        <v>59</v>
      </c>
      <c r="K63">
        <v>84</v>
      </c>
      <c r="L63" t="s">
        <v>135</v>
      </c>
      <c r="M63" t="s">
        <v>137</v>
      </c>
      <c r="N63" t="s">
        <v>143</v>
      </c>
      <c r="O63">
        <v>58000</v>
      </c>
      <c r="P63" t="s">
        <v>143</v>
      </c>
      <c r="Q63">
        <v>45000</v>
      </c>
      <c r="R63">
        <v>13000</v>
      </c>
      <c r="S63" s="2">
        <v>0.77586206896551724</v>
      </c>
      <c r="T63">
        <v>60000</v>
      </c>
      <c r="U63" s="2">
        <v>-3.3333333333333333E-2</v>
      </c>
      <c r="V63">
        <v>36900</v>
      </c>
      <c r="W63" s="2">
        <v>1.571815718157181</v>
      </c>
      <c r="X63">
        <v>66</v>
      </c>
      <c r="Y63">
        <v>61</v>
      </c>
      <c r="Z63">
        <v>5</v>
      </c>
      <c r="AA63" t="s">
        <v>198</v>
      </c>
    </row>
    <row r="64" spans="1:27" x14ac:dyDescent="0.3">
      <c r="A64" s="3">
        <v>62</v>
      </c>
      <c r="B64">
        <v>2805</v>
      </c>
      <c r="C64" t="s">
        <v>26</v>
      </c>
      <c r="D64" t="s">
        <v>27</v>
      </c>
      <c r="E64" t="s">
        <v>30</v>
      </c>
      <c r="F64" t="s">
        <v>94</v>
      </c>
      <c r="G64" s="1" t="str">
        <f>HYPERLINK("https://new.land.naver.com/complexes/2805", "클릭")</f>
        <v>클릭</v>
      </c>
      <c r="H64">
        <v>2000</v>
      </c>
      <c r="I64">
        <v>4</v>
      </c>
      <c r="J64">
        <v>230</v>
      </c>
      <c r="K64">
        <v>84</v>
      </c>
      <c r="L64" t="s">
        <v>135</v>
      </c>
      <c r="M64" t="s">
        <v>137</v>
      </c>
      <c r="N64" t="s">
        <v>163</v>
      </c>
      <c r="O64">
        <v>56500</v>
      </c>
      <c r="P64" t="s">
        <v>163</v>
      </c>
      <c r="Q64">
        <v>40000</v>
      </c>
      <c r="R64">
        <v>16500</v>
      </c>
      <c r="S64" s="2">
        <v>0.70796460176991149</v>
      </c>
      <c r="T64">
        <v>70000</v>
      </c>
      <c r="U64" s="2">
        <v>-0.19285714285714289</v>
      </c>
      <c r="V64">
        <v>38800</v>
      </c>
      <c r="W64" s="2">
        <v>1.456185567010309</v>
      </c>
      <c r="X64">
        <v>54</v>
      </c>
      <c r="Y64">
        <v>63</v>
      </c>
      <c r="Z64">
        <v>-9</v>
      </c>
      <c r="AA64" t="s">
        <v>198</v>
      </c>
    </row>
    <row r="65" spans="1:27" x14ac:dyDescent="0.3">
      <c r="A65" s="3">
        <v>63</v>
      </c>
      <c r="B65">
        <v>24045</v>
      </c>
      <c r="C65" t="s">
        <v>26</v>
      </c>
      <c r="D65" t="s">
        <v>27</v>
      </c>
      <c r="E65" t="s">
        <v>28</v>
      </c>
      <c r="F65" t="s">
        <v>95</v>
      </c>
      <c r="G65" s="1" t="str">
        <f>HYPERLINK("https://new.land.naver.com/complexes/24045", "클릭")</f>
        <v>클릭</v>
      </c>
      <c r="H65">
        <v>2007</v>
      </c>
      <c r="I65">
        <v>7</v>
      </c>
      <c r="J65">
        <v>149</v>
      </c>
      <c r="K65">
        <v>84</v>
      </c>
      <c r="L65" t="s">
        <v>135</v>
      </c>
      <c r="M65" t="s">
        <v>137</v>
      </c>
      <c r="N65" t="s">
        <v>163</v>
      </c>
      <c r="O65">
        <v>56000</v>
      </c>
      <c r="P65" t="s">
        <v>163</v>
      </c>
      <c r="Q65">
        <v>40000</v>
      </c>
      <c r="R65">
        <v>16000</v>
      </c>
      <c r="S65" s="2">
        <v>0.7142857142857143</v>
      </c>
      <c r="T65">
        <v>65000</v>
      </c>
      <c r="U65" s="2">
        <v>-0.1384615384615385</v>
      </c>
      <c r="V65">
        <v>36200</v>
      </c>
      <c r="W65" s="2">
        <v>1.5469613259668511</v>
      </c>
      <c r="X65">
        <v>60</v>
      </c>
      <c r="Y65">
        <v>64</v>
      </c>
      <c r="Z65">
        <v>-4</v>
      </c>
      <c r="AA65" t="s">
        <v>198</v>
      </c>
    </row>
    <row r="66" spans="1:27" x14ac:dyDescent="0.3">
      <c r="A66" s="3">
        <v>64</v>
      </c>
      <c r="B66">
        <v>11958</v>
      </c>
      <c r="C66" t="s">
        <v>26</v>
      </c>
      <c r="D66" t="s">
        <v>27</v>
      </c>
      <c r="E66" t="s">
        <v>28</v>
      </c>
      <c r="F66" t="s">
        <v>96</v>
      </c>
      <c r="G66" s="1" t="str">
        <f>HYPERLINK("https://new.land.naver.com/complexes/11958", "클릭")</f>
        <v>클릭</v>
      </c>
      <c r="H66">
        <v>2005</v>
      </c>
      <c r="I66">
        <v>4</v>
      </c>
      <c r="J66">
        <v>149</v>
      </c>
      <c r="K66">
        <v>84</v>
      </c>
      <c r="L66" t="s">
        <v>135</v>
      </c>
      <c r="M66" t="s">
        <v>137</v>
      </c>
      <c r="N66" t="s">
        <v>155</v>
      </c>
      <c r="O66">
        <v>56000</v>
      </c>
      <c r="P66" t="s">
        <v>155</v>
      </c>
      <c r="Q66">
        <v>35000</v>
      </c>
      <c r="R66">
        <v>21000</v>
      </c>
      <c r="S66" s="2">
        <v>0.625</v>
      </c>
      <c r="T66">
        <v>68000</v>
      </c>
      <c r="U66" s="2">
        <v>-0.1764705882352941</v>
      </c>
      <c r="V66">
        <v>34600</v>
      </c>
      <c r="W66" s="2">
        <v>1.6184971098265899</v>
      </c>
      <c r="X66">
        <v>57</v>
      </c>
      <c r="Y66">
        <v>64</v>
      </c>
      <c r="Z66">
        <v>-7</v>
      </c>
      <c r="AA66" t="s">
        <v>198</v>
      </c>
    </row>
    <row r="67" spans="1:27" x14ac:dyDescent="0.3">
      <c r="A67" s="3">
        <v>65</v>
      </c>
      <c r="B67">
        <v>8185</v>
      </c>
      <c r="C67" t="s">
        <v>26</v>
      </c>
      <c r="D67" t="s">
        <v>27</v>
      </c>
      <c r="E67" t="s">
        <v>30</v>
      </c>
      <c r="F67" t="s">
        <v>97</v>
      </c>
      <c r="G67" s="1" t="str">
        <f>HYPERLINK("https://new.land.naver.com/complexes/8185", "클릭")</f>
        <v>클릭</v>
      </c>
      <c r="H67">
        <v>1999</v>
      </c>
      <c r="I67">
        <v>10</v>
      </c>
      <c r="J67">
        <v>129</v>
      </c>
      <c r="K67">
        <v>84</v>
      </c>
      <c r="L67" t="s">
        <v>135</v>
      </c>
      <c r="M67" t="s">
        <v>137</v>
      </c>
      <c r="N67" t="s">
        <v>174</v>
      </c>
      <c r="O67">
        <v>56000</v>
      </c>
      <c r="P67" t="s">
        <v>174</v>
      </c>
      <c r="Q67">
        <v>40000</v>
      </c>
      <c r="R67">
        <v>16000</v>
      </c>
      <c r="S67" s="2">
        <v>0.7142857142857143</v>
      </c>
      <c r="T67">
        <v>59000</v>
      </c>
      <c r="U67" s="2">
        <v>-5.0847457627118647E-2</v>
      </c>
      <c r="V67">
        <v>32000</v>
      </c>
      <c r="W67" s="2">
        <v>1.75</v>
      </c>
      <c r="X67">
        <v>69</v>
      </c>
      <c r="Y67">
        <v>64</v>
      </c>
      <c r="Z67">
        <v>5</v>
      </c>
      <c r="AA67" t="s">
        <v>198</v>
      </c>
    </row>
    <row r="68" spans="1:27" x14ac:dyDescent="0.3">
      <c r="A68" s="3">
        <v>66</v>
      </c>
      <c r="B68">
        <v>10509</v>
      </c>
      <c r="C68" t="s">
        <v>26</v>
      </c>
      <c r="D68" t="s">
        <v>27</v>
      </c>
      <c r="E68" t="s">
        <v>28</v>
      </c>
      <c r="F68" t="s">
        <v>98</v>
      </c>
      <c r="G68" s="1" t="str">
        <f>HYPERLINK("https://new.land.naver.com/complexes/10509", "클릭")</f>
        <v>클릭</v>
      </c>
      <c r="H68">
        <v>2004</v>
      </c>
      <c r="I68">
        <v>12</v>
      </c>
      <c r="J68">
        <v>361</v>
      </c>
      <c r="K68">
        <v>84</v>
      </c>
      <c r="L68" t="s">
        <v>135</v>
      </c>
      <c r="M68" t="s">
        <v>137</v>
      </c>
      <c r="N68" t="s">
        <v>175</v>
      </c>
      <c r="O68">
        <v>55000</v>
      </c>
      <c r="P68" t="s">
        <v>193</v>
      </c>
      <c r="Q68">
        <v>38000</v>
      </c>
      <c r="R68">
        <v>17000</v>
      </c>
      <c r="S68" s="2">
        <v>0.69090909090909092</v>
      </c>
      <c r="T68">
        <v>70000</v>
      </c>
      <c r="U68" s="2">
        <v>-0.2142857142857143</v>
      </c>
      <c r="V68">
        <v>36400</v>
      </c>
      <c r="W68" s="2">
        <v>1.5109890109890109</v>
      </c>
      <c r="X68">
        <v>54</v>
      </c>
      <c r="Y68">
        <v>67</v>
      </c>
      <c r="Z68">
        <v>-13</v>
      </c>
      <c r="AA68" t="s">
        <v>198</v>
      </c>
    </row>
    <row r="69" spans="1:27" x14ac:dyDescent="0.3">
      <c r="A69" s="3">
        <v>67</v>
      </c>
      <c r="B69">
        <v>110631</v>
      </c>
      <c r="C69" t="s">
        <v>26</v>
      </c>
      <c r="D69" t="s">
        <v>27</v>
      </c>
      <c r="E69" t="s">
        <v>31</v>
      </c>
      <c r="F69" t="s">
        <v>99</v>
      </c>
      <c r="G69" s="1" t="str">
        <f>HYPERLINK("https://new.land.naver.com/complexes/110631", "클릭")</f>
        <v>클릭</v>
      </c>
      <c r="H69">
        <v>2017</v>
      </c>
      <c r="I69">
        <v>1</v>
      </c>
      <c r="J69">
        <v>219</v>
      </c>
      <c r="K69">
        <v>84</v>
      </c>
      <c r="L69" t="s">
        <v>135</v>
      </c>
      <c r="M69" t="s">
        <v>137</v>
      </c>
      <c r="N69" t="s">
        <v>176</v>
      </c>
      <c r="O69">
        <v>55000</v>
      </c>
      <c r="P69" t="s">
        <v>176</v>
      </c>
      <c r="Q69">
        <v>41000</v>
      </c>
      <c r="R69">
        <v>14000</v>
      </c>
      <c r="S69" s="2">
        <v>0.74545454545454548</v>
      </c>
      <c r="T69">
        <v>67700</v>
      </c>
      <c r="U69" s="2">
        <v>-0.1875923190546529</v>
      </c>
      <c r="V69">
        <v>39200</v>
      </c>
      <c r="W69" s="2">
        <v>1.403061224489796</v>
      </c>
      <c r="X69">
        <v>58</v>
      </c>
      <c r="Y69">
        <v>67</v>
      </c>
      <c r="Z69">
        <v>-9</v>
      </c>
      <c r="AA69" t="s">
        <v>198</v>
      </c>
    </row>
    <row r="70" spans="1:27" x14ac:dyDescent="0.3">
      <c r="A70" s="3">
        <v>68</v>
      </c>
      <c r="B70">
        <v>19662</v>
      </c>
      <c r="C70" t="s">
        <v>26</v>
      </c>
      <c r="D70" t="s">
        <v>27</v>
      </c>
      <c r="E70" t="s">
        <v>28</v>
      </c>
      <c r="F70" t="s">
        <v>100</v>
      </c>
      <c r="G70" s="1" t="str">
        <f>HYPERLINK("https://new.land.naver.com/complexes/19662", "클릭")</f>
        <v>클릭</v>
      </c>
      <c r="H70">
        <v>2005</v>
      </c>
      <c r="I70">
        <v>9</v>
      </c>
      <c r="J70">
        <v>60</v>
      </c>
      <c r="K70">
        <v>84</v>
      </c>
      <c r="L70" t="s">
        <v>135</v>
      </c>
      <c r="M70" t="s">
        <v>137</v>
      </c>
      <c r="N70" t="s">
        <v>143</v>
      </c>
      <c r="O70">
        <v>55000</v>
      </c>
      <c r="P70" t="s">
        <v>143</v>
      </c>
      <c r="Q70">
        <v>40000</v>
      </c>
      <c r="R70">
        <v>15000</v>
      </c>
      <c r="S70" s="2">
        <v>0.72727272727272729</v>
      </c>
      <c r="T70">
        <v>55300</v>
      </c>
      <c r="U70" s="2">
        <v>-5.4249547920433997E-3</v>
      </c>
      <c r="V70">
        <v>31000</v>
      </c>
      <c r="W70" s="2">
        <v>1.774193548387097</v>
      </c>
      <c r="X70">
        <v>77</v>
      </c>
      <c r="Y70">
        <v>67</v>
      </c>
      <c r="Z70">
        <v>10</v>
      </c>
      <c r="AA70" t="s">
        <v>202</v>
      </c>
    </row>
    <row r="71" spans="1:27" x14ac:dyDescent="0.3">
      <c r="A71" s="3">
        <v>69</v>
      </c>
      <c r="B71">
        <v>13777</v>
      </c>
      <c r="C71" t="s">
        <v>26</v>
      </c>
      <c r="D71" t="s">
        <v>27</v>
      </c>
      <c r="E71" t="s">
        <v>31</v>
      </c>
      <c r="F71" t="s">
        <v>101</v>
      </c>
      <c r="G71" s="1" t="str">
        <f>HYPERLINK("https://new.land.naver.com/complexes/13777", "클릭")</f>
        <v>클릭</v>
      </c>
      <c r="H71">
        <v>2005</v>
      </c>
      <c r="I71">
        <v>8</v>
      </c>
      <c r="J71">
        <v>131</v>
      </c>
      <c r="K71">
        <v>83</v>
      </c>
      <c r="L71" t="s">
        <v>135</v>
      </c>
      <c r="M71" t="s">
        <v>137</v>
      </c>
      <c r="N71" t="s">
        <v>177</v>
      </c>
      <c r="O71">
        <v>54800</v>
      </c>
      <c r="P71" t="s">
        <v>140</v>
      </c>
      <c r="Q71">
        <v>37000</v>
      </c>
      <c r="R71">
        <v>17800</v>
      </c>
      <c r="S71" s="2">
        <v>0.67518248175182483</v>
      </c>
      <c r="T71">
        <v>55000</v>
      </c>
      <c r="U71" s="2">
        <v>-3.6363636363636359E-3</v>
      </c>
      <c r="V71">
        <v>35700</v>
      </c>
      <c r="W71" s="2">
        <v>1.535014005602241</v>
      </c>
      <c r="X71">
        <v>78</v>
      </c>
      <c r="Y71">
        <v>70</v>
      </c>
      <c r="Z71">
        <v>8</v>
      </c>
      <c r="AA71" t="s">
        <v>198</v>
      </c>
    </row>
    <row r="72" spans="1:27" x14ac:dyDescent="0.3">
      <c r="A72" s="3">
        <v>70</v>
      </c>
      <c r="B72">
        <v>3080</v>
      </c>
      <c r="C72" t="s">
        <v>26</v>
      </c>
      <c r="D72" t="s">
        <v>27</v>
      </c>
      <c r="E72" t="s">
        <v>31</v>
      </c>
      <c r="F72" t="s">
        <v>102</v>
      </c>
      <c r="G72" s="1" t="str">
        <f>HYPERLINK("https://new.land.naver.com/complexes/3080", "클릭")</f>
        <v>클릭</v>
      </c>
      <c r="H72">
        <v>2003</v>
      </c>
      <c r="I72">
        <v>3</v>
      </c>
      <c r="J72">
        <v>2044</v>
      </c>
      <c r="K72">
        <v>84</v>
      </c>
      <c r="L72" t="s">
        <v>135</v>
      </c>
      <c r="M72" t="s">
        <v>137</v>
      </c>
      <c r="N72" t="s">
        <v>178</v>
      </c>
      <c r="O72">
        <v>53000</v>
      </c>
      <c r="P72" t="s">
        <v>194</v>
      </c>
      <c r="Q72">
        <v>38000</v>
      </c>
      <c r="R72">
        <v>15000</v>
      </c>
      <c r="S72" s="2">
        <v>0.71698113207547165</v>
      </c>
      <c r="T72">
        <v>74000</v>
      </c>
      <c r="U72" s="2">
        <v>-0.28378378378378383</v>
      </c>
      <c r="V72">
        <v>35800</v>
      </c>
      <c r="W72" s="2">
        <v>1.4804469273743019</v>
      </c>
      <c r="X72">
        <v>52</v>
      </c>
      <c r="Y72">
        <v>71</v>
      </c>
      <c r="Z72">
        <v>-19</v>
      </c>
      <c r="AA72" t="s">
        <v>198</v>
      </c>
    </row>
    <row r="73" spans="1:27" x14ac:dyDescent="0.3">
      <c r="A73" s="3">
        <v>71</v>
      </c>
      <c r="B73">
        <v>8812</v>
      </c>
      <c r="C73" t="s">
        <v>26</v>
      </c>
      <c r="D73" t="s">
        <v>27</v>
      </c>
      <c r="E73" t="s">
        <v>28</v>
      </c>
      <c r="F73" t="s">
        <v>103</v>
      </c>
      <c r="G73" s="1" t="str">
        <f>HYPERLINK("https://new.land.naver.com/complexes/8812", "클릭")</f>
        <v>클릭</v>
      </c>
      <c r="H73">
        <v>2001</v>
      </c>
      <c r="I73">
        <v>4</v>
      </c>
      <c r="J73">
        <v>136</v>
      </c>
      <c r="K73">
        <v>84</v>
      </c>
      <c r="L73" t="s">
        <v>135</v>
      </c>
      <c r="M73" t="s">
        <v>137</v>
      </c>
      <c r="N73" t="s">
        <v>179</v>
      </c>
      <c r="O73">
        <v>53000</v>
      </c>
      <c r="P73" t="s">
        <v>179</v>
      </c>
      <c r="Q73">
        <v>30000</v>
      </c>
      <c r="R73">
        <v>23000</v>
      </c>
      <c r="S73" s="2">
        <v>0.56603773584905659</v>
      </c>
      <c r="T73">
        <v>55000</v>
      </c>
      <c r="U73" s="2">
        <v>-3.6363636363636362E-2</v>
      </c>
      <c r="V73">
        <v>30600</v>
      </c>
      <c r="W73" s="2">
        <v>1.73202614379085</v>
      </c>
      <c r="X73">
        <v>78</v>
      </c>
      <c r="Y73">
        <v>71</v>
      </c>
      <c r="Z73">
        <v>7</v>
      </c>
      <c r="AA73" t="s">
        <v>198</v>
      </c>
    </row>
    <row r="74" spans="1:27" x14ac:dyDescent="0.3">
      <c r="A74" s="3">
        <v>72</v>
      </c>
      <c r="B74">
        <v>24035</v>
      </c>
      <c r="C74" t="s">
        <v>26</v>
      </c>
      <c r="D74" t="s">
        <v>27</v>
      </c>
      <c r="E74" t="s">
        <v>30</v>
      </c>
      <c r="F74" t="s">
        <v>104</v>
      </c>
      <c r="G74" s="1" t="str">
        <f>HYPERLINK("https://new.land.naver.com/complexes/24035", "클릭")</f>
        <v>클릭</v>
      </c>
      <c r="H74">
        <v>2003</v>
      </c>
      <c r="I74">
        <v>3</v>
      </c>
      <c r="J74">
        <v>64</v>
      </c>
      <c r="K74">
        <v>84</v>
      </c>
      <c r="L74" t="s">
        <v>135</v>
      </c>
      <c r="M74" t="s">
        <v>137</v>
      </c>
      <c r="N74" t="s">
        <v>180</v>
      </c>
      <c r="O74">
        <v>53000</v>
      </c>
      <c r="P74" t="s">
        <v>153</v>
      </c>
      <c r="Q74">
        <v>38000</v>
      </c>
      <c r="R74">
        <v>15000</v>
      </c>
      <c r="S74" s="2">
        <v>0.71698113207547165</v>
      </c>
      <c r="T74">
        <v>57000</v>
      </c>
      <c r="U74" s="2">
        <v>-7.0175438596491224E-2</v>
      </c>
      <c r="V74">
        <v>33800</v>
      </c>
      <c r="W74" s="2">
        <v>1.568047337278107</v>
      </c>
      <c r="X74">
        <v>73</v>
      </c>
      <c r="Y74">
        <v>71</v>
      </c>
      <c r="Z74">
        <v>2</v>
      </c>
      <c r="AA74" t="s">
        <v>198</v>
      </c>
    </row>
    <row r="75" spans="1:27" x14ac:dyDescent="0.3">
      <c r="A75" s="3">
        <v>73</v>
      </c>
      <c r="B75">
        <v>10147</v>
      </c>
      <c r="C75" t="s">
        <v>26</v>
      </c>
      <c r="D75" t="s">
        <v>27</v>
      </c>
      <c r="E75" t="s">
        <v>28</v>
      </c>
      <c r="F75" t="s">
        <v>105</v>
      </c>
      <c r="G75" s="1" t="str">
        <f>HYPERLINK("https://new.land.naver.com/complexes/10147", "클릭")</f>
        <v>클릭</v>
      </c>
      <c r="H75">
        <v>2004</v>
      </c>
      <c r="I75">
        <v>10</v>
      </c>
      <c r="J75">
        <v>203</v>
      </c>
      <c r="K75">
        <v>84</v>
      </c>
      <c r="L75" t="s">
        <v>135</v>
      </c>
      <c r="M75" t="s">
        <v>137</v>
      </c>
      <c r="N75" t="s">
        <v>158</v>
      </c>
      <c r="O75">
        <v>53000</v>
      </c>
      <c r="P75" t="s">
        <v>158</v>
      </c>
      <c r="Q75">
        <v>37000</v>
      </c>
      <c r="R75">
        <v>16000</v>
      </c>
      <c r="S75" s="2">
        <v>0.69811320754716977</v>
      </c>
      <c r="T75">
        <v>63000</v>
      </c>
      <c r="U75" s="2">
        <v>-0.15873015873015869</v>
      </c>
      <c r="V75">
        <v>32100</v>
      </c>
      <c r="W75" s="2">
        <v>1.6510903426791279</v>
      </c>
      <c r="X75">
        <v>61</v>
      </c>
      <c r="Y75">
        <v>71</v>
      </c>
      <c r="Z75">
        <v>-10</v>
      </c>
      <c r="AA75" t="s">
        <v>198</v>
      </c>
    </row>
    <row r="76" spans="1:27" x14ac:dyDescent="0.3">
      <c r="A76" s="3">
        <v>74</v>
      </c>
      <c r="B76">
        <v>13383</v>
      </c>
      <c r="C76" t="s">
        <v>26</v>
      </c>
      <c r="D76" t="s">
        <v>27</v>
      </c>
      <c r="E76" t="s">
        <v>28</v>
      </c>
      <c r="F76" t="s">
        <v>106</v>
      </c>
      <c r="G76" s="1" t="str">
        <f>HYPERLINK("https://new.land.naver.com/complexes/13383", "클릭")</f>
        <v>클릭</v>
      </c>
      <c r="H76">
        <v>2005</v>
      </c>
      <c r="I76">
        <v>12</v>
      </c>
      <c r="J76">
        <v>148</v>
      </c>
      <c r="K76">
        <v>84</v>
      </c>
      <c r="L76" t="s">
        <v>135</v>
      </c>
      <c r="M76" t="s">
        <v>137</v>
      </c>
      <c r="N76" t="s">
        <v>149</v>
      </c>
      <c r="O76">
        <v>53000</v>
      </c>
      <c r="P76" t="s">
        <v>149</v>
      </c>
      <c r="Q76">
        <v>38000</v>
      </c>
      <c r="R76">
        <v>15000</v>
      </c>
      <c r="S76" s="2">
        <v>0.71698113207547165</v>
      </c>
      <c r="T76">
        <v>66000</v>
      </c>
      <c r="U76" s="2">
        <v>-0.19696969696969699</v>
      </c>
      <c r="V76">
        <v>34300</v>
      </c>
      <c r="W76" s="2">
        <v>1.545189504373178</v>
      </c>
      <c r="X76">
        <v>59</v>
      </c>
      <c r="Y76">
        <v>71</v>
      </c>
      <c r="Z76">
        <v>-12</v>
      </c>
      <c r="AA76" t="s">
        <v>198</v>
      </c>
    </row>
    <row r="77" spans="1:27" x14ac:dyDescent="0.3">
      <c r="A77" s="3">
        <v>75</v>
      </c>
      <c r="B77">
        <v>19128</v>
      </c>
      <c r="C77" t="s">
        <v>26</v>
      </c>
      <c r="D77" t="s">
        <v>27</v>
      </c>
      <c r="E77" t="s">
        <v>28</v>
      </c>
      <c r="F77" t="s">
        <v>107</v>
      </c>
      <c r="G77" s="1" t="str">
        <f>HYPERLINK("https://new.land.naver.com/complexes/19128", "클릭")</f>
        <v>클릭</v>
      </c>
      <c r="H77">
        <v>2005</v>
      </c>
      <c r="I77">
        <v>9</v>
      </c>
      <c r="J77">
        <v>83</v>
      </c>
      <c r="K77">
        <v>84</v>
      </c>
      <c r="L77" t="s">
        <v>135</v>
      </c>
      <c r="M77" t="s">
        <v>137</v>
      </c>
      <c r="N77" t="s">
        <v>163</v>
      </c>
      <c r="O77">
        <v>53000</v>
      </c>
      <c r="P77" t="s">
        <v>163</v>
      </c>
      <c r="Q77">
        <v>40000</v>
      </c>
      <c r="R77">
        <v>13000</v>
      </c>
      <c r="S77" s="2">
        <v>0.75471698113207553</v>
      </c>
      <c r="T77">
        <v>63000</v>
      </c>
      <c r="U77" s="2">
        <v>-0.15873015873015869</v>
      </c>
      <c r="V77">
        <v>33900</v>
      </c>
      <c r="W77" s="2">
        <v>1.5634218289085551</v>
      </c>
      <c r="X77">
        <v>61</v>
      </c>
      <c r="Y77">
        <v>71</v>
      </c>
      <c r="Z77">
        <v>-10</v>
      </c>
      <c r="AA77" t="s">
        <v>203</v>
      </c>
    </row>
    <row r="78" spans="1:27" x14ac:dyDescent="0.3">
      <c r="A78" s="3">
        <v>76</v>
      </c>
      <c r="B78">
        <v>8800</v>
      </c>
      <c r="C78" t="s">
        <v>26</v>
      </c>
      <c r="D78" t="s">
        <v>27</v>
      </c>
      <c r="E78" t="s">
        <v>28</v>
      </c>
      <c r="F78" t="s">
        <v>108</v>
      </c>
      <c r="G78" s="1" t="str">
        <f>HYPERLINK("https://new.land.naver.com/complexes/8800", "클릭")</f>
        <v>클릭</v>
      </c>
      <c r="H78">
        <v>2000</v>
      </c>
      <c r="I78">
        <v>10</v>
      </c>
      <c r="J78">
        <v>370</v>
      </c>
      <c r="K78">
        <v>84</v>
      </c>
      <c r="L78" t="s">
        <v>135</v>
      </c>
      <c r="M78" t="s">
        <v>137</v>
      </c>
      <c r="N78" t="s">
        <v>160</v>
      </c>
      <c r="O78">
        <v>52000</v>
      </c>
      <c r="P78" t="s">
        <v>160</v>
      </c>
      <c r="Q78">
        <v>36000</v>
      </c>
      <c r="R78">
        <v>16000</v>
      </c>
      <c r="S78" s="2">
        <v>0.69230769230769229</v>
      </c>
      <c r="T78">
        <v>59000</v>
      </c>
      <c r="U78" s="2">
        <v>-0.1186440677966102</v>
      </c>
      <c r="V78">
        <v>31900</v>
      </c>
      <c r="W78" s="2">
        <v>1.630094043887147</v>
      </c>
      <c r="X78">
        <v>69</v>
      </c>
      <c r="Y78">
        <v>77</v>
      </c>
      <c r="Z78">
        <v>-8</v>
      </c>
      <c r="AA78" t="s">
        <v>198</v>
      </c>
    </row>
    <row r="79" spans="1:27" x14ac:dyDescent="0.3">
      <c r="A79" s="3">
        <v>77</v>
      </c>
      <c r="B79">
        <v>103511</v>
      </c>
      <c r="C79" t="s">
        <v>26</v>
      </c>
      <c r="D79" t="s">
        <v>27</v>
      </c>
      <c r="E79" t="s">
        <v>28</v>
      </c>
      <c r="F79" t="s">
        <v>109</v>
      </c>
      <c r="G79" s="1" t="str">
        <f>HYPERLINK("https://new.land.naver.com/complexes/103511", "클릭")</f>
        <v>클릭</v>
      </c>
      <c r="H79">
        <v>2012</v>
      </c>
      <c r="I79">
        <v>12</v>
      </c>
      <c r="J79">
        <v>136</v>
      </c>
      <c r="K79">
        <v>84</v>
      </c>
      <c r="L79" t="s">
        <v>135</v>
      </c>
      <c r="M79" t="s">
        <v>137</v>
      </c>
      <c r="N79" t="s">
        <v>149</v>
      </c>
      <c r="O79">
        <v>52000</v>
      </c>
      <c r="P79" t="s">
        <v>195</v>
      </c>
      <c r="Q79">
        <v>31000</v>
      </c>
      <c r="R79">
        <v>21000</v>
      </c>
      <c r="S79" s="2">
        <v>0.59615384615384615</v>
      </c>
      <c r="T79">
        <v>58500</v>
      </c>
      <c r="U79" s="2">
        <v>-0.1111111111111111</v>
      </c>
      <c r="V79">
        <v>31100</v>
      </c>
      <c r="W79" s="2">
        <v>1.672025723472669</v>
      </c>
      <c r="X79">
        <v>72</v>
      </c>
      <c r="Y79">
        <v>77</v>
      </c>
      <c r="Z79">
        <v>-5</v>
      </c>
      <c r="AA79" t="s">
        <v>198</v>
      </c>
    </row>
    <row r="80" spans="1:27" x14ac:dyDescent="0.3">
      <c r="A80" s="3">
        <v>78</v>
      </c>
      <c r="B80">
        <v>1975</v>
      </c>
      <c r="C80" t="s">
        <v>26</v>
      </c>
      <c r="D80" t="s">
        <v>27</v>
      </c>
      <c r="E80" t="s">
        <v>29</v>
      </c>
      <c r="F80" t="s">
        <v>110</v>
      </c>
      <c r="G80" s="1" t="str">
        <f>HYPERLINK("https://new.land.naver.com/complexes/1975", "클릭")</f>
        <v>클릭</v>
      </c>
      <c r="H80">
        <v>1996</v>
      </c>
      <c r="I80">
        <v>2</v>
      </c>
      <c r="J80">
        <v>46</v>
      </c>
      <c r="K80">
        <v>84</v>
      </c>
      <c r="L80" t="s">
        <v>135</v>
      </c>
      <c r="M80" t="s">
        <v>137</v>
      </c>
      <c r="N80" t="s">
        <v>181</v>
      </c>
      <c r="O80">
        <v>50000</v>
      </c>
      <c r="T80">
        <v>41000</v>
      </c>
      <c r="U80" s="2">
        <v>0.21951219512195119</v>
      </c>
      <c r="V80">
        <v>28400</v>
      </c>
      <c r="W80" s="2">
        <v>1.76056338028169</v>
      </c>
      <c r="X80">
        <v>92</v>
      </c>
      <c r="Y80">
        <v>79</v>
      </c>
      <c r="Z80">
        <v>13</v>
      </c>
      <c r="AA80" t="s">
        <v>204</v>
      </c>
    </row>
    <row r="81" spans="1:27" x14ac:dyDescent="0.3">
      <c r="A81" s="3">
        <v>79</v>
      </c>
      <c r="B81">
        <v>108656</v>
      </c>
      <c r="C81" t="s">
        <v>26</v>
      </c>
      <c r="D81" t="s">
        <v>27</v>
      </c>
      <c r="E81" t="s">
        <v>31</v>
      </c>
      <c r="F81" t="s">
        <v>111</v>
      </c>
      <c r="G81" s="1" t="str">
        <f>HYPERLINK("https://new.land.naver.com/complexes/108656", "클릭")</f>
        <v>클릭</v>
      </c>
      <c r="H81">
        <v>2014</v>
      </c>
      <c r="I81">
        <v>10</v>
      </c>
      <c r="J81">
        <v>191</v>
      </c>
      <c r="K81">
        <v>84</v>
      </c>
      <c r="L81" t="s">
        <v>135</v>
      </c>
      <c r="M81" t="s">
        <v>137</v>
      </c>
      <c r="N81" t="s">
        <v>182</v>
      </c>
      <c r="O81">
        <v>50000</v>
      </c>
      <c r="P81" t="s">
        <v>152</v>
      </c>
      <c r="Q81">
        <v>40000</v>
      </c>
      <c r="R81">
        <v>10000</v>
      </c>
      <c r="S81" s="2">
        <v>0.8</v>
      </c>
      <c r="T81">
        <v>60000</v>
      </c>
      <c r="U81" s="2">
        <v>-0.16666666666666671</v>
      </c>
      <c r="X81">
        <v>66</v>
      </c>
      <c r="Y81">
        <v>79</v>
      </c>
      <c r="Z81">
        <v>-13</v>
      </c>
      <c r="AA81" t="s">
        <v>198</v>
      </c>
    </row>
    <row r="82" spans="1:27" x14ac:dyDescent="0.3">
      <c r="A82" s="3">
        <v>80</v>
      </c>
      <c r="B82">
        <v>9382</v>
      </c>
      <c r="C82" t="s">
        <v>26</v>
      </c>
      <c r="D82" t="s">
        <v>27</v>
      </c>
      <c r="E82" t="s">
        <v>31</v>
      </c>
      <c r="F82" t="s">
        <v>112</v>
      </c>
      <c r="G82" s="1" t="str">
        <f>HYPERLINK("https://new.land.naver.com/complexes/9382", "클릭")</f>
        <v>클릭</v>
      </c>
      <c r="H82">
        <v>1995</v>
      </c>
      <c r="I82">
        <v>12</v>
      </c>
      <c r="J82">
        <v>282</v>
      </c>
      <c r="K82">
        <v>84</v>
      </c>
      <c r="L82" t="s">
        <v>136</v>
      </c>
      <c r="M82" t="s">
        <v>137</v>
      </c>
      <c r="N82" t="s">
        <v>183</v>
      </c>
      <c r="O82">
        <v>49000</v>
      </c>
      <c r="P82" t="s">
        <v>183</v>
      </c>
      <c r="Q82">
        <v>25000</v>
      </c>
      <c r="R82">
        <v>24000</v>
      </c>
      <c r="S82" s="2">
        <v>0.51020408163265307</v>
      </c>
      <c r="T82">
        <v>62000</v>
      </c>
      <c r="U82" s="2">
        <v>-0.20967741935483869</v>
      </c>
      <c r="V82">
        <v>32800</v>
      </c>
      <c r="W82" s="2">
        <v>1.49390243902439</v>
      </c>
      <c r="X82">
        <v>64</v>
      </c>
      <c r="Y82">
        <v>81</v>
      </c>
      <c r="Z82">
        <v>-17</v>
      </c>
      <c r="AA82" t="s">
        <v>198</v>
      </c>
    </row>
    <row r="83" spans="1:27" x14ac:dyDescent="0.3">
      <c r="A83" s="3">
        <v>81</v>
      </c>
      <c r="B83">
        <v>10147</v>
      </c>
      <c r="C83" t="s">
        <v>26</v>
      </c>
      <c r="D83" t="s">
        <v>27</v>
      </c>
      <c r="E83" t="s">
        <v>28</v>
      </c>
      <c r="F83" t="s">
        <v>105</v>
      </c>
      <c r="G83" s="1" t="str">
        <f>HYPERLINK("https://new.land.naver.com/complexes/10147", "클릭")</f>
        <v>클릭</v>
      </c>
      <c r="H83">
        <v>2004</v>
      </c>
      <c r="I83">
        <v>10</v>
      </c>
      <c r="J83">
        <v>203</v>
      </c>
      <c r="K83">
        <v>83</v>
      </c>
      <c r="L83" t="s">
        <v>135</v>
      </c>
      <c r="M83" t="s">
        <v>137</v>
      </c>
      <c r="N83" t="s">
        <v>184</v>
      </c>
      <c r="O83">
        <v>49000</v>
      </c>
      <c r="P83" t="s">
        <v>184</v>
      </c>
      <c r="Q83">
        <v>32000</v>
      </c>
      <c r="R83">
        <v>17000</v>
      </c>
      <c r="S83" s="2">
        <v>0.65306122448979587</v>
      </c>
      <c r="T83">
        <v>63000</v>
      </c>
      <c r="U83" s="2">
        <v>-0.22222222222222221</v>
      </c>
      <c r="V83">
        <v>31300</v>
      </c>
      <c r="W83" s="2">
        <v>1.565495207667732</v>
      </c>
      <c r="X83">
        <v>61</v>
      </c>
      <c r="Y83">
        <v>81</v>
      </c>
      <c r="Z83">
        <v>-20</v>
      </c>
      <c r="AA83" t="s">
        <v>205</v>
      </c>
    </row>
    <row r="84" spans="1:27" x14ac:dyDescent="0.3">
      <c r="A84" s="3">
        <v>82</v>
      </c>
      <c r="B84">
        <v>8711</v>
      </c>
      <c r="C84" t="s">
        <v>26</v>
      </c>
      <c r="D84" t="s">
        <v>27</v>
      </c>
      <c r="E84" t="s">
        <v>30</v>
      </c>
      <c r="F84" t="s">
        <v>113</v>
      </c>
      <c r="G84" s="1" t="str">
        <f>HYPERLINK("https://new.land.naver.com/complexes/8711", "클릭")</f>
        <v>클릭</v>
      </c>
      <c r="H84">
        <v>1999</v>
      </c>
      <c r="I84">
        <v>7</v>
      </c>
      <c r="J84">
        <v>49</v>
      </c>
      <c r="K84">
        <v>84</v>
      </c>
      <c r="L84" t="s">
        <v>135</v>
      </c>
      <c r="M84" t="s">
        <v>137</v>
      </c>
      <c r="N84" t="s">
        <v>143</v>
      </c>
      <c r="O84">
        <v>48000</v>
      </c>
      <c r="P84" t="s">
        <v>143</v>
      </c>
      <c r="Q84">
        <v>40000</v>
      </c>
      <c r="R84">
        <v>8000</v>
      </c>
      <c r="S84" s="2">
        <v>0.83333333333333337</v>
      </c>
      <c r="T84">
        <v>44000</v>
      </c>
      <c r="U84" s="2">
        <v>9.0909090909090912E-2</v>
      </c>
      <c r="V84">
        <v>34600</v>
      </c>
      <c r="W84" s="2">
        <v>1.3872832369942201</v>
      </c>
      <c r="X84">
        <v>90</v>
      </c>
      <c r="Y84">
        <v>83</v>
      </c>
      <c r="Z84">
        <v>7</v>
      </c>
      <c r="AA84" t="s">
        <v>198</v>
      </c>
    </row>
    <row r="85" spans="1:27" x14ac:dyDescent="0.3">
      <c r="A85" s="3">
        <v>83</v>
      </c>
      <c r="B85">
        <v>2034</v>
      </c>
      <c r="C85" t="s">
        <v>26</v>
      </c>
      <c r="D85" t="s">
        <v>27</v>
      </c>
      <c r="E85" t="s">
        <v>28</v>
      </c>
      <c r="F85" t="s">
        <v>114</v>
      </c>
      <c r="G85" s="1" t="str">
        <f>HYPERLINK("https://new.land.naver.com/complexes/2034", "클릭")</f>
        <v>클릭</v>
      </c>
      <c r="H85">
        <v>1999</v>
      </c>
      <c r="I85">
        <v>8</v>
      </c>
      <c r="J85">
        <v>195</v>
      </c>
      <c r="K85">
        <v>84</v>
      </c>
      <c r="L85" t="s">
        <v>136</v>
      </c>
      <c r="M85" t="s">
        <v>137</v>
      </c>
      <c r="N85" t="s">
        <v>142</v>
      </c>
      <c r="O85">
        <v>48000</v>
      </c>
      <c r="P85" t="s">
        <v>196</v>
      </c>
      <c r="Q85">
        <v>30000</v>
      </c>
      <c r="R85">
        <v>18000</v>
      </c>
      <c r="S85" s="2">
        <v>0.625</v>
      </c>
      <c r="T85">
        <v>52800</v>
      </c>
      <c r="U85" s="2">
        <v>-9.0909090909090912E-2</v>
      </c>
      <c r="V85">
        <v>30600</v>
      </c>
      <c r="W85" s="2">
        <v>1.5686274509803919</v>
      </c>
      <c r="X85">
        <v>82</v>
      </c>
      <c r="Y85">
        <v>83</v>
      </c>
      <c r="Z85">
        <v>-1</v>
      </c>
      <c r="AA85" t="s">
        <v>198</v>
      </c>
    </row>
    <row r="86" spans="1:27" x14ac:dyDescent="0.3">
      <c r="A86" s="3">
        <v>84</v>
      </c>
      <c r="B86">
        <v>18830</v>
      </c>
      <c r="C86" t="s">
        <v>26</v>
      </c>
      <c r="D86" t="s">
        <v>27</v>
      </c>
      <c r="E86" t="s">
        <v>28</v>
      </c>
      <c r="F86" t="s">
        <v>115</v>
      </c>
      <c r="G86" s="1" t="str">
        <f>HYPERLINK("https://new.land.naver.com/complexes/18830", "클릭")</f>
        <v>클릭</v>
      </c>
      <c r="H86">
        <v>2006</v>
      </c>
      <c r="I86">
        <v>1</v>
      </c>
      <c r="J86">
        <v>71</v>
      </c>
      <c r="K86">
        <v>84</v>
      </c>
      <c r="L86" t="s">
        <v>135</v>
      </c>
      <c r="M86" t="s">
        <v>137</v>
      </c>
      <c r="N86" t="s">
        <v>156</v>
      </c>
      <c r="O86">
        <v>47000</v>
      </c>
      <c r="P86" t="s">
        <v>197</v>
      </c>
      <c r="Q86">
        <v>38000</v>
      </c>
      <c r="R86">
        <v>9000</v>
      </c>
      <c r="S86" s="2">
        <v>0.80851063829787229</v>
      </c>
      <c r="T86">
        <v>55500</v>
      </c>
      <c r="U86" s="2">
        <v>-0.15315315315315309</v>
      </c>
      <c r="V86">
        <v>30400</v>
      </c>
      <c r="W86" s="2">
        <v>1.5460526315789469</v>
      </c>
      <c r="X86">
        <v>76</v>
      </c>
      <c r="Y86">
        <v>85</v>
      </c>
      <c r="Z86">
        <v>-9</v>
      </c>
      <c r="AA86" t="s">
        <v>198</v>
      </c>
    </row>
    <row r="87" spans="1:27" x14ac:dyDescent="0.3">
      <c r="A87" s="3">
        <v>85</v>
      </c>
      <c r="B87">
        <v>106767</v>
      </c>
      <c r="C87" t="s">
        <v>26</v>
      </c>
      <c r="D87" t="s">
        <v>27</v>
      </c>
      <c r="E87" t="s">
        <v>28</v>
      </c>
      <c r="F87" t="s">
        <v>116</v>
      </c>
      <c r="G87" s="1" t="str">
        <f>HYPERLINK("https://new.land.naver.com/complexes/106767", "클릭")</f>
        <v>클릭</v>
      </c>
      <c r="H87">
        <v>2013</v>
      </c>
      <c r="I87">
        <v>2</v>
      </c>
      <c r="J87">
        <v>48</v>
      </c>
      <c r="K87">
        <v>84</v>
      </c>
      <c r="L87" t="s">
        <v>135</v>
      </c>
      <c r="M87" t="s">
        <v>137</v>
      </c>
      <c r="N87" t="s">
        <v>185</v>
      </c>
      <c r="O87">
        <v>47000</v>
      </c>
      <c r="P87" t="s">
        <v>185</v>
      </c>
      <c r="Q87">
        <v>35000</v>
      </c>
      <c r="R87">
        <v>12000</v>
      </c>
      <c r="S87" s="2">
        <v>0.74468085106382975</v>
      </c>
      <c r="T87">
        <v>55000</v>
      </c>
      <c r="U87" s="2">
        <v>-0.14545454545454539</v>
      </c>
      <c r="V87">
        <v>31200</v>
      </c>
      <c r="W87" s="2">
        <v>1.5064102564102559</v>
      </c>
      <c r="X87">
        <v>78</v>
      </c>
      <c r="Y87">
        <v>85</v>
      </c>
      <c r="Z87">
        <v>-7</v>
      </c>
      <c r="AA87" t="s">
        <v>198</v>
      </c>
    </row>
    <row r="88" spans="1:27" x14ac:dyDescent="0.3">
      <c r="A88" s="3">
        <v>86</v>
      </c>
      <c r="B88">
        <v>9908</v>
      </c>
      <c r="C88" t="s">
        <v>26</v>
      </c>
      <c r="D88" t="s">
        <v>27</v>
      </c>
      <c r="E88" t="s">
        <v>31</v>
      </c>
      <c r="F88" t="s">
        <v>117</v>
      </c>
      <c r="G88" s="1" t="str">
        <f>HYPERLINK("https://new.land.naver.com/complexes/9908", "클릭")</f>
        <v>클릭</v>
      </c>
      <c r="H88">
        <v>2000</v>
      </c>
      <c r="I88">
        <v>1</v>
      </c>
      <c r="J88">
        <v>112</v>
      </c>
      <c r="K88">
        <v>84</v>
      </c>
      <c r="L88" t="s">
        <v>136</v>
      </c>
      <c r="M88" t="s">
        <v>137</v>
      </c>
      <c r="N88" t="s">
        <v>185</v>
      </c>
      <c r="O88">
        <v>46000</v>
      </c>
      <c r="P88" t="s">
        <v>185</v>
      </c>
      <c r="Q88">
        <v>35000</v>
      </c>
      <c r="R88">
        <v>11000</v>
      </c>
      <c r="S88" s="2">
        <v>0.76086956521739135</v>
      </c>
      <c r="T88">
        <v>50000</v>
      </c>
      <c r="U88" s="2">
        <v>-0.08</v>
      </c>
      <c r="V88">
        <v>25700</v>
      </c>
      <c r="W88" s="2">
        <v>1.7898832684824899</v>
      </c>
      <c r="X88">
        <v>84</v>
      </c>
      <c r="Y88">
        <v>87</v>
      </c>
      <c r="Z88">
        <v>-3</v>
      </c>
      <c r="AA88" t="s">
        <v>198</v>
      </c>
    </row>
    <row r="89" spans="1:27" x14ac:dyDescent="0.3">
      <c r="A89" s="3">
        <v>87</v>
      </c>
      <c r="B89">
        <v>102095</v>
      </c>
      <c r="C89" t="s">
        <v>26</v>
      </c>
      <c r="D89" t="s">
        <v>27</v>
      </c>
      <c r="E89" t="s">
        <v>28</v>
      </c>
      <c r="F89" t="s">
        <v>118</v>
      </c>
      <c r="G89" s="1" t="str">
        <f>HYPERLINK("https://new.land.naver.com/complexes/102095", "클릭")</f>
        <v>클릭</v>
      </c>
      <c r="H89">
        <v>2009</v>
      </c>
      <c r="I89">
        <v>12</v>
      </c>
      <c r="J89">
        <v>100</v>
      </c>
      <c r="K89">
        <v>84</v>
      </c>
      <c r="L89" t="s">
        <v>135</v>
      </c>
      <c r="M89" t="s">
        <v>137</v>
      </c>
      <c r="N89" t="s">
        <v>173</v>
      </c>
      <c r="O89">
        <v>46000</v>
      </c>
      <c r="P89" t="s">
        <v>173</v>
      </c>
      <c r="Q89">
        <v>43000</v>
      </c>
      <c r="R89">
        <v>3000</v>
      </c>
      <c r="S89" s="2">
        <v>0.93478260869565222</v>
      </c>
      <c r="T89">
        <v>52500</v>
      </c>
      <c r="U89" s="2">
        <v>-0.1238095238095238</v>
      </c>
      <c r="V89">
        <v>25700</v>
      </c>
      <c r="W89" s="2">
        <v>1.7898832684824899</v>
      </c>
      <c r="X89">
        <v>83</v>
      </c>
      <c r="Y89">
        <v>87</v>
      </c>
      <c r="Z89">
        <v>-4</v>
      </c>
      <c r="AA89" t="s">
        <v>198</v>
      </c>
    </row>
    <row r="90" spans="1:27" x14ac:dyDescent="0.3">
      <c r="A90" s="3">
        <v>88</v>
      </c>
      <c r="B90">
        <v>9061</v>
      </c>
      <c r="C90" t="s">
        <v>26</v>
      </c>
      <c r="D90" t="s">
        <v>27</v>
      </c>
      <c r="E90" t="s">
        <v>28</v>
      </c>
      <c r="F90" t="s">
        <v>119</v>
      </c>
      <c r="G90" s="1" t="str">
        <f>HYPERLINK("https://new.land.naver.com/complexes/9061", "클릭")</f>
        <v>클릭</v>
      </c>
      <c r="H90">
        <v>1999</v>
      </c>
      <c r="I90">
        <v>1</v>
      </c>
      <c r="J90">
        <v>113</v>
      </c>
      <c r="K90">
        <v>84</v>
      </c>
      <c r="L90" t="s">
        <v>135</v>
      </c>
      <c r="M90" t="s">
        <v>137</v>
      </c>
      <c r="N90" t="s">
        <v>186</v>
      </c>
      <c r="O90">
        <v>45000</v>
      </c>
      <c r="P90" t="s">
        <v>186</v>
      </c>
      <c r="Q90">
        <v>32000</v>
      </c>
      <c r="R90">
        <v>13000</v>
      </c>
      <c r="S90" s="2">
        <v>0.71111111111111114</v>
      </c>
      <c r="T90">
        <v>42500</v>
      </c>
      <c r="U90" s="2">
        <v>5.8823529411764712E-2</v>
      </c>
      <c r="X90">
        <v>91</v>
      </c>
      <c r="Y90">
        <v>89</v>
      </c>
      <c r="Z90">
        <v>2</v>
      </c>
      <c r="AA90" t="s">
        <v>198</v>
      </c>
    </row>
    <row r="91" spans="1:27" x14ac:dyDescent="0.3">
      <c r="A91" s="3">
        <v>89</v>
      </c>
      <c r="B91">
        <v>2043</v>
      </c>
      <c r="C91" t="s">
        <v>26</v>
      </c>
      <c r="D91" t="s">
        <v>27</v>
      </c>
      <c r="E91" t="s">
        <v>28</v>
      </c>
      <c r="F91" t="s">
        <v>120</v>
      </c>
      <c r="G91" s="1" t="str">
        <f>HYPERLINK("https://new.land.naver.com/complexes/2043", "클릭")</f>
        <v>클릭</v>
      </c>
      <c r="H91">
        <v>1999</v>
      </c>
      <c r="I91">
        <v>12</v>
      </c>
      <c r="J91">
        <v>116</v>
      </c>
      <c r="K91">
        <v>84</v>
      </c>
      <c r="L91" t="s">
        <v>136</v>
      </c>
      <c r="M91" t="s">
        <v>137</v>
      </c>
      <c r="N91" t="s">
        <v>146</v>
      </c>
      <c r="O91">
        <v>45000</v>
      </c>
      <c r="P91" t="s">
        <v>146</v>
      </c>
      <c r="Q91">
        <v>27000</v>
      </c>
      <c r="R91">
        <v>18000</v>
      </c>
      <c r="S91" s="2">
        <v>0.6</v>
      </c>
      <c r="T91">
        <v>50000</v>
      </c>
      <c r="U91" s="2">
        <v>-0.1</v>
      </c>
      <c r="V91">
        <v>27100</v>
      </c>
      <c r="W91" s="2">
        <v>1.660516605166052</v>
      </c>
      <c r="X91">
        <v>84</v>
      </c>
      <c r="Y91">
        <v>89</v>
      </c>
      <c r="Z91">
        <v>-5</v>
      </c>
      <c r="AA91" t="s">
        <v>198</v>
      </c>
    </row>
    <row r="92" spans="1:27" x14ac:dyDescent="0.3">
      <c r="A92" s="3">
        <v>90</v>
      </c>
      <c r="B92">
        <v>2046</v>
      </c>
      <c r="C92" t="s">
        <v>26</v>
      </c>
      <c r="D92" t="s">
        <v>27</v>
      </c>
      <c r="E92" t="s">
        <v>28</v>
      </c>
      <c r="F92" t="s">
        <v>121</v>
      </c>
      <c r="G92" s="1" t="str">
        <f>HYPERLINK("https://new.land.naver.com/complexes/2046", "클릭")</f>
        <v>클릭</v>
      </c>
      <c r="H92">
        <v>1996</v>
      </c>
      <c r="I92">
        <v>10</v>
      </c>
      <c r="J92">
        <v>261</v>
      </c>
      <c r="K92">
        <v>84</v>
      </c>
      <c r="L92" t="s">
        <v>135</v>
      </c>
      <c r="M92" t="s">
        <v>137</v>
      </c>
      <c r="N92" t="s">
        <v>187</v>
      </c>
      <c r="O92">
        <v>45000</v>
      </c>
      <c r="P92" t="s">
        <v>187</v>
      </c>
      <c r="Q92">
        <v>30000</v>
      </c>
      <c r="R92">
        <v>15000</v>
      </c>
      <c r="S92" s="2">
        <v>0.66666666666666663</v>
      </c>
      <c r="T92">
        <v>45000</v>
      </c>
      <c r="U92" s="2">
        <v>0</v>
      </c>
      <c r="V92">
        <v>27300</v>
      </c>
      <c r="W92" s="2">
        <v>1.648351648351648</v>
      </c>
      <c r="X92">
        <v>89</v>
      </c>
      <c r="Y92">
        <v>89</v>
      </c>
      <c r="Z92">
        <v>0</v>
      </c>
      <c r="AA92" t="s">
        <v>198</v>
      </c>
    </row>
    <row r="93" spans="1:27" x14ac:dyDescent="0.3">
      <c r="A93" s="3">
        <v>91</v>
      </c>
      <c r="B93">
        <v>8799</v>
      </c>
      <c r="C93" t="s">
        <v>26</v>
      </c>
      <c r="D93" t="s">
        <v>27</v>
      </c>
      <c r="E93" t="s">
        <v>28</v>
      </c>
      <c r="F93" t="s">
        <v>122</v>
      </c>
      <c r="G93" s="1" t="str">
        <f>HYPERLINK("https://new.land.naver.com/complexes/8799", "클릭")</f>
        <v>클릭</v>
      </c>
      <c r="H93">
        <v>1998</v>
      </c>
      <c r="I93">
        <v>12</v>
      </c>
      <c r="J93">
        <v>130</v>
      </c>
      <c r="K93">
        <v>84</v>
      </c>
      <c r="L93" t="s">
        <v>135</v>
      </c>
      <c r="M93" t="s">
        <v>137</v>
      </c>
      <c r="N93" t="s">
        <v>147</v>
      </c>
      <c r="O93">
        <v>45000</v>
      </c>
      <c r="P93" t="s">
        <v>147</v>
      </c>
      <c r="Q93">
        <v>35000</v>
      </c>
      <c r="R93">
        <v>10000</v>
      </c>
      <c r="S93" s="2">
        <v>0.77777777777777779</v>
      </c>
      <c r="T93">
        <v>45800</v>
      </c>
      <c r="U93" s="2">
        <v>-1.7467248908296939E-2</v>
      </c>
      <c r="V93">
        <v>28700</v>
      </c>
      <c r="W93" s="2">
        <v>1.5679442508710799</v>
      </c>
      <c r="X93">
        <v>88</v>
      </c>
      <c r="Y93">
        <v>89</v>
      </c>
      <c r="Z93">
        <v>-1</v>
      </c>
      <c r="AA93" t="s">
        <v>198</v>
      </c>
    </row>
    <row r="94" spans="1:27" x14ac:dyDescent="0.3">
      <c r="A94" s="3">
        <v>92</v>
      </c>
      <c r="B94">
        <v>19530</v>
      </c>
      <c r="C94" t="s">
        <v>26</v>
      </c>
      <c r="D94" t="s">
        <v>27</v>
      </c>
      <c r="E94" t="s">
        <v>28</v>
      </c>
      <c r="F94" t="s">
        <v>123</v>
      </c>
      <c r="G94" s="1" t="str">
        <f>HYPERLINK("https://new.land.naver.com/complexes/19530", "클릭")</f>
        <v>클릭</v>
      </c>
      <c r="H94">
        <v>2007</v>
      </c>
      <c r="I94">
        <v>3</v>
      </c>
      <c r="J94">
        <v>210</v>
      </c>
      <c r="K94">
        <v>84</v>
      </c>
      <c r="L94" t="s">
        <v>135</v>
      </c>
      <c r="M94" t="s">
        <v>137</v>
      </c>
      <c r="N94" t="s">
        <v>187</v>
      </c>
      <c r="O94">
        <v>44500</v>
      </c>
      <c r="P94" t="s">
        <v>187</v>
      </c>
      <c r="Q94">
        <v>32000</v>
      </c>
      <c r="R94">
        <v>12500</v>
      </c>
      <c r="S94" s="2">
        <v>0.7191011235955056</v>
      </c>
      <c r="T94">
        <v>50000</v>
      </c>
      <c r="U94" s="2">
        <v>-0.11</v>
      </c>
      <c r="V94">
        <v>27400</v>
      </c>
      <c r="W94" s="2">
        <v>1.6240875912408761</v>
      </c>
      <c r="X94">
        <v>84</v>
      </c>
      <c r="Y94">
        <v>93</v>
      </c>
      <c r="Z94">
        <v>-9</v>
      </c>
      <c r="AA94" t="s">
        <v>198</v>
      </c>
    </row>
    <row r="95" spans="1:27" x14ac:dyDescent="0.3">
      <c r="A95" s="3">
        <v>93</v>
      </c>
      <c r="B95">
        <v>3032</v>
      </c>
      <c r="C95" t="s">
        <v>26</v>
      </c>
      <c r="D95" t="s">
        <v>27</v>
      </c>
      <c r="E95" t="s">
        <v>28</v>
      </c>
      <c r="F95" t="s">
        <v>124</v>
      </c>
      <c r="G95" s="1" t="str">
        <f>HYPERLINK("https://new.land.naver.com/complexes/3032", "클릭")</f>
        <v>클릭</v>
      </c>
      <c r="H95">
        <v>1999</v>
      </c>
      <c r="I95">
        <v>12</v>
      </c>
      <c r="J95">
        <v>212</v>
      </c>
      <c r="K95">
        <v>84</v>
      </c>
      <c r="L95" t="s">
        <v>135</v>
      </c>
      <c r="M95" t="s">
        <v>137</v>
      </c>
      <c r="N95" t="s">
        <v>143</v>
      </c>
      <c r="O95">
        <v>43000</v>
      </c>
      <c r="P95" t="s">
        <v>143</v>
      </c>
      <c r="Q95">
        <v>31000</v>
      </c>
      <c r="R95">
        <v>12000</v>
      </c>
      <c r="S95" s="2">
        <v>0.72093023255813948</v>
      </c>
      <c r="T95">
        <v>56000</v>
      </c>
      <c r="U95" s="2">
        <v>-0.23214285714285721</v>
      </c>
      <c r="V95">
        <v>29500</v>
      </c>
      <c r="W95" s="2">
        <v>1.4576271186440679</v>
      </c>
      <c r="X95">
        <v>74</v>
      </c>
      <c r="Y95">
        <v>94</v>
      </c>
      <c r="Z95">
        <v>-20</v>
      </c>
      <c r="AA95" t="s">
        <v>198</v>
      </c>
    </row>
    <row r="96" spans="1:27" x14ac:dyDescent="0.3">
      <c r="A96" s="3">
        <v>94</v>
      </c>
      <c r="B96">
        <v>17511</v>
      </c>
      <c r="C96" t="s">
        <v>26</v>
      </c>
      <c r="D96" t="s">
        <v>27</v>
      </c>
      <c r="E96" t="s">
        <v>28</v>
      </c>
      <c r="F96" t="s">
        <v>125</v>
      </c>
      <c r="G96" s="1" t="str">
        <f>HYPERLINK("https://new.land.naver.com/complexes/17511", "클릭")</f>
        <v>클릭</v>
      </c>
      <c r="H96">
        <v>2006</v>
      </c>
      <c r="I96">
        <v>8</v>
      </c>
      <c r="J96">
        <v>70</v>
      </c>
      <c r="K96">
        <v>84</v>
      </c>
      <c r="L96" t="s">
        <v>135</v>
      </c>
      <c r="M96" t="s">
        <v>137</v>
      </c>
      <c r="N96" t="s">
        <v>183</v>
      </c>
      <c r="O96">
        <v>43000</v>
      </c>
      <c r="P96" t="s">
        <v>183</v>
      </c>
      <c r="Q96">
        <v>30000</v>
      </c>
      <c r="R96">
        <v>13000</v>
      </c>
      <c r="S96" s="2">
        <v>0.69767441860465118</v>
      </c>
      <c r="T96">
        <v>38600</v>
      </c>
      <c r="U96" s="2">
        <v>0.1139896373056995</v>
      </c>
      <c r="V96">
        <v>22400</v>
      </c>
      <c r="W96" s="2">
        <v>1.919642857142857</v>
      </c>
      <c r="X96">
        <v>96</v>
      </c>
      <c r="Y96">
        <v>94</v>
      </c>
      <c r="Z96">
        <v>2</v>
      </c>
      <c r="AA96" t="s">
        <v>198</v>
      </c>
    </row>
    <row r="97" spans="1:27" x14ac:dyDescent="0.3">
      <c r="A97" s="3">
        <v>95</v>
      </c>
      <c r="B97">
        <v>8038</v>
      </c>
      <c r="C97" t="s">
        <v>26</v>
      </c>
      <c r="D97" t="s">
        <v>27</v>
      </c>
      <c r="E97" t="s">
        <v>28</v>
      </c>
      <c r="F97" t="s">
        <v>126</v>
      </c>
      <c r="G97" s="1" t="str">
        <f>HYPERLINK("https://new.land.naver.com/complexes/8038", "클릭")</f>
        <v>클릭</v>
      </c>
      <c r="H97">
        <v>2000</v>
      </c>
      <c r="I97">
        <v>10</v>
      </c>
      <c r="J97">
        <v>168</v>
      </c>
      <c r="K97">
        <v>84</v>
      </c>
      <c r="L97" t="s">
        <v>135</v>
      </c>
      <c r="M97" t="s">
        <v>137</v>
      </c>
      <c r="N97" t="s">
        <v>183</v>
      </c>
      <c r="O97">
        <v>43000</v>
      </c>
      <c r="P97" t="s">
        <v>183</v>
      </c>
      <c r="Q97">
        <v>35000</v>
      </c>
      <c r="R97">
        <v>8000</v>
      </c>
      <c r="S97" s="2">
        <v>0.81395348837209303</v>
      </c>
      <c r="T97">
        <v>54500</v>
      </c>
      <c r="U97" s="2">
        <v>-0.21100917431192659</v>
      </c>
      <c r="V97">
        <v>28500</v>
      </c>
      <c r="W97" s="2">
        <v>1.508771929824561</v>
      </c>
      <c r="X97">
        <v>81</v>
      </c>
      <c r="Y97">
        <v>94</v>
      </c>
      <c r="Z97">
        <v>-13</v>
      </c>
      <c r="AA97" t="s">
        <v>198</v>
      </c>
    </row>
    <row r="98" spans="1:27" x14ac:dyDescent="0.3">
      <c r="A98" s="3">
        <v>96</v>
      </c>
      <c r="B98">
        <v>2047</v>
      </c>
      <c r="C98" t="s">
        <v>26</v>
      </c>
      <c r="D98" t="s">
        <v>27</v>
      </c>
      <c r="E98" t="s">
        <v>28</v>
      </c>
      <c r="F98" t="s">
        <v>127</v>
      </c>
      <c r="G98" s="1" t="str">
        <f>HYPERLINK("https://new.land.naver.com/complexes/2047", "클릭")</f>
        <v>클릭</v>
      </c>
      <c r="H98">
        <v>1994</v>
      </c>
      <c r="I98">
        <v>11</v>
      </c>
      <c r="J98">
        <v>148</v>
      </c>
      <c r="K98">
        <v>84</v>
      </c>
      <c r="L98" t="s">
        <v>136</v>
      </c>
      <c r="M98" t="s">
        <v>137</v>
      </c>
      <c r="N98" t="s">
        <v>187</v>
      </c>
      <c r="O98">
        <v>42000</v>
      </c>
      <c r="P98" t="s">
        <v>187</v>
      </c>
      <c r="Q98">
        <v>28000</v>
      </c>
      <c r="R98">
        <v>14000</v>
      </c>
      <c r="S98" s="2">
        <v>0.66666666666666663</v>
      </c>
      <c r="T98">
        <v>39000</v>
      </c>
      <c r="U98" s="2">
        <v>7.6923076923076927E-2</v>
      </c>
      <c r="V98">
        <v>25100</v>
      </c>
      <c r="W98" s="2">
        <v>1.673306772908367</v>
      </c>
      <c r="X98">
        <v>95</v>
      </c>
      <c r="Y98">
        <v>97</v>
      </c>
      <c r="Z98">
        <v>-2</v>
      </c>
      <c r="AA98" t="s">
        <v>198</v>
      </c>
    </row>
    <row r="99" spans="1:27" x14ac:dyDescent="0.3">
      <c r="A99" s="3">
        <v>97</v>
      </c>
      <c r="B99">
        <v>13255</v>
      </c>
      <c r="C99" t="s">
        <v>26</v>
      </c>
      <c r="D99" t="s">
        <v>27</v>
      </c>
      <c r="E99" t="s">
        <v>28</v>
      </c>
      <c r="F99" t="s">
        <v>128</v>
      </c>
      <c r="G99" s="1" t="str">
        <f>HYPERLINK("https://new.land.naver.com/complexes/13255", "클릭")</f>
        <v>클릭</v>
      </c>
      <c r="H99">
        <v>2003</v>
      </c>
      <c r="I99">
        <v>8</v>
      </c>
      <c r="J99">
        <v>46</v>
      </c>
      <c r="K99">
        <v>84</v>
      </c>
      <c r="N99" t="s">
        <v>181</v>
      </c>
      <c r="O99">
        <v>40000</v>
      </c>
      <c r="P99" t="s">
        <v>181</v>
      </c>
      <c r="Q99">
        <v>30000</v>
      </c>
      <c r="R99">
        <v>10000</v>
      </c>
      <c r="S99" s="2">
        <v>0.75</v>
      </c>
      <c r="T99">
        <v>30000</v>
      </c>
      <c r="U99" s="2">
        <v>0.33333333333333331</v>
      </c>
      <c r="X99">
        <v>97</v>
      </c>
      <c r="Y99">
        <v>98</v>
      </c>
      <c r="Z99">
        <v>-1</v>
      </c>
      <c r="AA99" t="s">
        <v>206</v>
      </c>
    </row>
    <row r="100" spans="1:27" x14ac:dyDescent="0.3">
      <c r="A100" s="3">
        <v>98</v>
      </c>
      <c r="B100">
        <v>110236</v>
      </c>
      <c r="C100" t="s">
        <v>26</v>
      </c>
      <c r="D100" t="s">
        <v>27</v>
      </c>
      <c r="E100" t="s">
        <v>28</v>
      </c>
      <c r="F100" t="s">
        <v>129</v>
      </c>
      <c r="G100" s="1" t="str">
        <f>HYPERLINK("https://new.land.naver.com/complexes/110236", "클릭")</f>
        <v>클릭</v>
      </c>
      <c r="H100">
        <v>2000</v>
      </c>
      <c r="I100">
        <v>5</v>
      </c>
      <c r="J100">
        <v>19</v>
      </c>
      <c r="K100">
        <v>84</v>
      </c>
      <c r="L100" t="s">
        <v>135</v>
      </c>
      <c r="M100" t="s">
        <v>137</v>
      </c>
      <c r="N100" t="s">
        <v>160</v>
      </c>
      <c r="O100">
        <v>39000</v>
      </c>
      <c r="P100" t="s">
        <v>160</v>
      </c>
      <c r="Q100">
        <v>32000</v>
      </c>
      <c r="R100">
        <v>7000</v>
      </c>
      <c r="S100" s="2">
        <v>0.82051282051282048</v>
      </c>
      <c r="T100">
        <v>40500</v>
      </c>
      <c r="U100" s="2">
        <v>-3.7037037037037028E-2</v>
      </c>
      <c r="V100">
        <v>22600</v>
      </c>
      <c r="W100" s="2">
        <v>1.7256637168141591</v>
      </c>
      <c r="X100">
        <v>93</v>
      </c>
      <c r="Y100">
        <v>99</v>
      </c>
      <c r="Z100">
        <v>-6</v>
      </c>
      <c r="AA100" t="s">
        <v>198</v>
      </c>
    </row>
    <row r="101" spans="1:27" x14ac:dyDescent="0.3">
      <c r="A101" s="3">
        <v>99</v>
      </c>
      <c r="B101">
        <v>111203</v>
      </c>
      <c r="C101" t="s">
        <v>26</v>
      </c>
      <c r="D101" t="s">
        <v>27</v>
      </c>
      <c r="E101" t="s">
        <v>28</v>
      </c>
      <c r="F101" t="s">
        <v>130</v>
      </c>
      <c r="G101" s="1" t="str">
        <f>HYPERLINK("https://new.land.naver.com/complexes/111203", "클릭")</f>
        <v>클릭</v>
      </c>
      <c r="H101">
        <v>2015</v>
      </c>
      <c r="I101">
        <v>8</v>
      </c>
      <c r="J101">
        <v>23</v>
      </c>
      <c r="K101">
        <v>84</v>
      </c>
      <c r="L101" t="s">
        <v>135</v>
      </c>
      <c r="M101" t="s">
        <v>137</v>
      </c>
      <c r="N101" t="s">
        <v>188</v>
      </c>
      <c r="O101">
        <v>37000</v>
      </c>
      <c r="P101" t="s">
        <v>188</v>
      </c>
      <c r="Q101">
        <v>25000</v>
      </c>
      <c r="R101">
        <v>12000</v>
      </c>
      <c r="S101" s="2">
        <v>0.67567567567567566</v>
      </c>
      <c r="Y101">
        <v>100</v>
      </c>
      <c r="AA101" t="s">
        <v>198</v>
      </c>
    </row>
    <row r="102" spans="1:27" x14ac:dyDescent="0.3">
      <c r="A102" s="3">
        <v>100</v>
      </c>
      <c r="B102">
        <v>101236</v>
      </c>
      <c r="C102" t="s">
        <v>26</v>
      </c>
      <c r="D102" t="s">
        <v>27</v>
      </c>
      <c r="E102" t="s">
        <v>28</v>
      </c>
      <c r="F102" t="s">
        <v>131</v>
      </c>
      <c r="G102" s="1" t="str">
        <f>HYPERLINK("https://new.land.naver.com/complexes/101236", "클릭")</f>
        <v>클릭</v>
      </c>
      <c r="H102">
        <v>2004</v>
      </c>
      <c r="I102">
        <v>8</v>
      </c>
      <c r="J102">
        <v>15</v>
      </c>
      <c r="K102">
        <v>84</v>
      </c>
      <c r="L102" t="s">
        <v>135</v>
      </c>
      <c r="M102" t="s">
        <v>137</v>
      </c>
      <c r="N102" t="s">
        <v>189</v>
      </c>
      <c r="O102">
        <v>37000</v>
      </c>
      <c r="P102" t="s">
        <v>189</v>
      </c>
      <c r="Q102">
        <v>32000</v>
      </c>
      <c r="R102">
        <v>5000</v>
      </c>
      <c r="S102" s="2">
        <v>0.86486486486486491</v>
      </c>
      <c r="T102">
        <v>29500</v>
      </c>
      <c r="U102" s="2">
        <v>0.25423728813559321</v>
      </c>
      <c r="V102">
        <v>20900</v>
      </c>
      <c r="W102" s="2">
        <v>1.770334928229665</v>
      </c>
      <c r="X102">
        <v>98</v>
      </c>
      <c r="Y102">
        <v>100</v>
      </c>
      <c r="Z102">
        <v>-2</v>
      </c>
      <c r="AA102" t="s">
        <v>207</v>
      </c>
    </row>
    <row r="103" spans="1:27" x14ac:dyDescent="0.3">
      <c r="A103" s="3">
        <v>101</v>
      </c>
      <c r="B103">
        <v>1989</v>
      </c>
      <c r="C103" t="s">
        <v>26</v>
      </c>
      <c r="D103" t="s">
        <v>27</v>
      </c>
      <c r="E103" t="s">
        <v>31</v>
      </c>
      <c r="F103" t="s">
        <v>132</v>
      </c>
      <c r="G103" s="1" t="str">
        <f>HYPERLINK("https://new.land.naver.com/complexes/1989", "클릭")</f>
        <v>클릭</v>
      </c>
      <c r="H103">
        <v>1979</v>
      </c>
      <c r="I103">
        <v>9</v>
      </c>
      <c r="J103">
        <v>576</v>
      </c>
      <c r="K103">
        <v>83</v>
      </c>
      <c r="N103" t="s">
        <v>190</v>
      </c>
      <c r="O103">
        <v>35000</v>
      </c>
      <c r="P103" t="s">
        <v>192</v>
      </c>
      <c r="Q103">
        <v>12000</v>
      </c>
      <c r="R103">
        <v>23000</v>
      </c>
      <c r="S103" s="2">
        <v>0.34285714285714292</v>
      </c>
      <c r="T103">
        <v>62000</v>
      </c>
      <c r="U103" s="2">
        <v>-0.43548387096774188</v>
      </c>
      <c r="X103">
        <v>64</v>
      </c>
      <c r="Y103">
        <v>102</v>
      </c>
      <c r="Z103">
        <v>-38</v>
      </c>
      <c r="AA103" t="s">
        <v>208</v>
      </c>
    </row>
    <row r="104" spans="1:27" x14ac:dyDescent="0.3">
      <c r="A104" s="3">
        <v>102</v>
      </c>
      <c r="B104">
        <v>23137</v>
      </c>
      <c r="C104" t="s">
        <v>26</v>
      </c>
      <c r="D104" t="s">
        <v>27</v>
      </c>
      <c r="E104" t="s">
        <v>29</v>
      </c>
      <c r="F104" t="s">
        <v>133</v>
      </c>
      <c r="G104" s="1" t="str">
        <f>HYPERLINK("https://new.land.naver.com/complexes/23137", "클릭")</f>
        <v>클릭</v>
      </c>
      <c r="H104">
        <v>2002</v>
      </c>
      <c r="I104">
        <v>5</v>
      </c>
      <c r="J104">
        <v>19</v>
      </c>
      <c r="K104">
        <v>84</v>
      </c>
      <c r="L104" t="s">
        <v>135</v>
      </c>
      <c r="M104" t="s">
        <v>137</v>
      </c>
      <c r="P104" t="s">
        <v>162</v>
      </c>
      <c r="Q104">
        <v>35000</v>
      </c>
      <c r="T104">
        <v>40000</v>
      </c>
      <c r="X104">
        <v>94</v>
      </c>
    </row>
    <row r="105" spans="1:27" x14ac:dyDescent="0.3">
      <c r="A105" s="3">
        <v>103</v>
      </c>
      <c r="B105">
        <v>23131</v>
      </c>
      <c r="C105" t="s">
        <v>26</v>
      </c>
      <c r="D105" t="s">
        <v>27</v>
      </c>
      <c r="E105" t="s">
        <v>29</v>
      </c>
      <c r="F105" t="s">
        <v>134</v>
      </c>
      <c r="G105" s="1" t="str">
        <f>HYPERLINK("https://new.land.naver.com/complexes/23131", "클릭")</f>
        <v>클릭</v>
      </c>
      <c r="H105">
        <v>1998</v>
      </c>
      <c r="I105">
        <v>8</v>
      </c>
      <c r="J105">
        <v>18</v>
      </c>
      <c r="K105">
        <v>84</v>
      </c>
      <c r="P105" t="s">
        <v>163</v>
      </c>
      <c r="Q105">
        <v>27000</v>
      </c>
      <c r="T105">
        <v>56000</v>
      </c>
      <c r="X105">
        <v>74</v>
      </c>
    </row>
  </sheetData>
  <phoneticPr fontId="4" type="noConversion"/>
  <conditionalFormatting sqref="H2:H10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05">
    <cfRule type="containsBlanks" dxfId="26" priority="4">
      <formula>LEN(TRIM(R2))=0</formula>
    </cfRule>
    <cfRule type="cellIs" dxfId="25" priority="5" operator="lessThanOrEqual">
      <formula>10000</formula>
    </cfRule>
  </conditionalFormatting>
  <conditionalFormatting sqref="S2:S105">
    <cfRule type="cellIs" dxfId="24" priority="1" operator="greaterThanOrEqual">
      <formula>0.7</formula>
    </cfRule>
  </conditionalFormatting>
  <conditionalFormatting sqref="U2:U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1"/>
  <sheetViews>
    <sheetView workbookViewId="0"/>
  </sheetViews>
  <sheetFormatPr defaultRowHeight="16.5" x14ac:dyDescent="0.3"/>
  <cols>
    <col min="1" max="5" width="50.75" style="4" customWidth="1"/>
  </cols>
  <sheetData>
    <row r="1" spans="1:5" x14ac:dyDescent="0.3">
      <c r="B1" s="3" t="s">
        <v>646</v>
      </c>
      <c r="C1" s="3" t="s">
        <v>647</v>
      </c>
      <c r="D1" s="3" t="s">
        <v>648</v>
      </c>
      <c r="E1" s="3" t="s">
        <v>649</v>
      </c>
    </row>
    <row r="2" spans="1:5" x14ac:dyDescent="0.3">
      <c r="A2" s="3">
        <v>600000</v>
      </c>
    </row>
    <row r="3" spans="1:5" x14ac:dyDescent="0.3">
      <c r="A3" s="3">
        <v>590000</v>
      </c>
    </row>
    <row r="4" spans="1:5" x14ac:dyDescent="0.3">
      <c r="A4" s="3">
        <v>580000</v>
      </c>
    </row>
    <row r="5" spans="1:5" x14ac:dyDescent="0.3">
      <c r="A5" s="3">
        <v>570000</v>
      </c>
    </row>
    <row r="6" spans="1:5" x14ac:dyDescent="0.3">
      <c r="A6" s="3">
        <v>560000</v>
      </c>
    </row>
    <row r="7" spans="1:5" x14ac:dyDescent="0.3">
      <c r="A7" s="3">
        <v>550000</v>
      </c>
    </row>
    <row r="8" spans="1:5" x14ac:dyDescent="0.3">
      <c r="A8" s="3">
        <v>540000</v>
      </c>
    </row>
    <row r="9" spans="1:5" x14ac:dyDescent="0.3">
      <c r="A9" s="3">
        <v>530000</v>
      </c>
    </row>
    <row r="10" spans="1:5" x14ac:dyDescent="0.3">
      <c r="A10" s="3">
        <v>520000</v>
      </c>
    </row>
    <row r="11" spans="1:5" x14ac:dyDescent="0.3">
      <c r="A11" s="3">
        <v>510000</v>
      </c>
    </row>
    <row r="12" spans="1:5" x14ac:dyDescent="0.3">
      <c r="A12" s="3">
        <v>500000</v>
      </c>
    </row>
    <row r="13" spans="1:5" x14ac:dyDescent="0.3">
      <c r="A13" s="3">
        <v>490000</v>
      </c>
    </row>
    <row r="14" spans="1:5" x14ac:dyDescent="0.3">
      <c r="A14" s="3">
        <v>480000</v>
      </c>
    </row>
    <row r="15" spans="1:5" x14ac:dyDescent="0.3">
      <c r="A15" s="3">
        <v>470000</v>
      </c>
    </row>
    <row r="16" spans="1:5" x14ac:dyDescent="0.3">
      <c r="A16" s="3">
        <v>460000</v>
      </c>
    </row>
    <row r="17" spans="1:1" x14ac:dyDescent="0.3">
      <c r="A17" s="3">
        <v>450000</v>
      </c>
    </row>
    <row r="18" spans="1:1" x14ac:dyDescent="0.3">
      <c r="A18" s="3">
        <v>440000</v>
      </c>
    </row>
    <row r="19" spans="1:1" x14ac:dyDescent="0.3">
      <c r="A19" s="3">
        <v>430000</v>
      </c>
    </row>
    <row r="20" spans="1:1" x14ac:dyDescent="0.3">
      <c r="A20" s="3">
        <v>420000</v>
      </c>
    </row>
    <row r="21" spans="1:1" x14ac:dyDescent="0.3">
      <c r="A21" s="3">
        <v>410000</v>
      </c>
    </row>
    <row r="22" spans="1:1" x14ac:dyDescent="0.3">
      <c r="A22" s="3">
        <v>400000</v>
      </c>
    </row>
    <row r="23" spans="1:1" x14ac:dyDescent="0.3">
      <c r="A23" s="3">
        <v>390000</v>
      </c>
    </row>
    <row r="24" spans="1:1" x14ac:dyDescent="0.3">
      <c r="A24" s="3">
        <v>380000</v>
      </c>
    </row>
    <row r="25" spans="1:1" x14ac:dyDescent="0.3">
      <c r="A25" s="3">
        <v>370000</v>
      </c>
    </row>
    <row r="26" spans="1:1" x14ac:dyDescent="0.3">
      <c r="A26" s="3">
        <v>360000</v>
      </c>
    </row>
    <row r="27" spans="1:1" x14ac:dyDescent="0.3">
      <c r="A27" s="3">
        <v>350000</v>
      </c>
    </row>
    <row r="28" spans="1:1" x14ac:dyDescent="0.3">
      <c r="A28" s="3">
        <v>340000</v>
      </c>
    </row>
    <row r="29" spans="1:1" x14ac:dyDescent="0.3">
      <c r="A29" s="3">
        <v>330000</v>
      </c>
    </row>
    <row r="30" spans="1:1" x14ac:dyDescent="0.3">
      <c r="A30" s="3">
        <v>320000</v>
      </c>
    </row>
    <row r="31" spans="1:1" x14ac:dyDescent="0.3">
      <c r="A31" s="3">
        <v>310000</v>
      </c>
    </row>
    <row r="32" spans="1:1" x14ac:dyDescent="0.3">
      <c r="A32" s="3">
        <v>300000</v>
      </c>
    </row>
    <row r="33" spans="1:1" x14ac:dyDescent="0.3">
      <c r="A33" s="3">
        <v>290000</v>
      </c>
    </row>
    <row r="34" spans="1:1" x14ac:dyDescent="0.3">
      <c r="A34" s="3">
        <v>280000</v>
      </c>
    </row>
    <row r="35" spans="1:1" x14ac:dyDescent="0.3">
      <c r="A35" s="3">
        <v>270000</v>
      </c>
    </row>
    <row r="36" spans="1:1" x14ac:dyDescent="0.3">
      <c r="A36" s="3">
        <v>260000</v>
      </c>
    </row>
    <row r="37" spans="1:1" x14ac:dyDescent="0.3">
      <c r="A37" s="3">
        <v>250000</v>
      </c>
    </row>
    <row r="38" spans="1:1" x14ac:dyDescent="0.3">
      <c r="A38" s="3">
        <v>240000</v>
      </c>
    </row>
    <row r="39" spans="1:1" x14ac:dyDescent="0.3">
      <c r="A39" s="3">
        <v>230000</v>
      </c>
    </row>
    <row r="40" spans="1:1" x14ac:dyDescent="0.3">
      <c r="A40" s="3">
        <v>220000</v>
      </c>
    </row>
    <row r="41" spans="1:1" x14ac:dyDescent="0.3">
      <c r="A41" s="3">
        <v>210000</v>
      </c>
    </row>
    <row r="42" spans="1:1" x14ac:dyDescent="0.3">
      <c r="A42" s="3">
        <v>200000</v>
      </c>
    </row>
    <row r="43" spans="1:1" x14ac:dyDescent="0.3">
      <c r="A43" s="3">
        <v>190000</v>
      </c>
    </row>
    <row r="44" spans="1:1" x14ac:dyDescent="0.3">
      <c r="A44" s="3">
        <v>180000</v>
      </c>
    </row>
    <row r="45" spans="1:1" x14ac:dyDescent="0.3">
      <c r="A45" s="3">
        <v>170000</v>
      </c>
    </row>
    <row r="46" spans="1:1" x14ac:dyDescent="0.3">
      <c r="A46" s="3">
        <v>160000</v>
      </c>
    </row>
    <row r="47" spans="1:1" x14ac:dyDescent="0.3">
      <c r="A47" s="3">
        <v>150000</v>
      </c>
    </row>
    <row r="48" spans="1:1" x14ac:dyDescent="0.3">
      <c r="A48" s="3">
        <v>140000</v>
      </c>
    </row>
    <row r="49" spans="1:5" x14ac:dyDescent="0.3">
      <c r="A49" s="3">
        <v>130000</v>
      </c>
    </row>
    <row r="50" spans="1:5" ht="49.5" x14ac:dyDescent="0.3">
      <c r="A50" s="3">
        <v>120000</v>
      </c>
      <c r="B50" s="4" t="s">
        <v>650</v>
      </c>
      <c r="E50" s="4" t="s">
        <v>674</v>
      </c>
    </row>
    <row r="51" spans="1:5" ht="66" x14ac:dyDescent="0.3">
      <c r="A51" s="3">
        <v>110000</v>
      </c>
      <c r="B51" s="4" t="s">
        <v>651</v>
      </c>
      <c r="C51" s="4" t="s">
        <v>658</v>
      </c>
      <c r="D51" s="4" t="s">
        <v>666</v>
      </c>
    </row>
    <row r="52" spans="1:5" ht="49.5" x14ac:dyDescent="0.3">
      <c r="A52" s="3">
        <v>100000</v>
      </c>
      <c r="D52" s="4" t="s">
        <v>667</v>
      </c>
      <c r="E52" s="4" t="s">
        <v>675</v>
      </c>
    </row>
    <row r="53" spans="1:5" ht="82.5" x14ac:dyDescent="0.3">
      <c r="A53" s="3">
        <v>90000</v>
      </c>
      <c r="B53" s="4" t="s">
        <v>652</v>
      </c>
      <c r="C53" s="4" t="s">
        <v>659</v>
      </c>
      <c r="D53" s="4" t="s">
        <v>668</v>
      </c>
      <c r="E53" s="4" t="s">
        <v>676</v>
      </c>
    </row>
    <row r="54" spans="1:5" ht="82.5" x14ac:dyDescent="0.3">
      <c r="A54" s="3">
        <v>80000</v>
      </c>
      <c r="C54" s="4" t="s">
        <v>660</v>
      </c>
      <c r="D54" s="4" t="s">
        <v>669</v>
      </c>
      <c r="E54" s="4" t="s">
        <v>677</v>
      </c>
    </row>
    <row r="55" spans="1:5" ht="115.5" x14ac:dyDescent="0.3">
      <c r="A55" s="3">
        <v>70000</v>
      </c>
      <c r="B55" s="4" t="s">
        <v>653</v>
      </c>
      <c r="C55" s="4" t="s">
        <v>661</v>
      </c>
      <c r="D55" s="4" t="s">
        <v>670</v>
      </c>
      <c r="E55" s="4" t="s">
        <v>678</v>
      </c>
    </row>
    <row r="56" spans="1:5" ht="115.5" x14ac:dyDescent="0.3">
      <c r="A56" s="3">
        <v>60000</v>
      </c>
      <c r="B56" s="4" t="s">
        <v>654</v>
      </c>
      <c r="C56" s="4" t="s">
        <v>662</v>
      </c>
      <c r="D56" s="4" t="s">
        <v>671</v>
      </c>
      <c r="E56" s="4" t="s">
        <v>679</v>
      </c>
    </row>
    <row r="57" spans="1:5" ht="231" x14ac:dyDescent="0.3">
      <c r="A57" s="3">
        <v>50000</v>
      </c>
      <c r="B57" s="4" t="s">
        <v>655</v>
      </c>
      <c r="C57" s="4" t="s">
        <v>663</v>
      </c>
      <c r="D57" s="4" t="s">
        <v>672</v>
      </c>
      <c r="E57" s="4" t="s">
        <v>680</v>
      </c>
    </row>
    <row r="58" spans="1:5" ht="264" x14ac:dyDescent="0.3">
      <c r="A58" s="3">
        <v>40000</v>
      </c>
      <c r="B58" s="4" t="s">
        <v>656</v>
      </c>
      <c r="C58" s="4" t="s">
        <v>664</v>
      </c>
      <c r="D58" s="4" t="s">
        <v>673</v>
      </c>
    </row>
    <row r="59" spans="1:5" ht="66" x14ac:dyDescent="0.3">
      <c r="A59" s="3">
        <v>30000</v>
      </c>
      <c r="B59" s="4" t="s">
        <v>657</v>
      </c>
      <c r="C59" s="4" t="s">
        <v>665</v>
      </c>
    </row>
    <row r="60" spans="1:5" x14ac:dyDescent="0.3">
      <c r="A60" s="3">
        <v>20000</v>
      </c>
    </row>
    <row r="61" spans="1:5" x14ac:dyDescent="0.3">
      <c r="A61" s="3">
        <v>10000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1"/>
  <sheetViews>
    <sheetView workbookViewId="0"/>
  </sheetViews>
  <sheetFormatPr defaultRowHeight="16.5" x14ac:dyDescent="0.3"/>
  <cols>
    <col min="1" max="5" width="50.75" style="4" customWidth="1"/>
  </cols>
  <sheetData>
    <row r="1" spans="1:5" x14ac:dyDescent="0.3">
      <c r="B1" s="3" t="s">
        <v>646</v>
      </c>
      <c r="C1" s="3" t="s">
        <v>647</v>
      </c>
      <c r="D1" s="3" t="s">
        <v>648</v>
      </c>
      <c r="E1" s="3" t="s">
        <v>649</v>
      </c>
    </row>
    <row r="2" spans="1:5" x14ac:dyDescent="0.3">
      <c r="A2" s="3">
        <v>600000</v>
      </c>
    </row>
    <row r="3" spans="1:5" x14ac:dyDescent="0.3">
      <c r="A3" s="3">
        <v>590000</v>
      </c>
    </row>
    <row r="4" spans="1:5" x14ac:dyDescent="0.3">
      <c r="A4" s="3">
        <v>580000</v>
      </c>
    </row>
    <row r="5" spans="1:5" x14ac:dyDescent="0.3">
      <c r="A5" s="3">
        <v>570000</v>
      </c>
    </row>
    <row r="6" spans="1:5" x14ac:dyDescent="0.3">
      <c r="A6" s="3">
        <v>560000</v>
      </c>
    </row>
    <row r="7" spans="1:5" x14ac:dyDescent="0.3">
      <c r="A7" s="3">
        <v>550000</v>
      </c>
    </row>
    <row r="8" spans="1:5" x14ac:dyDescent="0.3">
      <c r="A8" s="3">
        <v>540000</v>
      </c>
    </row>
    <row r="9" spans="1:5" x14ac:dyDescent="0.3">
      <c r="A9" s="3">
        <v>530000</v>
      </c>
    </row>
    <row r="10" spans="1:5" x14ac:dyDescent="0.3">
      <c r="A10" s="3">
        <v>520000</v>
      </c>
    </row>
    <row r="11" spans="1:5" x14ac:dyDescent="0.3">
      <c r="A11" s="3">
        <v>510000</v>
      </c>
    </row>
    <row r="12" spans="1:5" x14ac:dyDescent="0.3">
      <c r="A12" s="3">
        <v>500000</v>
      </c>
    </row>
    <row r="13" spans="1:5" x14ac:dyDescent="0.3">
      <c r="A13" s="3">
        <v>490000</v>
      </c>
    </row>
    <row r="14" spans="1:5" x14ac:dyDescent="0.3">
      <c r="A14" s="3">
        <v>480000</v>
      </c>
    </row>
    <row r="15" spans="1:5" x14ac:dyDescent="0.3">
      <c r="A15" s="3">
        <v>470000</v>
      </c>
    </row>
    <row r="16" spans="1:5" x14ac:dyDescent="0.3">
      <c r="A16" s="3">
        <v>460000</v>
      </c>
    </row>
    <row r="17" spans="1:1" x14ac:dyDescent="0.3">
      <c r="A17" s="3">
        <v>450000</v>
      </c>
    </row>
    <row r="18" spans="1:1" x14ac:dyDescent="0.3">
      <c r="A18" s="3">
        <v>440000</v>
      </c>
    </row>
    <row r="19" spans="1:1" x14ac:dyDescent="0.3">
      <c r="A19" s="3">
        <v>430000</v>
      </c>
    </row>
    <row r="20" spans="1:1" x14ac:dyDescent="0.3">
      <c r="A20" s="3">
        <v>420000</v>
      </c>
    </row>
    <row r="21" spans="1:1" x14ac:dyDescent="0.3">
      <c r="A21" s="3">
        <v>410000</v>
      </c>
    </row>
    <row r="22" spans="1:1" x14ac:dyDescent="0.3">
      <c r="A22" s="3">
        <v>400000</v>
      </c>
    </row>
    <row r="23" spans="1:1" x14ac:dyDescent="0.3">
      <c r="A23" s="3">
        <v>390000</v>
      </c>
    </row>
    <row r="24" spans="1:1" x14ac:dyDescent="0.3">
      <c r="A24" s="3">
        <v>380000</v>
      </c>
    </row>
    <row r="25" spans="1:1" x14ac:dyDescent="0.3">
      <c r="A25" s="3">
        <v>370000</v>
      </c>
    </row>
    <row r="26" spans="1:1" x14ac:dyDescent="0.3">
      <c r="A26" s="3">
        <v>360000</v>
      </c>
    </row>
    <row r="27" spans="1:1" x14ac:dyDescent="0.3">
      <c r="A27" s="3">
        <v>350000</v>
      </c>
    </row>
    <row r="28" spans="1:1" x14ac:dyDescent="0.3">
      <c r="A28" s="3">
        <v>340000</v>
      </c>
    </row>
    <row r="29" spans="1:1" x14ac:dyDescent="0.3">
      <c r="A29" s="3">
        <v>330000</v>
      </c>
    </row>
    <row r="30" spans="1:1" x14ac:dyDescent="0.3">
      <c r="A30" s="3">
        <v>320000</v>
      </c>
    </row>
    <row r="31" spans="1:1" x14ac:dyDescent="0.3">
      <c r="A31" s="3">
        <v>310000</v>
      </c>
    </row>
    <row r="32" spans="1:1" x14ac:dyDescent="0.3">
      <c r="A32" s="3">
        <v>300000</v>
      </c>
    </row>
    <row r="33" spans="1:2" x14ac:dyDescent="0.3">
      <c r="A33" s="3">
        <v>290000</v>
      </c>
    </row>
    <row r="34" spans="1:2" x14ac:dyDescent="0.3">
      <c r="A34" s="3">
        <v>280000</v>
      </c>
    </row>
    <row r="35" spans="1:2" x14ac:dyDescent="0.3">
      <c r="A35" s="3">
        <v>270000</v>
      </c>
    </row>
    <row r="36" spans="1:2" x14ac:dyDescent="0.3">
      <c r="A36" s="3">
        <v>260000</v>
      </c>
    </row>
    <row r="37" spans="1:2" x14ac:dyDescent="0.3">
      <c r="A37" s="3">
        <v>250000</v>
      </c>
    </row>
    <row r="38" spans="1:2" x14ac:dyDescent="0.3">
      <c r="A38" s="3">
        <v>240000</v>
      </c>
    </row>
    <row r="39" spans="1:2" x14ac:dyDescent="0.3">
      <c r="A39" s="3">
        <v>230000</v>
      </c>
    </row>
    <row r="40" spans="1:2" x14ac:dyDescent="0.3">
      <c r="A40" s="3">
        <v>220000</v>
      </c>
    </row>
    <row r="41" spans="1:2" x14ac:dyDescent="0.3">
      <c r="A41" s="3">
        <v>210000</v>
      </c>
    </row>
    <row r="42" spans="1:2" x14ac:dyDescent="0.3">
      <c r="A42" s="3">
        <v>200000</v>
      </c>
    </row>
    <row r="43" spans="1:2" x14ac:dyDescent="0.3">
      <c r="A43" s="3">
        <v>190000</v>
      </c>
    </row>
    <row r="44" spans="1:2" x14ac:dyDescent="0.3">
      <c r="A44" s="3">
        <v>180000</v>
      </c>
    </row>
    <row r="45" spans="1:2" x14ac:dyDescent="0.3">
      <c r="A45" s="3">
        <v>170000</v>
      </c>
    </row>
    <row r="46" spans="1:2" x14ac:dyDescent="0.3">
      <c r="A46" s="3">
        <v>160000</v>
      </c>
    </row>
    <row r="47" spans="1:2" x14ac:dyDescent="0.3">
      <c r="A47" s="3">
        <v>150000</v>
      </c>
    </row>
    <row r="48" spans="1:2" ht="33" x14ac:dyDescent="0.3">
      <c r="A48" s="3">
        <v>140000</v>
      </c>
      <c r="B48" s="4" t="s">
        <v>681</v>
      </c>
    </row>
    <row r="49" spans="1:5" x14ac:dyDescent="0.3">
      <c r="A49" s="3">
        <v>130000</v>
      </c>
    </row>
    <row r="50" spans="1:5" x14ac:dyDescent="0.3">
      <c r="A50" s="3">
        <v>120000</v>
      </c>
    </row>
    <row r="51" spans="1:5" x14ac:dyDescent="0.3">
      <c r="A51" s="3">
        <v>110000</v>
      </c>
    </row>
    <row r="52" spans="1:5" x14ac:dyDescent="0.3">
      <c r="A52" s="3">
        <v>100000</v>
      </c>
    </row>
    <row r="53" spans="1:5" ht="49.5" x14ac:dyDescent="0.3">
      <c r="A53" s="3">
        <v>90000</v>
      </c>
      <c r="B53" s="4" t="s">
        <v>682</v>
      </c>
      <c r="C53" s="4" t="s">
        <v>689</v>
      </c>
      <c r="E53" s="4" t="s">
        <v>702</v>
      </c>
    </row>
    <row r="54" spans="1:5" ht="49.5" x14ac:dyDescent="0.3">
      <c r="A54" s="3">
        <v>80000</v>
      </c>
      <c r="B54" s="4" t="s">
        <v>683</v>
      </c>
      <c r="C54" s="4" t="s">
        <v>690</v>
      </c>
      <c r="D54" s="4" t="s">
        <v>696</v>
      </c>
      <c r="E54" s="4" t="s">
        <v>703</v>
      </c>
    </row>
    <row r="55" spans="1:5" ht="82.5" x14ac:dyDescent="0.3">
      <c r="A55" s="3">
        <v>70000</v>
      </c>
      <c r="B55" s="4" t="s">
        <v>684</v>
      </c>
      <c r="C55" s="4" t="s">
        <v>691</v>
      </c>
      <c r="D55" s="4" t="s">
        <v>697</v>
      </c>
    </row>
    <row r="56" spans="1:5" ht="148.5" x14ac:dyDescent="0.3">
      <c r="A56" s="3">
        <v>60000</v>
      </c>
      <c r="B56" s="4" t="s">
        <v>685</v>
      </c>
      <c r="C56" s="4" t="s">
        <v>692</v>
      </c>
      <c r="D56" s="4" t="s">
        <v>698</v>
      </c>
      <c r="E56" s="4" t="s">
        <v>704</v>
      </c>
    </row>
    <row r="57" spans="1:5" ht="99" x14ac:dyDescent="0.3">
      <c r="A57" s="3">
        <v>50000</v>
      </c>
      <c r="B57" s="4" t="s">
        <v>686</v>
      </c>
      <c r="C57" s="4" t="s">
        <v>693</v>
      </c>
      <c r="D57" s="4" t="s">
        <v>699</v>
      </c>
      <c r="E57" s="4" t="s">
        <v>705</v>
      </c>
    </row>
    <row r="58" spans="1:5" ht="132" x14ac:dyDescent="0.3">
      <c r="A58" s="3">
        <v>40000</v>
      </c>
      <c r="B58" s="4" t="s">
        <v>687</v>
      </c>
      <c r="C58" s="4" t="s">
        <v>694</v>
      </c>
      <c r="D58" s="4" t="s">
        <v>700</v>
      </c>
      <c r="E58" s="4" t="s">
        <v>706</v>
      </c>
    </row>
    <row r="59" spans="1:5" ht="214.5" x14ac:dyDescent="0.3">
      <c r="A59" s="3">
        <v>30000</v>
      </c>
      <c r="B59" s="4" t="s">
        <v>688</v>
      </c>
      <c r="C59" s="4" t="s">
        <v>695</v>
      </c>
      <c r="D59" s="4" t="s">
        <v>701</v>
      </c>
    </row>
    <row r="60" spans="1:5" x14ac:dyDescent="0.3">
      <c r="A60" s="3">
        <v>20000</v>
      </c>
    </row>
    <row r="61" spans="1:5" x14ac:dyDescent="0.3">
      <c r="A61" s="3">
        <v>10000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6.5" x14ac:dyDescent="0.3"/>
  <sheetData>
    <row r="1" spans="1:2" x14ac:dyDescent="0.3">
      <c r="A1" t="s">
        <v>707</v>
      </c>
      <c r="B1" t="s">
        <v>708</v>
      </c>
    </row>
    <row r="2" spans="1:2" x14ac:dyDescent="0.3">
      <c r="A2" t="s">
        <v>709</v>
      </c>
      <c r="B2" s="5" t="s">
        <v>710</v>
      </c>
    </row>
  </sheetData>
  <phoneticPr fontId="4" type="noConversion"/>
  <hyperlinks>
    <hyperlink ref="B2" r:id="rId1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6"/>
  <sheetViews>
    <sheetView workbookViewId="0"/>
  </sheetViews>
  <sheetFormatPr defaultRowHeight="16.5" x14ac:dyDescent="0.3"/>
  <cols>
    <col min="1" max="1" width="3" bestFit="1" customWidth="1"/>
    <col min="2" max="2" width="7" bestFit="1" customWidth="1"/>
    <col min="3" max="3" width="4.375" bestFit="1" customWidth="1"/>
    <col min="4" max="4" width="8.25" bestFit="1" customWidth="1"/>
    <col min="5" max="5" width="4.375" bestFit="1" customWidth="1"/>
    <col min="6" max="6" width="15" bestFit="1" customWidth="1"/>
    <col min="7" max="7" width="7.875" style="1" bestFit="1" customWidth="1"/>
    <col min="8" max="8" width="5.625" bestFit="1" customWidth="1"/>
    <col min="9" max="9" width="4.375" bestFit="1" customWidth="1"/>
    <col min="10" max="10" width="5" bestFit="1" customWidth="1"/>
    <col min="11" max="12" width="5.625" bestFit="1" customWidth="1"/>
    <col min="13" max="13" width="5.25" bestFit="1" customWidth="1"/>
    <col min="14" max="14" width="5.625" bestFit="1" customWidth="1"/>
    <col min="15" max="15" width="9" bestFit="1" customWidth="1"/>
    <col min="16" max="16" width="5.625" bestFit="1" customWidth="1"/>
    <col min="17" max="18" width="8" bestFit="1" customWidth="1"/>
    <col min="19" max="19" width="20" style="2" bestFit="1" customWidth="1"/>
    <col min="20" max="20" width="9" bestFit="1" customWidth="1"/>
    <col min="21" max="21" width="23" style="2" bestFit="1" customWidth="1"/>
    <col min="22" max="22" width="8" bestFit="1" customWidth="1"/>
    <col min="23" max="23" width="19" style="2" bestFit="1" customWidth="1"/>
    <col min="24" max="25" width="7.125" bestFit="1" customWidth="1"/>
    <col min="26" max="26" width="6" bestFit="1" customWidth="1"/>
    <col min="27" max="27" width="10.75" bestFit="1" customWidth="1"/>
  </cols>
  <sheetData>
    <row r="1" spans="1:27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3">
        <v>0</v>
      </c>
      <c r="B2">
        <v>10777</v>
      </c>
      <c r="C2" t="s">
        <v>26</v>
      </c>
      <c r="D2" t="s">
        <v>27</v>
      </c>
      <c r="E2" t="s">
        <v>28</v>
      </c>
      <c r="F2" t="s">
        <v>209</v>
      </c>
      <c r="G2" s="1" t="str">
        <f>HYPERLINK("https://new.land.naver.com/complexes/10777", "클릭")</f>
        <v>클릭</v>
      </c>
      <c r="H2">
        <v>1988</v>
      </c>
      <c r="I2">
        <v>11</v>
      </c>
      <c r="J2">
        <v>45</v>
      </c>
      <c r="K2">
        <v>58</v>
      </c>
      <c r="L2" t="s">
        <v>135</v>
      </c>
      <c r="M2" t="s">
        <v>138</v>
      </c>
      <c r="N2" t="s">
        <v>237</v>
      </c>
      <c r="O2">
        <v>145000</v>
      </c>
      <c r="P2" t="s">
        <v>237</v>
      </c>
      <c r="Q2">
        <v>53000</v>
      </c>
      <c r="R2">
        <v>92000</v>
      </c>
      <c r="S2" s="2">
        <v>0.36551724137931041</v>
      </c>
      <c r="Y2">
        <v>1</v>
      </c>
      <c r="AA2" t="s">
        <v>198</v>
      </c>
    </row>
    <row r="3" spans="1:27" x14ac:dyDescent="0.3">
      <c r="A3" s="3">
        <v>1</v>
      </c>
      <c r="B3">
        <v>8981</v>
      </c>
      <c r="C3" t="s">
        <v>26</v>
      </c>
      <c r="D3" t="s">
        <v>27</v>
      </c>
      <c r="E3" t="s">
        <v>28</v>
      </c>
      <c r="F3" t="s">
        <v>210</v>
      </c>
      <c r="G3" s="1" t="str">
        <f>HYPERLINK("https://new.land.naver.com/complexes/8981", "클릭")</f>
        <v>클릭</v>
      </c>
      <c r="H3">
        <v>1983</v>
      </c>
      <c r="I3">
        <v>9</v>
      </c>
      <c r="J3">
        <v>100</v>
      </c>
      <c r="K3">
        <v>57</v>
      </c>
      <c r="L3" t="s">
        <v>135</v>
      </c>
      <c r="M3" t="s">
        <v>138</v>
      </c>
      <c r="N3" t="s">
        <v>238</v>
      </c>
      <c r="O3">
        <v>140500</v>
      </c>
      <c r="P3" t="s">
        <v>238</v>
      </c>
      <c r="Q3">
        <v>50000</v>
      </c>
      <c r="R3">
        <v>90500</v>
      </c>
      <c r="S3" s="2">
        <v>0.35587188612099652</v>
      </c>
      <c r="T3">
        <v>49300</v>
      </c>
      <c r="U3" s="2">
        <v>1.8498985801217041</v>
      </c>
      <c r="V3">
        <v>35800</v>
      </c>
      <c r="W3" s="2">
        <v>3.924581005586592</v>
      </c>
      <c r="X3">
        <v>61</v>
      </c>
      <c r="Y3">
        <v>2</v>
      </c>
      <c r="Z3">
        <v>59</v>
      </c>
      <c r="AA3" t="s">
        <v>198</v>
      </c>
    </row>
    <row r="4" spans="1:27" x14ac:dyDescent="0.3">
      <c r="A4" s="3">
        <v>2</v>
      </c>
      <c r="B4">
        <v>107579</v>
      </c>
      <c r="C4" t="s">
        <v>26</v>
      </c>
      <c r="D4" t="s">
        <v>27</v>
      </c>
      <c r="E4" t="s">
        <v>29</v>
      </c>
      <c r="F4" t="s">
        <v>33</v>
      </c>
      <c r="G4" s="1" t="str">
        <f>HYPERLINK("https://new.land.naver.com/complexes/107579", "클릭")</f>
        <v>클릭</v>
      </c>
      <c r="H4">
        <v>2016</v>
      </c>
      <c r="I4">
        <v>6</v>
      </c>
      <c r="J4">
        <v>1459</v>
      </c>
      <c r="K4">
        <v>59</v>
      </c>
      <c r="L4" t="s">
        <v>135</v>
      </c>
      <c r="M4" t="s">
        <v>137</v>
      </c>
      <c r="N4" t="s">
        <v>239</v>
      </c>
      <c r="O4">
        <v>97000</v>
      </c>
      <c r="P4" t="s">
        <v>239</v>
      </c>
      <c r="Q4">
        <v>59000</v>
      </c>
      <c r="R4">
        <v>38000</v>
      </c>
      <c r="S4" s="2">
        <v>0.60824742268041232</v>
      </c>
      <c r="T4">
        <v>110000</v>
      </c>
      <c r="U4" s="2">
        <v>-0.11818181818181819</v>
      </c>
      <c r="V4">
        <v>59900</v>
      </c>
      <c r="W4" s="2">
        <v>1.619365609348915</v>
      </c>
      <c r="X4">
        <v>1</v>
      </c>
      <c r="Y4">
        <v>3</v>
      </c>
      <c r="Z4">
        <v>-2</v>
      </c>
      <c r="AA4" t="s">
        <v>198</v>
      </c>
    </row>
    <row r="5" spans="1:27" x14ac:dyDescent="0.3">
      <c r="A5" s="3">
        <v>3</v>
      </c>
      <c r="B5">
        <v>144023</v>
      </c>
      <c r="C5" t="s">
        <v>26</v>
      </c>
      <c r="D5" t="s">
        <v>27</v>
      </c>
      <c r="E5" t="s">
        <v>31</v>
      </c>
      <c r="F5" t="s">
        <v>40</v>
      </c>
      <c r="G5" s="1" t="str">
        <f>HYPERLINK("https://new.land.naver.com/complexes/144023", "클릭")</f>
        <v>클릭</v>
      </c>
      <c r="H5">
        <v>2024</v>
      </c>
      <c r="I5">
        <v>6</v>
      </c>
      <c r="J5">
        <v>2739</v>
      </c>
      <c r="K5">
        <v>59</v>
      </c>
      <c r="L5" t="s">
        <v>135</v>
      </c>
      <c r="M5" t="s">
        <v>137</v>
      </c>
      <c r="N5" t="s">
        <v>240</v>
      </c>
      <c r="O5">
        <v>93000</v>
      </c>
      <c r="P5" t="s">
        <v>240</v>
      </c>
      <c r="Q5">
        <v>43000</v>
      </c>
      <c r="R5">
        <v>50000</v>
      </c>
      <c r="S5" s="2">
        <v>0.46236559139784938</v>
      </c>
      <c r="Y5">
        <v>4</v>
      </c>
      <c r="AA5" t="s">
        <v>198</v>
      </c>
    </row>
    <row r="6" spans="1:27" x14ac:dyDescent="0.3">
      <c r="A6" s="3">
        <v>4</v>
      </c>
      <c r="B6">
        <v>113297</v>
      </c>
      <c r="C6" t="s">
        <v>26</v>
      </c>
      <c r="D6" t="s">
        <v>27</v>
      </c>
      <c r="E6" t="s">
        <v>28</v>
      </c>
      <c r="F6" t="s">
        <v>37</v>
      </c>
      <c r="G6" s="1" t="str">
        <f>HYPERLINK("https://new.land.naver.com/complexes/113297", "클릭")</f>
        <v>클릭</v>
      </c>
      <c r="H6">
        <v>2019</v>
      </c>
      <c r="I6">
        <v>3</v>
      </c>
      <c r="J6">
        <v>1174</v>
      </c>
      <c r="K6">
        <v>59</v>
      </c>
      <c r="L6" t="s">
        <v>135</v>
      </c>
      <c r="M6" t="s">
        <v>137</v>
      </c>
      <c r="N6" t="s">
        <v>240</v>
      </c>
      <c r="O6">
        <v>90000</v>
      </c>
      <c r="P6" t="s">
        <v>261</v>
      </c>
      <c r="Q6">
        <v>53000</v>
      </c>
      <c r="R6">
        <v>37000</v>
      </c>
      <c r="S6" s="2">
        <v>0.58888888888888891</v>
      </c>
      <c r="T6">
        <v>102800</v>
      </c>
      <c r="U6" s="2">
        <v>-0.1245136186770428</v>
      </c>
      <c r="V6">
        <v>47700</v>
      </c>
      <c r="W6" s="2">
        <v>1.8867924528301889</v>
      </c>
      <c r="X6">
        <v>3</v>
      </c>
      <c r="Y6">
        <v>5</v>
      </c>
      <c r="Z6">
        <v>-2</v>
      </c>
      <c r="AA6" t="s">
        <v>198</v>
      </c>
    </row>
    <row r="7" spans="1:27" x14ac:dyDescent="0.3">
      <c r="A7" s="3">
        <v>5</v>
      </c>
      <c r="B7">
        <v>154917</v>
      </c>
      <c r="C7" t="s">
        <v>26</v>
      </c>
      <c r="D7" t="s">
        <v>27</v>
      </c>
      <c r="E7" t="s">
        <v>28</v>
      </c>
      <c r="F7" t="s">
        <v>32</v>
      </c>
      <c r="G7" s="1" t="str">
        <f>HYPERLINK("https://new.land.naver.com/complexes/154917", "클릭")</f>
        <v>클릭</v>
      </c>
      <c r="H7">
        <v>2023</v>
      </c>
      <c r="I7">
        <v>11</v>
      </c>
      <c r="J7">
        <v>2886</v>
      </c>
      <c r="K7">
        <v>59</v>
      </c>
      <c r="L7" t="s">
        <v>135</v>
      </c>
      <c r="M7" t="s">
        <v>137</v>
      </c>
      <c r="N7" t="s">
        <v>241</v>
      </c>
      <c r="O7">
        <v>90000</v>
      </c>
      <c r="P7" t="s">
        <v>241</v>
      </c>
      <c r="Q7">
        <v>50000</v>
      </c>
      <c r="R7">
        <v>40000</v>
      </c>
      <c r="S7" s="2">
        <v>0.55555555555555558</v>
      </c>
      <c r="Y7">
        <v>5</v>
      </c>
      <c r="AA7" t="s">
        <v>287</v>
      </c>
    </row>
    <row r="8" spans="1:27" x14ac:dyDescent="0.3">
      <c r="A8" s="3">
        <v>6</v>
      </c>
      <c r="B8">
        <v>13922</v>
      </c>
      <c r="C8" t="s">
        <v>26</v>
      </c>
      <c r="D8" t="s">
        <v>27</v>
      </c>
      <c r="E8" t="s">
        <v>31</v>
      </c>
      <c r="F8" t="s">
        <v>51</v>
      </c>
      <c r="G8" s="1" t="str">
        <f>HYPERLINK("https://new.land.naver.com/complexes/13922", "클릭")</f>
        <v>클릭</v>
      </c>
      <c r="H8">
        <v>1981</v>
      </c>
      <c r="I8">
        <v>9</v>
      </c>
      <c r="J8">
        <v>912</v>
      </c>
      <c r="K8">
        <v>58</v>
      </c>
      <c r="L8" t="s">
        <v>136</v>
      </c>
      <c r="M8" t="s">
        <v>235</v>
      </c>
      <c r="N8" t="s">
        <v>242</v>
      </c>
      <c r="O8">
        <v>85650</v>
      </c>
      <c r="T8">
        <v>96000</v>
      </c>
      <c r="U8" s="2">
        <v>-0.10781250000000001</v>
      </c>
      <c r="V8">
        <v>34900</v>
      </c>
      <c r="W8" s="2">
        <v>2.4541547277936959</v>
      </c>
      <c r="X8">
        <v>4</v>
      </c>
      <c r="Y8">
        <v>7</v>
      </c>
      <c r="Z8">
        <v>-3</v>
      </c>
      <c r="AA8" t="s">
        <v>288</v>
      </c>
    </row>
    <row r="9" spans="1:27" x14ac:dyDescent="0.3">
      <c r="A9" s="3">
        <v>7</v>
      </c>
      <c r="B9">
        <v>142558</v>
      </c>
      <c r="C9" t="s">
        <v>26</v>
      </c>
      <c r="D9" t="s">
        <v>27</v>
      </c>
      <c r="E9" t="s">
        <v>28</v>
      </c>
      <c r="F9" t="s">
        <v>34</v>
      </c>
      <c r="G9" s="1" t="str">
        <f>HYPERLINK("https://new.land.naver.com/complexes/142558", "클릭")</f>
        <v>클릭</v>
      </c>
      <c r="H9">
        <v>2024</v>
      </c>
      <c r="I9">
        <v>8</v>
      </c>
      <c r="J9">
        <v>2417</v>
      </c>
      <c r="K9">
        <v>59</v>
      </c>
      <c r="L9" t="s">
        <v>135</v>
      </c>
      <c r="M9" t="s">
        <v>137</v>
      </c>
      <c r="N9" t="s">
        <v>243</v>
      </c>
      <c r="O9">
        <v>85000</v>
      </c>
      <c r="P9" t="s">
        <v>243</v>
      </c>
      <c r="Q9">
        <v>48000</v>
      </c>
      <c r="R9">
        <v>37000</v>
      </c>
      <c r="S9" s="2">
        <v>0.56470588235294117</v>
      </c>
      <c r="Y9">
        <v>8</v>
      </c>
      <c r="AA9" t="s">
        <v>198</v>
      </c>
    </row>
    <row r="10" spans="1:27" x14ac:dyDescent="0.3">
      <c r="A10" s="3">
        <v>8</v>
      </c>
      <c r="B10">
        <v>126060</v>
      </c>
      <c r="C10" t="s">
        <v>26</v>
      </c>
      <c r="D10" t="s">
        <v>27</v>
      </c>
      <c r="E10" t="s">
        <v>31</v>
      </c>
      <c r="F10" t="s">
        <v>38</v>
      </c>
      <c r="G10" s="1" t="str">
        <f>HYPERLINK("https://new.land.naver.com/complexes/126060", "클릭")</f>
        <v>클릭</v>
      </c>
      <c r="H10">
        <v>2022</v>
      </c>
      <c r="I10">
        <v>3</v>
      </c>
      <c r="J10">
        <v>1199</v>
      </c>
      <c r="K10">
        <v>59</v>
      </c>
      <c r="L10" t="s">
        <v>135</v>
      </c>
      <c r="M10" t="s">
        <v>137</v>
      </c>
      <c r="N10" t="s">
        <v>244</v>
      </c>
      <c r="O10">
        <v>83000</v>
      </c>
      <c r="P10" t="s">
        <v>244</v>
      </c>
      <c r="Q10">
        <v>47000</v>
      </c>
      <c r="R10">
        <v>36000</v>
      </c>
      <c r="S10" s="2">
        <v>0.5662650602409639</v>
      </c>
      <c r="T10">
        <v>89458</v>
      </c>
      <c r="U10" s="2">
        <v>-7.2190301594044132E-2</v>
      </c>
      <c r="V10">
        <v>48300</v>
      </c>
      <c r="W10" s="2">
        <v>1.7184265010351969</v>
      </c>
      <c r="X10">
        <v>13</v>
      </c>
      <c r="Y10">
        <v>9</v>
      </c>
      <c r="Z10">
        <v>4</v>
      </c>
      <c r="AA10" t="s">
        <v>198</v>
      </c>
    </row>
    <row r="11" spans="1:27" x14ac:dyDescent="0.3">
      <c r="A11" s="3">
        <v>9</v>
      </c>
      <c r="B11">
        <v>1482</v>
      </c>
      <c r="C11" t="s">
        <v>26</v>
      </c>
      <c r="D11" t="s">
        <v>27</v>
      </c>
      <c r="E11" t="s">
        <v>30</v>
      </c>
      <c r="F11" t="s">
        <v>41</v>
      </c>
      <c r="G11" s="1" t="str">
        <f>HYPERLINK("https://new.land.naver.com/complexes/1482", "클릭")</f>
        <v>클릭</v>
      </c>
      <c r="H11">
        <v>1993</v>
      </c>
      <c r="I11">
        <v>4</v>
      </c>
      <c r="J11">
        <v>780</v>
      </c>
      <c r="K11">
        <v>59</v>
      </c>
      <c r="L11" t="s">
        <v>135</v>
      </c>
      <c r="M11" t="s">
        <v>138</v>
      </c>
      <c r="N11" t="s">
        <v>245</v>
      </c>
      <c r="O11">
        <v>81000</v>
      </c>
      <c r="P11" t="s">
        <v>245</v>
      </c>
      <c r="Q11">
        <v>50000</v>
      </c>
      <c r="R11">
        <v>31000</v>
      </c>
      <c r="S11" s="2">
        <v>0.61728395061728392</v>
      </c>
      <c r="T11">
        <v>89000</v>
      </c>
      <c r="U11" s="2">
        <v>-8.98876404494382E-2</v>
      </c>
      <c r="V11">
        <v>48800</v>
      </c>
      <c r="W11" s="2">
        <v>1.6598360655737709</v>
      </c>
      <c r="X11">
        <v>14</v>
      </c>
      <c r="Y11">
        <v>10</v>
      </c>
      <c r="Z11">
        <v>4</v>
      </c>
      <c r="AA11" t="s">
        <v>198</v>
      </c>
    </row>
    <row r="12" spans="1:27" x14ac:dyDescent="0.3">
      <c r="A12" s="3">
        <v>10</v>
      </c>
      <c r="B12">
        <v>2505</v>
      </c>
      <c r="C12" t="s">
        <v>26</v>
      </c>
      <c r="D12" t="s">
        <v>27</v>
      </c>
      <c r="E12" t="s">
        <v>29</v>
      </c>
      <c r="F12" t="s">
        <v>43</v>
      </c>
      <c r="G12" s="1" t="str">
        <f>HYPERLINK("https://new.land.naver.com/complexes/2505", "클릭")</f>
        <v>클릭</v>
      </c>
      <c r="H12">
        <v>1998</v>
      </c>
      <c r="I12">
        <v>12</v>
      </c>
      <c r="J12">
        <v>1314</v>
      </c>
      <c r="K12">
        <v>59</v>
      </c>
      <c r="L12" t="s">
        <v>135</v>
      </c>
      <c r="M12" t="s">
        <v>235</v>
      </c>
      <c r="N12" t="s">
        <v>246</v>
      </c>
      <c r="O12">
        <v>80000</v>
      </c>
      <c r="P12" t="s">
        <v>246</v>
      </c>
      <c r="Q12">
        <v>40000</v>
      </c>
      <c r="R12">
        <v>40000</v>
      </c>
      <c r="S12" s="2">
        <v>0.5</v>
      </c>
      <c r="T12">
        <v>105000</v>
      </c>
      <c r="U12" s="2">
        <v>-0.23809523809523811</v>
      </c>
      <c r="V12">
        <v>52600</v>
      </c>
      <c r="W12" s="2">
        <v>1.520912547528517</v>
      </c>
      <c r="X12">
        <v>2</v>
      </c>
      <c r="Y12">
        <v>11</v>
      </c>
      <c r="Z12">
        <v>-9</v>
      </c>
      <c r="AA12" t="s">
        <v>198</v>
      </c>
    </row>
    <row r="13" spans="1:27" x14ac:dyDescent="0.3">
      <c r="A13" s="3">
        <v>11</v>
      </c>
      <c r="B13">
        <v>1481</v>
      </c>
      <c r="C13" t="s">
        <v>26</v>
      </c>
      <c r="D13" t="s">
        <v>27</v>
      </c>
      <c r="E13" t="s">
        <v>30</v>
      </c>
      <c r="F13" t="s">
        <v>39</v>
      </c>
      <c r="G13" s="1" t="str">
        <f>HYPERLINK("https://new.land.naver.com/complexes/1481", "클릭")</f>
        <v>클릭</v>
      </c>
      <c r="H13">
        <v>1992</v>
      </c>
      <c r="I13">
        <v>11</v>
      </c>
      <c r="J13">
        <v>552</v>
      </c>
      <c r="K13">
        <v>59</v>
      </c>
      <c r="L13" t="s">
        <v>135</v>
      </c>
      <c r="M13" t="s">
        <v>138</v>
      </c>
      <c r="N13" t="s">
        <v>247</v>
      </c>
      <c r="O13">
        <v>80000</v>
      </c>
      <c r="P13" t="s">
        <v>247</v>
      </c>
      <c r="Q13">
        <v>48000</v>
      </c>
      <c r="R13">
        <v>32000</v>
      </c>
      <c r="S13" s="2">
        <v>0.6</v>
      </c>
      <c r="T13">
        <v>93500</v>
      </c>
      <c r="U13" s="2">
        <v>-0.14438502673796791</v>
      </c>
      <c r="V13">
        <v>47300</v>
      </c>
      <c r="W13" s="2">
        <v>1.691331923890063</v>
      </c>
      <c r="X13">
        <v>9</v>
      </c>
      <c r="Y13">
        <v>11</v>
      </c>
      <c r="Z13">
        <v>-2</v>
      </c>
      <c r="AA13" t="s">
        <v>198</v>
      </c>
    </row>
    <row r="14" spans="1:27" x14ac:dyDescent="0.3">
      <c r="A14" s="3">
        <v>12</v>
      </c>
      <c r="B14">
        <v>1468</v>
      </c>
      <c r="C14" t="s">
        <v>26</v>
      </c>
      <c r="D14" t="s">
        <v>27</v>
      </c>
      <c r="E14" t="s">
        <v>31</v>
      </c>
      <c r="F14" t="s">
        <v>49</v>
      </c>
      <c r="G14" s="1" t="str">
        <f>HYPERLINK("https://new.land.naver.com/complexes/1468", "클릭")</f>
        <v>클릭</v>
      </c>
      <c r="H14">
        <v>1992</v>
      </c>
      <c r="I14">
        <v>11</v>
      </c>
      <c r="J14">
        <v>508</v>
      </c>
      <c r="K14">
        <v>59</v>
      </c>
      <c r="L14" t="s">
        <v>135</v>
      </c>
      <c r="M14" t="s">
        <v>138</v>
      </c>
      <c r="N14" t="s">
        <v>248</v>
      </c>
      <c r="O14">
        <v>78000</v>
      </c>
      <c r="P14" t="s">
        <v>248</v>
      </c>
      <c r="Q14">
        <v>36000</v>
      </c>
      <c r="R14">
        <v>42000</v>
      </c>
      <c r="S14" s="2">
        <v>0.46153846153846162</v>
      </c>
      <c r="T14">
        <v>84500</v>
      </c>
      <c r="U14" s="2">
        <v>-7.6923076923076927E-2</v>
      </c>
      <c r="V14">
        <v>42700</v>
      </c>
      <c r="W14" s="2">
        <v>1.826697892271663</v>
      </c>
      <c r="X14">
        <v>17</v>
      </c>
      <c r="Y14">
        <v>13</v>
      </c>
      <c r="Z14">
        <v>4</v>
      </c>
      <c r="AA14" t="s">
        <v>198</v>
      </c>
    </row>
    <row r="15" spans="1:27" x14ac:dyDescent="0.3">
      <c r="A15" s="3">
        <v>13</v>
      </c>
      <c r="B15">
        <v>122682</v>
      </c>
      <c r="C15" t="s">
        <v>26</v>
      </c>
      <c r="D15" t="s">
        <v>27</v>
      </c>
      <c r="E15" t="s">
        <v>28</v>
      </c>
      <c r="F15" t="s">
        <v>46</v>
      </c>
      <c r="G15" s="1" t="str">
        <f>HYPERLINK("https://new.land.naver.com/complexes/122682", "클릭")</f>
        <v>클릭</v>
      </c>
      <c r="H15">
        <v>2021</v>
      </c>
      <c r="I15">
        <v>4</v>
      </c>
      <c r="J15">
        <v>3850</v>
      </c>
      <c r="K15">
        <v>59</v>
      </c>
      <c r="L15" t="s">
        <v>135</v>
      </c>
      <c r="M15" t="s">
        <v>137</v>
      </c>
      <c r="N15" t="s">
        <v>249</v>
      </c>
      <c r="O15">
        <v>78000</v>
      </c>
      <c r="P15" t="s">
        <v>249</v>
      </c>
      <c r="Q15">
        <v>40000</v>
      </c>
      <c r="R15">
        <v>38000</v>
      </c>
      <c r="S15" s="2">
        <v>0.51282051282051277</v>
      </c>
      <c r="T15">
        <v>90000</v>
      </c>
      <c r="U15" s="2">
        <v>-0.1333333333333333</v>
      </c>
      <c r="V15">
        <v>46900</v>
      </c>
      <c r="W15" s="2">
        <v>1.663113006396588</v>
      </c>
      <c r="X15">
        <v>11</v>
      </c>
      <c r="Y15">
        <v>13</v>
      </c>
      <c r="Z15">
        <v>-2</v>
      </c>
      <c r="AA15" t="s">
        <v>198</v>
      </c>
    </row>
    <row r="16" spans="1:27" x14ac:dyDescent="0.3">
      <c r="A16" s="3">
        <v>14</v>
      </c>
      <c r="B16">
        <v>1480</v>
      </c>
      <c r="C16" t="s">
        <v>26</v>
      </c>
      <c r="D16" t="s">
        <v>27</v>
      </c>
      <c r="E16" t="s">
        <v>30</v>
      </c>
      <c r="F16" t="s">
        <v>36</v>
      </c>
      <c r="G16" s="1" t="str">
        <f>HYPERLINK("https://new.land.naver.com/complexes/1480", "클릭")</f>
        <v>클릭</v>
      </c>
      <c r="H16">
        <v>1993</v>
      </c>
      <c r="I16">
        <v>3</v>
      </c>
      <c r="J16">
        <v>530</v>
      </c>
      <c r="K16">
        <v>59</v>
      </c>
      <c r="L16" t="s">
        <v>135</v>
      </c>
      <c r="M16" t="s">
        <v>235</v>
      </c>
      <c r="N16" t="s">
        <v>250</v>
      </c>
      <c r="O16">
        <v>77000</v>
      </c>
      <c r="P16" t="s">
        <v>250</v>
      </c>
      <c r="Q16">
        <v>48000</v>
      </c>
      <c r="R16">
        <v>29000</v>
      </c>
      <c r="S16" s="2">
        <v>0.62337662337662336</v>
      </c>
      <c r="T16">
        <v>96000</v>
      </c>
      <c r="U16" s="2">
        <v>-0.19791666666666671</v>
      </c>
      <c r="V16">
        <v>49600</v>
      </c>
      <c r="W16" s="2">
        <v>1.55241935483871</v>
      </c>
      <c r="X16">
        <v>4</v>
      </c>
      <c r="Y16">
        <v>15</v>
      </c>
      <c r="Z16">
        <v>-11</v>
      </c>
      <c r="AA16" t="s">
        <v>198</v>
      </c>
    </row>
    <row r="17" spans="1:27" x14ac:dyDescent="0.3">
      <c r="A17" s="3">
        <v>15</v>
      </c>
      <c r="B17">
        <v>124780</v>
      </c>
      <c r="C17" t="s">
        <v>26</v>
      </c>
      <c r="D17" t="s">
        <v>27</v>
      </c>
      <c r="E17" t="s">
        <v>31</v>
      </c>
      <c r="F17" t="s">
        <v>45</v>
      </c>
      <c r="G17" s="1" t="str">
        <f>HYPERLINK("https://new.land.naver.com/complexes/124780", "클릭")</f>
        <v>클릭</v>
      </c>
      <c r="H17">
        <v>2021</v>
      </c>
      <c r="I17">
        <v>12</v>
      </c>
      <c r="J17">
        <v>2737</v>
      </c>
      <c r="K17">
        <v>59</v>
      </c>
      <c r="L17" t="s">
        <v>135</v>
      </c>
      <c r="M17" t="s">
        <v>137</v>
      </c>
      <c r="N17" t="s">
        <v>251</v>
      </c>
      <c r="O17">
        <v>76000</v>
      </c>
      <c r="P17" t="s">
        <v>243</v>
      </c>
      <c r="Q17">
        <v>44000</v>
      </c>
      <c r="R17">
        <v>32000</v>
      </c>
      <c r="S17" s="2">
        <v>0.57894736842105265</v>
      </c>
      <c r="T17">
        <v>92500</v>
      </c>
      <c r="U17" s="2">
        <v>-0.17837837837837839</v>
      </c>
      <c r="V17">
        <v>43500</v>
      </c>
      <c r="W17" s="2">
        <v>1.7471264367816091</v>
      </c>
      <c r="X17">
        <v>10</v>
      </c>
      <c r="Y17">
        <v>16</v>
      </c>
      <c r="Z17">
        <v>-6</v>
      </c>
      <c r="AA17" t="s">
        <v>198</v>
      </c>
    </row>
    <row r="18" spans="1:27" x14ac:dyDescent="0.3">
      <c r="A18" s="3">
        <v>16</v>
      </c>
      <c r="B18">
        <v>8205</v>
      </c>
      <c r="C18" t="s">
        <v>26</v>
      </c>
      <c r="D18" t="s">
        <v>27</v>
      </c>
      <c r="E18" t="s">
        <v>30</v>
      </c>
      <c r="F18" t="s">
        <v>59</v>
      </c>
      <c r="G18" s="1" t="str">
        <f>HYPERLINK("https://new.land.naver.com/complexes/8205", "클릭")</f>
        <v>클릭</v>
      </c>
      <c r="H18">
        <v>2001</v>
      </c>
      <c r="I18">
        <v>4</v>
      </c>
      <c r="J18">
        <v>1996</v>
      </c>
      <c r="K18">
        <v>59</v>
      </c>
      <c r="L18" t="s">
        <v>135</v>
      </c>
      <c r="M18" t="s">
        <v>137</v>
      </c>
      <c r="N18" t="s">
        <v>252</v>
      </c>
      <c r="O18">
        <v>74000</v>
      </c>
      <c r="P18" t="s">
        <v>252</v>
      </c>
      <c r="Q18">
        <v>38000</v>
      </c>
      <c r="R18">
        <v>36000</v>
      </c>
      <c r="S18" s="2">
        <v>0.51351351351351349</v>
      </c>
      <c r="T18">
        <v>87000</v>
      </c>
      <c r="U18" s="2">
        <v>-0.14942528735632191</v>
      </c>
      <c r="V18">
        <v>41100</v>
      </c>
      <c r="W18" s="2">
        <v>1.800486618004866</v>
      </c>
      <c r="X18">
        <v>15</v>
      </c>
      <c r="Y18">
        <v>17</v>
      </c>
      <c r="Z18">
        <v>-2</v>
      </c>
      <c r="AA18" t="s">
        <v>198</v>
      </c>
    </row>
    <row r="19" spans="1:27" x14ac:dyDescent="0.3">
      <c r="A19" s="3">
        <v>17</v>
      </c>
      <c r="B19">
        <v>148980</v>
      </c>
      <c r="C19" t="s">
        <v>26</v>
      </c>
      <c r="D19" t="s">
        <v>27</v>
      </c>
      <c r="E19" t="s">
        <v>28</v>
      </c>
      <c r="F19" t="s">
        <v>211</v>
      </c>
      <c r="G19" s="1" t="str">
        <f>HYPERLINK("https://new.land.naver.com/complexes/148980", "클릭")</f>
        <v>클릭</v>
      </c>
      <c r="H19">
        <v>2024</v>
      </c>
      <c r="I19">
        <v>9</v>
      </c>
      <c r="J19">
        <v>304</v>
      </c>
      <c r="K19">
        <v>59</v>
      </c>
      <c r="L19" t="s">
        <v>135</v>
      </c>
      <c r="M19" t="s">
        <v>137</v>
      </c>
      <c r="N19" t="s">
        <v>253</v>
      </c>
      <c r="O19">
        <v>73700</v>
      </c>
      <c r="P19" t="s">
        <v>253</v>
      </c>
      <c r="Q19">
        <v>41000</v>
      </c>
      <c r="R19">
        <v>32700</v>
      </c>
      <c r="S19" s="2">
        <v>0.55630936227951155</v>
      </c>
      <c r="Y19">
        <v>18</v>
      </c>
      <c r="AA19" t="s">
        <v>199</v>
      </c>
    </row>
    <row r="20" spans="1:27" x14ac:dyDescent="0.3">
      <c r="A20" s="3">
        <v>18</v>
      </c>
      <c r="B20">
        <v>3023</v>
      </c>
      <c r="C20" t="s">
        <v>26</v>
      </c>
      <c r="D20" t="s">
        <v>27</v>
      </c>
      <c r="E20" t="s">
        <v>28</v>
      </c>
      <c r="F20" t="s">
        <v>212</v>
      </c>
      <c r="G20" s="1" t="str">
        <f>HYPERLINK("https://new.land.naver.com/complexes/3023", "클릭")</f>
        <v>클릭</v>
      </c>
      <c r="H20">
        <v>1993</v>
      </c>
      <c r="I20">
        <v>3</v>
      </c>
      <c r="J20">
        <v>683</v>
      </c>
      <c r="K20">
        <v>58</v>
      </c>
      <c r="L20" t="s">
        <v>136</v>
      </c>
      <c r="M20" t="s">
        <v>235</v>
      </c>
      <c r="N20" t="s">
        <v>254</v>
      </c>
      <c r="O20">
        <v>72000</v>
      </c>
      <c r="P20" t="s">
        <v>254</v>
      </c>
      <c r="Q20">
        <v>32000</v>
      </c>
      <c r="R20">
        <v>40000</v>
      </c>
      <c r="S20" s="2">
        <v>0.44444444444444442</v>
      </c>
      <c r="T20">
        <v>58750</v>
      </c>
      <c r="U20" s="2">
        <v>0.22553191489361701</v>
      </c>
      <c r="V20">
        <v>40400</v>
      </c>
      <c r="W20" s="2">
        <v>1.782178217821782</v>
      </c>
      <c r="X20">
        <v>51</v>
      </c>
      <c r="Y20">
        <v>19</v>
      </c>
      <c r="Z20">
        <v>32</v>
      </c>
      <c r="AA20" t="s">
        <v>198</v>
      </c>
    </row>
    <row r="21" spans="1:27" x14ac:dyDescent="0.3">
      <c r="A21" s="3">
        <v>19</v>
      </c>
      <c r="B21">
        <v>1477</v>
      </c>
      <c r="C21" t="s">
        <v>26</v>
      </c>
      <c r="D21" t="s">
        <v>27</v>
      </c>
      <c r="E21" t="s">
        <v>30</v>
      </c>
      <c r="F21" t="s">
        <v>56</v>
      </c>
      <c r="G21" s="1" t="str">
        <f>HYPERLINK("https://new.land.naver.com/complexes/1477", "클릭")</f>
        <v>클릭</v>
      </c>
      <c r="H21">
        <v>1993</v>
      </c>
      <c r="I21">
        <v>7</v>
      </c>
      <c r="J21">
        <v>752</v>
      </c>
      <c r="K21">
        <v>59</v>
      </c>
      <c r="L21" t="s">
        <v>135</v>
      </c>
      <c r="M21" t="s">
        <v>138</v>
      </c>
      <c r="N21" t="s">
        <v>255</v>
      </c>
      <c r="O21">
        <v>72000</v>
      </c>
      <c r="P21" t="s">
        <v>255</v>
      </c>
      <c r="Q21">
        <v>35000</v>
      </c>
      <c r="R21">
        <v>37000</v>
      </c>
      <c r="S21" s="2">
        <v>0.4861111111111111</v>
      </c>
      <c r="T21">
        <v>82000</v>
      </c>
      <c r="U21" s="2">
        <v>-0.12195121951219511</v>
      </c>
      <c r="V21">
        <v>40500</v>
      </c>
      <c r="W21" s="2">
        <v>1.7777777777777779</v>
      </c>
      <c r="X21">
        <v>18</v>
      </c>
      <c r="Y21">
        <v>19</v>
      </c>
      <c r="Z21">
        <v>-1</v>
      </c>
      <c r="AA21" t="s">
        <v>198</v>
      </c>
    </row>
    <row r="22" spans="1:27" x14ac:dyDescent="0.3">
      <c r="A22" s="3">
        <v>20</v>
      </c>
      <c r="B22">
        <v>111921</v>
      </c>
      <c r="C22" t="s">
        <v>26</v>
      </c>
      <c r="D22" t="s">
        <v>27</v>
      </c>
      <c r="E22" t="s">
        <v>28</v>
      </c>
      <c r="F22" t="s">
        <v>213</v>
      </c>
      <c r="G22" s="1" t="str">
        <f>HYPERLINK("https://new.land.naver.com/complexes/111921", "클릭")</f>
        <v>클릭</v>
      </c>
      <c r="H22">
        <v>2018</v>
      </c>
      <c r="I22">
        <v>3</v>
      </c>
      <c r="J22">
        <v>200</v>
      </c>
      <c r="K22">
        <v>59</v>
      </c>
      <c r="L22" t="s">
        <v>135</v>
      </c>
      <c r="M22" t="s">
        <v>137</v>
      </c>
      <c r="N22" t="s">
        <v>256</v>
      </c>
      <c r="O22">
        <v>71000</v>
      </c>
      <c r="P22" t="s">
        <v>256</v>
      </c>
      <c r="Q22">
        <v>43000</v>
      </c>
      <c r="R22">
        <v>28000</v>
      </c>
      <c r="S22" s="2">
        <v>0.60563380281690138</v>
      </c>
      <c r="T22">
        <v>89700</v>
      </c>
      <c r="U22" s="2">
        <v>-0.20847268673355629</v>
      </c>
      <c r="V22">
        <v>39700</v>
      </c>
      <c r="W22" s="2">
        <v>1.7884130982367761</v>
      </c>
      <c r="X22">
        <v>12</v>
      </c>
      <c r="Y22">
        <v>21</v>
      </c>
      <c r="Z22">
        <v>-9</v>
      </c>
      <c r="AA22" t="s">
        <v>198</v>
      </c>
    </row>
    <row r="23" spans="1:27" x14ac:dyDescent="0.3">
      <c r="A23" s="3">
        <v>21</v>
      </c>
      <c r="B23">
        <v>1467</v>
      </c>
      <c r="C23" t="s">
        <v>26</v>
      </c>
      <c r="D23" t="s">
        <v>27</v>
      </c>
      <c r="E23" t="s">
        <v>31</v>
      </c>
      <c r="F23" t="s">
        <v>53</v>
      </c>
      <c r="G23" s="1" t="str">
        <f>HYPERLINK("https://new.land.naver.com/complexes/1467", "클릭")</f>
        <v>클릭</v>
      </c>
      <c r="H23">
        <v>1992</v>
      </c>
      <c r="I23">
        <v>5</v>
      </c>
      <c r="J23">
        <v>620</v>
      </c>
      <c r="K23">
        <v>59</v>
      </c>
      <c r="L23" t="s">
        <v>136</v>
      </c>
      <c r="M23" t="s">
        <v>235</v>
      </c>
      <c r="N23" t="s">
        <v>248</v>
      </c>
      <c r="O23">
        <v>70000</v>
      </c>
      <c r="P23" t="s">
        <v>248</v>
      </c>
      <c r="Q23">
        <v>35000</v>
      </c>
      <c r="R23">
        <v>35000</v>
      </c>
      <c r="S23" s="2">
        <v>0.5</v>
      </c>
      <c r="T23">
        <v>76000</v>
      </c>
      <c r="U23" s="2">
        <v>-7.8947368421052627E-2</v>
      </c>
      <c r="V23">
        <v>38900</v>
      </c>
      <c r="W23" s="2">
        <v>1.7994858611825191</v>
      </c>
      <c r="X23">
        <v>27</v>
      </c>
      <c r="Y23">
        <v>22</v>
      </c>
      <c r="Z23">
        <v>5</v>
      </c>
      <c r="AA23" t="s">
        <v>198</v>
      </c>
    </row>
    <row r="24" spans="1:27" x14ac:dyDescent="0.3">
      <c r="A24" s="3">
        <v>22</v>
      </c>
      <c r="B24">
        <v>1977</v>
      </c>
      <c r="C24" t="s">
        <v>26</v>
      </c>
      <c r="D24" t="s">
        <v>27</v>
      </c>
      <c r="E24" t="s">
        <v>29</v>
      </c>
      <c r="F24" t="s">
        <v>214</v>
      </c>
      <c r="G24" s="1" t="str">
        <f>HYPERLINK("https://new.land.naver.com/complexes/1977", "클릭")</f>
        <v>클릭</v>
      </c>
      <c r="H24">
        <v>1986</v>
      </c>
      <c r="I24">
        <v>5</v>
      </c>
      <c r="J24">
        <v>220</v>
      </c>
      <c r="K24">
        <v>57</v>
      </c>
      <c r="L24" t="s">
        <v>135</v>
      </c>
      <c r="M24" t="s">
        <v>235</v>
      </c>
      <c r="N24" t="s">
        <v>248</v>
      </c>
      <c r="O24">
        <v>70000</v>
      </c>
      <c r="P24" t="s">
        <v>248</v>
      </c>
      <c r="Q24">
        <v>25000</v>
      </c>
      <c r="R24">
        <v>45000</v>
      </c>
      <c r="S24" s="2">
        <v>0.35714285714285721</v>
      </c>
      <c r="T24">
        <v>53500</v>
      </c>
      <c r="U24" s="2">
        <v>0.30841121495327101</v>
      </c>
      <c r="V24">
        <v>36900</v>
      </c>
      <c r="W24" s="2">
        <v>1.897018970189702</v>
      </c>
      <c r="X24">
        <v>56</v>
      </c>
      <c r="Y24">
        <v>22</v>
      </c>
      <c r="Z24">
        <v>34</v>
      </c>
      <c r="AA24" t="s">
        <v>198</v>
      </c>
    </row>
    <row r="25" spans="1:27" x14ac:dyDescent="0.3">
      <c r="A25" s="3">
        <v>23</v>
      </c>
      <c r="B25">
        <v>13922</v>
      </c>
      <c r="C25" t="s">
        <v>26</v>
      </c>
      <c r="D25" t="s">
        <v>27</v>
      </c>
      <c r="E25" t="s">
        <v>31</v>
      </c>
      <c r="F25" t="s">
        <v>51</v>
      </c>
      <c r="G25" s="1" t="str">
        <f>HYPERLINK("https://new.land.naver.com/complexes/13922", "클릭")</f>
        <v>클릭</v>
      </c>
      <c r="H25">
        <v>1981</v>
      </c>
      <c r="I25">
        <v>9</v>
      </c>
      <c r="J25">
        <v>912</v>
      </c>
      <c r="K25">
        <v>59</v>
      </c>
      <c r="L25" t="s">
        <v>136</v>
      </c>
      <c r="M25" t="s">
        <v>236</v>
      </c>
      <c r="N25" t="s">
        <v>257</v>
      </c>
      <c r="O25">
        <v>69500</v>
      </c>
      <c r="T25">
        <v>96000</v>
      </c>
      <c r="U25" s="2">
        <v>-0.27604166666666669</v>
      </c>
      <c r="V25">
        <v>34900</v>
      </c>
      <c r="W25" s="2">
        <v>1.9914040114613181</v>
      </c>
      <c r="X25">
        <v>4</v>
      </c>
      <c r="Y25">
        <v>24</v>
      </c>
      <c r="Z25">
        <v>-20</v>
      </c>
      <c r="AA25" t="s">
        <v>198</v>
      </c>
    </row>
    <row r="26" spans="1:27" x14ac:dyDescent="0.3">
      <c r="A26" s="3">
        <v>24</v>
      </c>
      <c r="B26">
        <v>8194</v>
      </c>
      <c r="C26" t="s">
        <v>26</v>
      </c>
      <c r="D26" t="s">
        <v>27</v>
      </c>
      <c r="E26" t="s">
        <v>30</v>
      </c>
      <c r="F26" t="s">
        <v>66</v>
      </c>
      <c r="G26" s="1" t="str">
        <f>HYPERLINK("https://new.land.naver.com/complexes/8194", "클릭")</f>
        <v>클릭</v>
      </c>
      <c r="H26">
        <v>2004</v>
      </c>
      <c r="I26">
        <v>11</v>
      </c>
      <c r="J26">
        <v>862</v>
      </c>
      <c r="K26">
        <v>59</v>
      </c>
      <c r="L26" t="s">
        <v>135</v>
      </c>
      <c r="M26" t="s">
        <v>137</v>
      </c>
      <c r="N26" t="s">
        <v>258</v>
      </c>
      <c r="O26">
        <v>69000</v>
      </c>
      <c r="P26" t="s">
        <v>258</v>
      </c>
      <c r="Q26">
        <v>40000</v>
      </c>
      <c r="R26">
        <v>29000</v>
      </c>
      <c r="S26" s="2">
        <v>0.57971014492753625</v>
      </c>
      <c r="T26">
        <v>79500</v>
      </c>
      <c r="U26" s="2">
        <v>-0.13207547169811321</v>
      </c>
      <c r="V26">
        <v>39800</v>
      </c>
      <c r="W26" s="2">
        <v>1.733668341708543</v>
      </c>
      <c r="X26">
        <v>23</v>
      </c>
      <c r="Y26">
        <v>25</v>
      </c>
      <c r="Z26">
        <v>-2</v>
      </c>
      <c r="AA26" t="s">
        <v>198</v>
      </c>
    </row>
    <row r="27" spans="1:27" x14ac:dyDescent="0.3">
      <c r="A27" s="3">
        <v>25</v>
      </c>
      <c r="B27">
        <v>3081</v>
      </c>
      <c r="C27" t="s">
        <v>26</v>
      </c>
      <c r="D27" t="s">
        <v>27</v>
      </c>
      <c r="E27" t="s">
        <v>28</v>
      </c>
      <c r="F27" t="s">
        <v>72</v>
      </c>
      <c r="G27" s="1" t="str">
        <f>HYPERLINK("https://new.land.naver.com/complexes/3081", "클릭")</f>
        <v>클릭</v>
      </c>
      <c r="H27">
        <v>2002</v>
      </c>
      <c r="I27">
        <v>11</v>
      </c>
      <c r="J27">
        <v>604</v>
      </c>
      <c r="K27">
        <v>59</v>
      </c>
      <c r="L27" t="s">
        <v>135</v>
      </c>
      <c r="M27" t="s">
        <v>137</v>
      </c>
      <c r="N27" t="s">
        <v>259</v>
      </c>
      <c r="O27">
        <v>68000</v>
      </c>
      <c r="P27" t="s">
        <v>259</v>
      </c>
      <c r="Q27">
        <v>40000</v>
      </c>
      <c r="R27">
        <v>28000</v>
      </c>
      <c r="S27" s="2">
        <v>0.58823529411764708</v>
      </c>
      <c r="T27">
        <v>72800</v>
      </c>
      <c r="U27" s="2">
        <v>-6.5934065934065936E-2</v>
      </c>
      <c r="V27">
        <v>39000</v>
      </c>
      <c r="W27" s="2">
        <v>1.7435897435897441</v>
      </c>
      <c r="X27">
        <v>34</v>
      </c>
      <c r="Y27">
        <v>26</v>
      </c>
      <c r="Z27">
        <v>8</v>
      </c>
      <c r="AA27" t="s">
        <v>198</v>
      </c>
    </row>
    <row r="28" spans="1:27" x14ac:dyDescent="0.3">
      <c r="A28" s="3">
        <v>26</v>
      </c>
      <c r="B28">
        <v>1479</v>
      </c>
      <c r="C28" t="s">
        <v>26</v>
      </c>
      <c r="D28" t="s">
        <v>27</v>
      </c>
      <c r="E28" t="s">
        <v>30</v>
      </c>
      <c r="F28" t="s">
        <v>54</v>
      </c>
      <c r="G28" s="1" t="str">
        <f>HYPERLINK("https://new.land.naver.com/complexes/1479", "클릭")</f>
        <v>클릭</v>
      </c>
      <c r="H28">
        <v>1992</v>
      </c>
      <c r="I28">
        <v>8</v>
      </c>
      <c r="J28">
        <v>368</v>
      </c>
      <c r="K28">
        <v>59</v>
      </c>
      <c r="L28" t="s">
        <v>135</v>
      </c>
      <c r="M28" t="s">
        <v>138</v>
      </c>
      <c r="N28" t="s">
        <v>245</v>
      </c>
      <c r="O28">
        <v>67500</v>
      </c>
      <c r="P28" t="s">
        <v>245</v>
      </c>
      <c r="Q28">
        <v>40000</v>
      </c>
      <c r="R28">
        <v>27500</v>
      </c>
      <c r="S28" s="2">
        <v>0.59259259259259256</v>
      </c>
      <c r="T28">
        <v>81700</v>
      </c>
      <c r="U28" s="2">
        <v>-0.1738066095471236</v>
      </c>
      <c r="V28">
        <v>40300</v>
      </c>
      <c r="W28" s="2">
        <v>1.6749379652605461</v>
      </c>
      <c r="X28">
        <v>20</v>
      </c>
      <c r="Y28">
        <v>27</v>
      </c>
      <c r="Z28">
        <v>-7</v>
      </c>
      <c r="AA28" t="s">
        <v>198</v>
      </c>
    </row>
    <row r="29" spans="1:27" x14ac:dyDescent="0.3">
      <c r="A29" s="3">
        <v>27</v>
      </c>
      <c r="B29">
        <v>1478</v>
      </c>
      <c r="C29" t="s">
        <v>26</v>
      </c>
      <c r="D29" t="s">
        <v>27</v>
      </c>
      <c r="E29" t="s">
        <v>30</v>
      </c>
      <c r="F29" t="s">
        <v>60</v>
      </c>
      <c r="G29" s="1" t="str">
        <f>HYPERLINK("https://new.land.naver.com/complexes/1478", "클릭")</f>
        <v>클릭</v>
      </c>
      <c r="H29">
        <v>1993</v>
      </c>
      <c r="I29">
        <v>10</v>
      </c>
      <c r="J29">
        <v>656</v>
      </c>
      <c r="K29">
        <v>59</v>
      </c>
      <c r="L29" t="s">
        <v>135</v>
      </c>
      <c r="M29" t="s">
        <v>138</v>
      </c>
      <c r="N29" t="s">
        <v>250</v>
      </c>
      <c r="O29">
        <v>67000</v>
      </c>
      <c r="P29" t="s">
        <v>250</v>
      </c>
      <c r="Q29">
        <v>39000</v>
      </c>
      <c r="R29">
        <v>28000</v>
      </c>
      <c r="S29" s="2">
        <v>0.58208955223880599</v>
      </c>
      <c r="T29">
        <v>80000</v>
      </c>
      <c r="U29" s="2">
        <v>-0.16250000000000001</v>
      </c>
      <c r="V29">
        <v>41900</v>
      </c>
      <c r="W29" s="2">
        <v>1.599045346062052</v>
      </c>
      <c r="X29">
        <v>21</v>
      </c>
      <c r="Y29">
        <v>28</v>
      </c>
      <c r="Z29">
        <v>-7</v>
      </c>
      <c r="AA29" t="s">
        <v>198</v>
      </c>
    </row>
    <row r="30" spans="1:27" x14ac:dyDescent="0.3">
      <c r="A30" s="3">
        <v>28</v>
      </c>
      <c r="B30">
        <v>127903</v>
      </c>
      <c r="C30" t="s">
        <v>26</v>
      </c>
      <c r="D30" t="s">
        <v>27</v>
      </c>
      <c r="E30" t="s">
        <v>31</v>
      </c>
      <c r="F30" t="s">
        <v>215</v>
      </c>
      <c r="G30" s="1" t="str">
        <f>HYPERLINK("https://new.land.naver.com/complexes/127903", "클릭")</f>
        <v>클릭</v>
      </c>
      <c r="H30">
        <v>2022</v>
      </c>
      <c r="I30">
        <v>4</v>
      </c>
      <c r="J30">
        <v>303</v>
      </c>
      <c r="K30">
        <v>59</v>
      </c>
      <c r="L30" t="s">
        <v>135</v>
      </c>
      <c r="M30" t="s">
        <v>137</v>
      </c>
      <c r="N30" t="s">
        <v>260</v>
      </c>
      <c r="O30">
        <v>66000</v>
      </c>
      <c r="P30" t="s">
        <v>260</v>
      </c>
      <c r="Q30">
        <v>42000</v>
      </c>
      <c r="R30">
        <v>24000</v>
      </c>
      <c r="S30" s="2">
        <v>0.63636363636363635</v>
      </c>
      <c r="T30">
        <v>59500</v>
      </c>
      <c r="U30" s="2">
        <v>0.1092436974789916</v>
      </c>
      <c r="V30">
        <v>38400</v>
      </c>
      <c r="W30" s="2">
        <v>1.71875</v>
      </c>
      <c r="X30">
        <v>49</v>
      </c>
      <c r="Y30">
        <v>29</v>
      </c>
      <c r="Z30">
        <v>20</v>
      </c>
      <c r="AA30" t="s">
        <v>198</v>
      </c>
    </row>
    <row r="31" spans="1:27" x14ac:dyDescent="0.3">
      <c r="A31" s="3">
        <v>29</v>
      </c>
      <c r="B31">
        <v>3001</v>
      </c>
      <c r="C31" t="s">
        <v>26</v>
      </c>
      <c r="D31" t="s">
        <v>27</v>
      </c>
      <c r="E31" t="s">
        <v>29</v>
      </c>
      <c r="F31" t="s">
        <v>62</v>
      </c>
      <c r="G31" s="1" t="str">
        <f>HYPERLINK("https://new.land.naver.com/complexes/3001", "클릭")</f>
        <v>클릭</v>
      </c>
      <c r="H31">
        <v>1995</v>
      </c>
      <c r="I31">
        <v>5</v>
      </c>
      <c r="J31">
        <v>952</v>
      </c>
      <c r="K31">
        <v>59</v>
      </c>
      <c r="L31" t="s">
        <v>136</v>
      </c>
      <c r="M31" t="s">
        <v>138</v>
      </c>
      <c r="N31" t="s">
        <v>258</v>
      </c>
      <c r="O31">
        <v>65500</v>
      </c>
      <c r="P31" t="s">
        <v>258</v>
      </c>
      <c r="Q31">
        <v>28500</v>
      </c>
      <c r="R31">
        <v>37000</v>
      </c>
      <c r="S31" s="2">
        <v>0.4351145038167939</v>
      </c>
      <c r="T31">
        <v>67000</v>
      </c>
      <c r="U31" s="2">
        <v>-2.2388059701492539E-2</v>
      </c>
      <c r="V31">
        <v>37200</v>
      </c>
      <c r="W31" s="2">
        <v>1.760752688172043</v>
      </c>
      <c r="X31">
        <v>45</v>
      </c>
      <c r="Y31">
        <v>30</v>
      </c>
      <c r="Z31">
        <v>15</v>
      </c>
      <c r="AA31" t="s">
        <v>198</v>
      </c>
    </row>
    <row r="32" spans="1:27" x14ac:dyDescent="0.3">
      <c r="A32" s="3">
        <v>30</v>
      </c>
      <c r="B32">
        <v>1472</v>
      </c>
      <c r="C32" t="s">
        <v>26</v>
      </c>
      <c r="D32" t="s">
        <v>27</v>
      </c>
      <c r="E32" t="s">
        <v>28</v>
      </c>
      <c r="F32" t="s">
        <v>52</v>
      </c>
      <c r="G32" s="1" t="str">
        <f>HYPERLINK("https://new.land.naver.com/complexes/1472", "클릭")</f>
        <v>클릭</v>
      </c>
      <c r="H32">
        <v>1992</v>
      </c>
      <c r="I32">
        <v>8</v>
      </c>
      <c r="J32">
        <v>438</v>
      </c>
      <c r="K32">
        <v>59</v>
      </c>
      <c r="L32" t="s">
        <v>135</v>
      </c>
      <c r="M32" t="s">
        <v>138</v>
      </c>
      <c r="N32" t="s">
        <v>248</v>
      </c>
      <c r="O32">
        <v>65000</v>
      </c>
      <c r="P32" t="s">
        <v>248</v>
      </c>
      <c r="Q32">
        <v>40000</v>
      </c>
      <c r="R32">
        <v>25000</v>
      </c>
      <c r="S32" s="2">
        <v>0.61538461538461542</v>
      </c>
      <c r="T32">
        <v>74000</v>
      </c>
      <c r="U32" s="2">
        <v>-0.1216216216216216</v>
      </c>
      <c r="V32">
        <v>36500</v>
      </c>
      <c r="W32" s="2">
        <v>1.780821917808219</v>
      </c>
      <c r="X32">
        <v>32</v>
      </c>
      <c r="Y32">
        <v>31</v>
      </c>
      <c r="Z32">
        <v>1</v>
      </c>
      <c r="AA32" t="s">
        <v>198</v>
      </c>
    </row>
    <row r="33" spans="1:27" x14ac:dyDescent="0.3">
      <c r="A33" s="3">
        <v>31</v>
      </c>
      <c r="B33">
        <v>8193</v>
      </c>
      <c r="C33" t="s">
        <v>26</v>
      </c>
      <c r="D33" t="s">
        <v>27</v>
      </c>
      <c r="E33" t="s">
        <v>30</v>
      </c>
      <c r="F33" t="s">
        <v>77</v>
      </c>
      <c r="G33" s="1" t="str">
        <f>HYPERLINK("https://new.land.naver.com/complexes/8193", "클릭")</f>
        <v>클릭</v>
      </c>
      <c r="H33">
        <v>2000</v>
      </c>
      <c r="I33">
        <v>5</v>
      </c>
      <c r="J33">
        <v>535</v>
      </c>
      <c r="K33">
        <v>59</v>
      </c>
      <c r="L33" t="s">
        <v>135</v>
      </c>
      <c r="M33" t="s">
        <v>138</v>
      </c>
      <c r="N33" t="s">
        <v>261</v>
      </c>
      <c r="O33">
        <v>65000</v>
      </c>
      <c r="P33" t="s">
        <v>261</v>
      </c>
      <c r="Q33">
        <v>34000</v>
      </c>
      <c r="R33">
        <v>31000</v>
      </c>
      <c r="S33" s="2">
        <v>0.52307692307692311</v>
      </c>
      <c r="T33">
        <v>81800</v>
      </c>
      <c r="U33" s="2">
        <v>-0.2053789731051345</v>
      </c>
      <c r="X33">
        <v>19</v>
      </c>
      <c r="Y33">
        <v>31</v>
      </c>
      <c r="Z33">
        <v>-12</v>
      </c>
      <c r="AA33" t="s">
        <v>198</v>
      </c>
    </row>
    <row r="34" spans="1:27" x14ac:dyDescent="0.3">
      <c r="A34" s="3">
        <v>32</v>
      </c>
      <c r="B34">
        <v>1461</v>
      </c>
      <c r="C34" t="s">
        <v>26</v>
      </c>
      <c r="D34" t="s">
        <v>27</v>
      </c>
      <c r="E34" t="s">
        <v>29</v>
      </c>
      <c r="F34" t="s">
        <v>63</v>
      </c>
      <c r="G34" s="1" t="str">
        <f>HYPERLINK("https://new.land.naver.com/complexes/1461", "클릭")</f>
        <v>클릭</v>
      </c>
      <c r="H34">
        <v>1992</v>
      </c>
      <c r="I34">
        <v>11</v>
      </c>
      <c r="J34">
        <v>436</v>
      </c>
      <c r="K34">
        <v>59</v>
      </c>
      <c r="L34" t="s">
        <v>135</v>
      </c>
      <c r="M34" t="s">
        <v>138</v>
      </c>
      <c r="N34" t="s">
        <v>254</v>
      </c>
      <c r="O34">
        <v>65000</v>
      </c>
      <c r="P34" t="s">
        <v>254</v>
      </c>
      <c r="Q34">
        <v>37000</v>
      </c>
      <c r="R34">
        <v>28000</v>
      </c>
      <c r="S34" s="2">
        <v>0.56923076923076921</v>
      </c>
      <c r="T34">
        <v>72000</v>
      </c>
      <c r="U34" s="2">
        <v>-9.7222222222222224E-2</v>
      </c>
      <c r="V34">
        <v>38500</v>
      </c>
      <c r="W34" s="2">
        <v>1.688311688311688</v>
      </c>
      <c r="X34">
        <v>35</v>
      </c>
      <c r="Y34">
        <v>31</v>
      </c>
      <c r="Z34">
        <v>4</v>
      </c>
      <c r="AA34" t="s">
        <v>198</v>
      </c>
    </row>
    <row r="35" spans="1:27" x14ac:dyDescent="0.3">
      <c r="A35" s="3">
        <v>33</v>
      </c>
      <c r="B35">
        <v>123900</v>
      </c>
      <c r="C35" t="s">
        <v>26</v>
      </c>
      <c r="D35" t="s">
        <v>27</v>
      </c>
      <c r="E35" t="s">
        <v>28</v>
      </c>
      <c r="F35" t="s">
        <v>69</v>
      </c>
      <c r="G35" s="1" t="str">
        <f>HYPERLINK("https://new.land.naver.com/complexes/123900", "클릭")</f>
        <v>클릭</v>
      </c>
      <c r="H35">
        <v>2022</v>
      </c>
      <c r="I35">
        <v>5</v>
      </c>
      <c r="J35">
        <v>855</v>
      </c>
      <c r="K35">
        <v>59</v>
      </c>
      <c r="L35" t="s">
        <v>135</v>
      </c>
      <c r="M35" t="s">
        <v>137</v>
      </c>
      <c r="N35" t="s">
        <v>262</v>
      </c>
      <c r="O35">
        <v>65000</v>
      </c>
      <c r="P35" t="s">
        <v>281</v>
      </c>
      <c r="Q35">
        <v>39000</v>
      </c>
      <c r="R35">
        <v>26000</v>
      </c>
      <c r="S35" s="2">
        <v>0.6</v>
      </c>
      <c r="T35">
        <v>84760</v>
      </c>
      <c r="U35" s="2">
        <v>-0.23312883435582821</v>
      </c>
      <c r="V35">
        <v>38900</v>
      </c>
      <c r="W35" s="2">
        <v>1.670951156812339</v>
      </c>
      <c r="X35">
        <v>16</v>
      </c>
      <c r="Y35">
        <v>31</v>
      </c>
      <c r="Z35">
        <v>-15</v>
      </c>
      <c r="AA35" t="s">
        <v>198</v>
      </c>
    </row>
    <row r="36" spans="1:27" x14ac:dyDescent="0.3">
      <c r="A36" s="3">
        <v>34</v>
      </c>
      <c r="B36">
        <v>3015</v>
      </c>
      <c r="C36" t="s">
        <v>26</v>
      </c>
      <c r="D36" t="s">
        <v>27</v>
      </c>
      <c r="E36" t="s">
        <v>28</v>
      </c>
      <c r="F36" t="s">
        <v>216</v>
      </c>
      <c r="G36" s="1" t="str">
        <f>HYPERLINK("https://new.land.naver.com/complexes/3015", "클릭")</f>
        <v>클릭</v>
      </c>
      <c r="H36">
        <v>1992</v>
      </c>
      <c r="I36">
        <v>3</v>
      </c>
      <c r="J36">
        <v>994</v>
      </c>
      <c r="K36">
        <v>58</v>
      </c>
      <c r="L36" t="s">
        <v>136</v>
      </c>
      <c r="M36" t="s">
        <v>235</v>
      </c>
      <c r="N36" t="s">
        <v>250</v>
      </c>
      <c r="O36">
        <v>64000</v>
      </c>
      <c r="P36" t="s">
        <v>250</v>
      </c>
      <c r="Q36">
        <v>23000</v>
      </c>
      <c r="R36">
        <v>41000</v>
      </c>
      <c r="S36" s="2">
        <v>0.359375</v>
      </c>
      <c r="T36">
        <v>93700</v>
      </c>
      <c r="U36" s="2">
        <v>-0.31696905016008542</v>
      </c>
      <c r="V36">
        <v>42100</v>
      </c>
      <c r="W36" s="2">
        <v>1.5201900237529691</v>
      </c>
      <c r="X36">
        <v>8</v>
      </c>
      <c r="Y36">
        <v>35</v>
      </c>
      <c r="Z36">
        <v>-27</v>
      </c>
      <c r="AA36" t="s">
        <v>198</v>
      </c>
    </row>
    <row r="37" spans="1:27" x14ac:dyDescent="0.3">
      <c r="A37" s="3">
        <v>35</v>
      </c>
      <c r="B37">
        <v>1483</v>
      </c>
      <c r="C37" t="s">
        <v>26</v>
      </c>
      <c r="D37" t="s">
        <v>27</v>
      </c>
      <c r="E37" t="s">
        <v>30</v>
      </c>
      <c r="F37" t="s">
        <v>50</v>
      </c>
      <c r="G37" s="1" t="str">
        <f>HYPERLINK("https://new.land.naver.com/complexes/1483", "클릭")</f>
        <v>클릭</v>
      </c>
      <c r="H37">
        <v>1993</v>
      </c>
      <c r="I37">
        <v>11</v>
      </c>
      <c r="J37">
        <v>1035</v>
      </c>
      <c r="K37">
        <v>59</v>
      </c>
      <c r="L37" t="s">
        <v>136</v>
      </c>
      <c r="M37" t="s">
        <v>138</v>
      </c>
      <c r="N37" t="s">
        <v>263</v>
      </c>
      <c r="O37">
        <v>64000</v>
      </c>
      <c r="P37" t="s">
        <v>263</v>
      </c>
      <c r="Q37">
        <v>34000</v>
      </c>
      <c r="R37">
        <v>30000</v>
      </c>
      <c r="S37" s="2">
        <v>0.53125</v>
      </c>
      <c r="T37">
        <v>80000</v>
      </c>
      <c r="U37" s="2">
        <v>-0.2</v>
      </c>
      <c r="V37">
        <v>43900</v>
      </c>
      <c r="W37" s="2">
        <v>1.457858769931663</v>
      </c>
      <c r="X37">
        <v>21</v>
      </c>
      <c r="Y37">
        <v>35</v>
      </c>
      <c r="Z37">
        <v>-14</v>
      </c>
      <c r="AA37" t="s">
        <v>198</v>
      </c>
    </row>
    <row r="38" spans="1:27" x14ac:dyDescent="0.3">
      <c r="A38" s="3">
        <v>36</v>
      </c>
      <c r="B38">
        <v>1454</v>
      </c>
      <c r="C38" t="s">
        <v>26</v>
      </c>
      <c r="D38" t="s">
        <v>27</v>
      </c>
      <c r="E38" t="s">
        <v>31</v>
      </c>
      <c r="F38" t="s">
        <v>57</v>
      </c>
      <c r="G38" s="1" t="str">
        <f>HYPERLINK("https://new.land.naver.com/complexes/1454", "클릭")</f>
        <v>클릭</v>
      </c>
      <c r="H38">
        <v>1993</v>
      </c>
      <c r="I38">
        <v>4</v>
      </c>
      <c r="J38">
        <v>1482</v>
      </c>
      <c r="K38">
        <v>59</v>
      </c>
      <c r="L38" t="s">
        <v>136</v>
      </c>
      <c r="M38" t="s">
        <v>138</v>
      </c>
      <c r="N38" t="s">
        <v>247</v>
      </c>
      <c r="O38">
        <v>63000</v>
      </c>
      <c r="P38" t="s">
        <v>247</v>
      </c>
      <c r="Q38">
        <v>27500</v>
      </c>
      <c r="R38">
        <v>35500</v>
      </c>
      <c r="S38" s="2">
        <v>0.43650793650793651</v>
      </c>
      <c r="T38">
        <v>79500</v>
      </c>
      <c r="U38" s="2">
        <v>-0.20754716981132079</v>
      </c>
      <c r="V38">
        <v>37000</v>
      </c>
      <c r="W38" s="2">
        <v>1.7027027027027031</v>
      </c>
      <c r="X38">
        <v>23</v>
      </c>
      <c r="Y38">
        <v>37</v>
      </c>
      <c r="Z38">
        <v>-14</v>
      </c>
      <c r="AA38" t="s">
        <v>198</v>
      </c>
    </row>
    <row r="39" spans="1:27" x14ac:dyDescent="0.3">
      <c r="A39" s="3">
        <v>37</v>
      </c>
      <c r="B39">
        <v>1471</v>
      </c>
      <c r="C39" t="s">
        <v>26</v>
      </c>
      <c r="D39" t="s">
        <v>27</v>
      </c>
      <c r="E39" t="s">
        <v>28</v>
      </c>
      <c r="F39" t="s">
        <v>48</v>
      </c>
      <c r="G39" s="1" t="str">
        <f>HYPERLINK("https://new.land.naver.com/complexes/1471", "클릭")</f>
        <v>클릭</v>
      </c>
      <c r="H39">
        <v>1994</v>
      </c>
      <c r="I39">
        <v>8</v>
      </c>
      <c r="J39">
        <v>590</v>
      </c>
      <c r="K39">
        <v>59</v>
      </c>
      <c r="L39" t="s">
        <v>136</v>
      </c>
      <c r="M39" t="s">
        <v>138</v>
      </c>
      <c r="N39" t="s">
        <v>252</v>
      </c>
      <c r="O39">
        <v>63000</v>
      </c>
      <c r="P39" t="s">
        <v>252</v>
      </c>
      <c r="Q39">
        <v>35000</v>
      </c>
      <c r="R39">
        <v>28000</v>
      </c>
      <c r="S39" s="2">
        <v>0.55555555555555558</v>
      </c>
      <c r="T39">
        <v>75800</v>
      </c>
      <c r="U39" s="2">
        <v>-0.16886543535620049</v>
      </c>
      <c r="V39">
        <v>36000</v>
      </c>
      <c r="W39" s="2">
        <v>1.75</v>
      </c>
      <c r="X39">
        <v>30</v>
      </c>
      <c r="Y39">
        <v>37</v>
      </c>
      <c r="Z39">
        <v>-7</v>
      </c>
      <c r="AA39" t="s">
        <v>198</v>
      </c>
    </row>
    <row r="40" spans="1:27" x14ac:dyDescent="0.3">
      <c r="A40" s="3">
        <v>38</v>
      </c>
      <c r="B40">
        <v>126337</v>
      </c>
      <c r="C40" t="s">
        <v>26</v>
      </c>
      <c r="D40" t="s">
        <v>27</v>
      </c>
      <c r="E40" t="s">
        <v>31</v>
      </c>
      <c r="F40" t="s">
        <v>217</v>
      </c>
      <c r="G40" s="1" t="str">
        <f>HYPERLINK("https://new.land.naver.com/complexes/126337", "클릭")</f>
        <v>클릭</v>
      </c>
      <c r="H40">
        <v>2021</v>
      </c>
      <c r="I40">
        <v>11</v>
      </c>
      <c r="J40">
        <v>304</v>
      </c>
      <c r="K40">
        <v>59</v>
      </c>
      <c r="L40" t="s">
        <v>135</v>
      </c>
      <c r="M40" t="s">
        <v>137</v>
      </c>
      <c r="N40" t="s">
        <v>240</v>
      </c>
      <c r="O40">
        <v>63000</v>
      </c>
      <c r="P40" t="s">
        <v>240</v>
      </c>
      <c r="Q40">
        <v>38000</v>
      </c>
      <c r="R40">
        <v>25000</v>
      </c>
      <c r="S40" s="2">
        <v>0.60317460317460314</v>
      </c>
      <c r="T40">
        <v>53600</v>
      </c>
      <c r="U40" s="2">
        <v>0.17537313432835819</v>
      </c>
      <c r="X40">
        <v>55</v>
      </c>
      <c r="Y40">
        <v>37</v>
      </c>
      <c r="Z40">
        <v>18</v>
      </c>
      <c r="AA40" t="s">
        <v>198</v>
      </c>
    </row>
    <row r="41" spans="1:27" x14ac:dyDescent="0.3">
      <c r="A41" s="3">
        <v>39</v>
      </c>
      <c r="B41">
        <v>153038</v>
      </c>
      <c r="C41" t="s">
        <v>26</v>
      </c>
      <c r="D41" t="s">
        <v>27</v>
      </c>
      <c r="E41" t="s">
        <v>29</v>
      </c>
      <c r="F41" t="s">
        <v>218</v>
      </c>
      <c r="G41" s="1" t="str">
        <f>HYPERLINK("https://new.land.naver.com/complexes/153038", "클릭")</f>
        <v>클릭</v>
      </c>
      <c r="H41">
        <v>2022</v>
      </c>
      <c r="I41">
        <v>10</v>
      </c>
      <c r="J41">
        <v>15</v>
      </c>
      <c r="K41">
        <v>59</v>
      </c>
      <c r="L41" t="s">
        <v>135</v>
      </c>
      <c r="M41" t="s">
        <v>137</v>
      </c>
      <c r="N41" t="s">
        <v>264</v>
      </c>
      <c r="O41">
        <v>63000</v>
      </c>
      <c r="P41" t="s">
        <v>264</v>
      </c>
      <c r="Q41">
        <v>42000</v>
      </c>
      <c r="R41">
        <v>21000</v>
      </c>
      <c r="S41" s="2">
        <v>0.66666666666666663</v>
      </c>
      <c r="Y41">
        <v>37</v>
      </c>
      <c r="AA41" t="s">
        <v>198</v>
      </c>
    </row>
    <row r="42" spans="1:27" x14ac:dyDescent="0.3">
      <c r="A42" s="3">
        <v>40</v>
      </c>
      <c r="B42">
        <v>107639</v>
      </c>
      <c r="C42" t="s">
        <v>26</v>
      </c>
      <c r="D42" t="s">
        <v>27</v>
      </c>
      <c r="E42" t="s">
        <v>28</v>
      </c>
      <c r="F42" t="s">
        <v>70</v>
      </c>
      <c r="G42" s="1" t="str">
        <f>HYPERLINK("https://new.land.naver.com/complexes/107639", "클릭")</f>
        <v>클릭</v>
      </c>
      <c r="H42">
        <v>2015</v>
      </c>
      <c r="I42">
        <v>8</v>
      </c>
      <c r="J42">
        <v>410</v>
      </c>
      <c r="K42">
        <v>59</v>
      </c>
      <c r="L42" t="s">
        <v>135</v>
      </c>
      <c r="M42" t="s">
        <v>137</v>
      </c>
      <c r="N42" t="s">
        <v>265</v>
      </c>
      <c r="O42">
        <v>63000</v>
      </c>
      <c r="P42" t="s">
        <v>265</v>
      </c>
      <c r="Q42">
        <v>40000</v>
      </c>
      <c r="R42">
        <v>23000</v>
      </c>
      <c r="S42" s="2">
        <v>0.63492063492063489</v>
      </c>
      <c r="T42">
        <v>78000</v>
      </c>
      <c r="U42" s="2">
        <v>-0.19230769230769229</v>
      </c>
      <c r="V42">
        <v>36600</v>
      </c>
      <c r="W42" s="2">
        <v>1.721311475409836</v>
      </c>
      <c r="X42">
        <v>25</v>
      </c>
      <c r="Y42">
        <v>37</v>
      </c>
      <c r="Z42">
        <v>-12</v>
      </c>
      <c r="AA42" t="s">
        <v>198</v>
      </c>
    </row>
    <row r="43" spans="1:27" x14ac:dyDescent="0.3">
      <c r="A43" s="3">
        <v>41</v>
      </c>
      <c r="B43">
        <v>1462</v>
      </c>
      <c r="C43" t="s">
        <v>26</v>
      </c>
      <c r="D43" t="s">
        <v>27</v>
      </c>
      <c r="E43" t="s">
        <v>29</v>
      </c>
      <c r="F43" t="s">
        <v>219</v>
      </c>
      <c r="G43" s="1" t="str">
        <f>HYPERLINK("https://new.land.naver.com/complexes/1462", "클릭")</f>
        <v>클릭</v>
      </c>
      <c r="H43">
        <v>1993</v>
      </c>
      <c r="I43">
        <v>2</v>
      </c>
      <c r="J43">
        <v>750</v>
      </c>
      <c r="K43">
        <v>59</v>
      </c>
      <c r="L43" t="s">
        <v>135</v>
      </c>
      <c r="M43" t="s">
        <v>138</v>
      </c>
      <c r="N43" t="s">
        <v>254</v>
      </c>
      <c r="O43">
        <v>62000</v>
      </c>
      <c r="P43" t="s">
        <v>254</v>
      </c>
      <c r="Q43">
        <v>30000</v>
      </c>
      <c r="R43">
        <v>32000</v>
      </c>
      <c r="S43" s="2">
        <v>0.4838709677419355</v>
      </c>
      <c r="T43">
        <v>76000</v>
      </c>
      <c r="U43" s="2">
        <v>-0.18421052631578949</v>
      </c>
      <c r="V43">
        <v>36000</v>
      </c>
      <c r="W43" s="2">
        <v>1.7222222222222221</v>
      </c>
      <c r="X43">
        <v>27</v>
      </c>
      <c r="Y43">
        <v>42</v>
      </c>
      <c r="Z43">
        <v>-15</v>
      </c>
      <c r="AA43" t="s">
        <v>198</v>
      </c>
    </row>
    <row r="44" spans="1:27" x14ac:dyDescent="0.3">
      <c r="A44" s="3">
        <v>42</v>
      </c>
      <c r="B44">
        <v>1465</v>
      </c>
      <c r="C44" t="s">
        <v>26</v>
      </c>
      <c r="D44" t="s">
        <v>27</v>
      </c>
      <c r="E44" t="s">
        <v>29</v>
      </c>
      <c r="F44" t="s">
        <v>61</v>
      </c>
      <c r="G44" s="1" t="str">
        <f>HYPERLINK("https://new.land.naver.com/complexes/1465", "클릭")</f>
        <v>클릭</v>
      </c>
      <c r="H44">
        <v>1995</v>
      </c>
      <c r="I44">
        <v>1</v>
      </c>
      <c r="J44">
        <v>708</v>
      </c>
      <c r="K44">
        <v>59</v>
      </c>
      <c r="L44" t="s">
        <v>136</v>
      </c>
      <c r="M44" t="s">
        <v>138</v>
      </c>
      <c r="N44" t="s">
        <v>266</v>
      </c>
      <c r="O44">
        <v>62000</v>
      </c>
      <c r="P44" t="s">
        <v>266</v>
      </c>
      <c r="Q44">
        <v>35000</v>
      </c>
      <c r="R44">
        <v>27000</v>
      </c>
      <c r="S44" s="2">
        <v>0.56451612903225812</v>
      </c>
      <c r="T44">
        <v>68000</v>
      </c>
      <c r="U44" s="2">
        <v>-8.8235294117647065E-2</v>
      </c>
      <c r="V44">
        <v>38400</v>
      </c>
      <c r="W44" s="2">
        <v>1.614583333333333</v>
      </c>
      <c r="X44">
        <v>42</v>
      </c>
      <c r="Y44">
        <v>42</v>
      </c>
      <c r="Z44">
        <v>0</v>
      </c>
      <c r="AA44" t="s">
        <v>198</v>
      </c>
    </row>
    <row r="45" spans="1:27" x14ac:dyDescent="0.3">
      <c r="A45" s="3">
        <v>43</v>
      </c>
      <c r="B45">
        <v>152005</v>
      </c>
      <c r="C45" t="s">
        <v>26</v>
      </c>
      <c r="D45" t="s">
        <v>27</v>
      </c>
      <c r="E45" t="s">
        <v>28</v>
      </c>
      <c r="F45" t="s">
        <v>68</v>
      </c>
      <c r="G45" s="1" t="str">
        <f>HYPERLINK("https://new.land.naver.com/complexes/152005", "클릭")</f>
        <v>클릭</v>
      </c>
      <c r="H45">
        <v>2025</v>
      </c>
      <c r="I45">
        <v>6</v>
      </c>
      <c r="J45">
        <v>456</v>
      </c>
      <c r="K45">
        <v>59</v>
      </c>
      <c r="L45" t="s">
        <v>135</v>
      </c>
      <c r="M45" t="s">
        <v>137</v>
      </c>
      <c r="N45" t="s">
        <v>267</v>
      </c>
      <c r="O45">
        <v>61050</v>
      </c>
      <c r="P45" t="s">
        <v>267</v>
      </c>
      <c r="Q45">
        <v>40000</v>
      </c>
      <c r="R45">
        <v>21050</v>
      </c>
      <c r="S45" s="2">
        <v>0.65520065520065518</v>
      </c>
      <c r="Y45">
        <v>44</v>
      </c>
      <c r="AA45" t="s">
        <v>198</v>
      </c>
    </row>
    <row r="46" spans="1:27" x14ac:dyDescent="0.3">
      <c r="A46" s="3">
        <v>44</v>
      </c>
      <c r="B46">
        <v>25725</v>
      </c>
      <c r="C46" t="s">
        <v>26</v>
      </c>
      <c r="D46" t="s">
        <v>27</v>
      </c>
      <c r="E46" t="s">
        <v>31</v>
      </c>
      <c r="F46" t="s">
        <v>74</v>
      </c>
      <c r="G46" s="1" t="str">
        <f>HYPERLINK("https://new.land.naver.com/complexes/25725", "클릭")</f>
        <v>클릭</v>
      </c>
      <c r="H46">
        <v>2009</v>
      </c>
      <c r="I46">
        <v>11</v>
      </c>
      <c r="J46">
        <v>774</v>
      </c>
      <c r="K46">
        <v>59</v>
      </c>
      <c r="L46" t="s">
        <v>135</v>
      </c>
      <c r="M46" t="s">
        <v>137</v>
      </c>
      <c r="N46" t="s">
        <v>266</v>
      </c>
      <c r="O46">
        <v>61000</v>
      </c>
      <c r="P46" t="s">
        <v>266</v>
      </c>
      <c r="Q46">
        <v>37000</v>
      </c>
      <c r="R46">
        <v>24000</v>
      </c>
      <c r="S46" s="2">
        <v>0.60655737704918034</v>
      </c>
      <c r="T46">
        <v>75000</v>
      </c>
      <c r="U46" s="2">
        <v>-0.1866666666666667</v>
      </c>
      <c r="V46">
        <v>37900</v>
      </c>
      <c r="W46" s="2">
        <v>1.6094986807387861</v>
      </c>
      <c r="X46">
        <v>31</v>
      </c>
      <c r="Y46">
        <v>45</v>
      </c>
      <c r="Z46">
        <v>-14</v>
      </c>
      <c r="AA46" t="s">
        <v>198</v>
      </c>
    </row>
    <row r="47" spans="1:27" x14ac:dyDescent="0.3">
      <c r="A47" s="3">
        <v>45</v>
      </c>
      <c r="B47">
        <v>1992</v>
      </c>
      <c r="C47" t="s">
        <v>26</v>
      </c>
      <c r="D47" t="s">
        <v>27</v>
      </c>
      <c r="E47" t="s">
        <v>31</v>
      </c>
      <c r="F47" t="s">
        <v>220</v>
      </c>
      <c r="G47" s="1" t="str">
        <f>HYPERLINK("https://new.land.naver.com/complexes/1992", "클릭")</f>
        <v>클릭</v>
      </c>
      <c r="H47">
        <v>1993</v>
      </c>
      <c r="I47">
        <v>11</v>
      </c>
      <c r="J47">
        <v>3227</v>
      </c>
      <c r="K47">
        <v>57</v>
      </c>
      <c r="L47" t="s">
        <v>135</v>
      </c>
      <c r="M47" t="s">
        <v>138</v>
      </c>
      <c r="N47" t="s">
        <v>268</v>
      </c>
      <c r="O47">
        <v>60000</v>
      </c>
      <c r="P47" t="s">
        <v>268</v>
      </c>
      <c r="Q47">
        <v>30000</v>
      </c>
      <c r="R47">
        <v>30000</v>
      </c>
      <c r="S47" s="2">
        <v>0.5</v>
      </c>
      <c r="T47">
        <v>50000</v>
      </c>
      <c r="U47" s="2">
        <v>0.2</v>
      </c>
      <c r="V47">
        <v>36900</v>
      </c>
      <c r="W47" s="2">
        <v>1.626016260162602</v>
      </c>
      <c r="X47">
        <v>59</v>
      </c>
      <c r="Y47">
        <v>46</v>
      </c>
      <c r="Z47">
        <v>13</v>
      </c>
      <c r="AA47" t="s">
        <v>198</v>
      </c>
    </row>
    <row r="48" spans="1:27" x14ac:dyDescent="0.3">
      <c r="A48" s="3">
        <v>46</v>
      </c>
      <c r="B48">
        <v>115703</v>
      </c>
      <c r="C48" t="s">
        <v>26</v>
      </c>
      <c r="D48" t="s">
        <v>27</v>
      </c>
      <c r="E48" t="s">
        <v>28</v>
      </c>
      <c r="F48" t="s">
        <v>221</v>
      </c>
      <c r="G48" s="1" t="str">
        <f>HYPERLINK("https://new.land.naver.com/complexes/115703", "클릭")</f>
        <v>클릭</v>
      </c>
      <c r="H48">
        <v>2019</v>
      </c>
      <c r="I48">
        <v>4</v>
      </c>
      <c r="J48">
        <v>203</v>
      </c>
      <c r="K48">
        <v>59</v>
      </c>
      <c r="L48" t="s">
        <v>135</v>
      </c>
      <c r="M48" t="s">
        <v>137</v>
      </c>
      <c r="N48" t="s">
        <v>253</v>
      </c>
      <c r="O48">
        <v>60000</v>
      </c>
      <c r="P48" t="s">
        <v>282</v>
      </c>
      <c r="Q48">
        <v>42000</v>
      </c>
      <c r="R48">
        <v>18000</v>
      </c>
      <c r="S48" s="2">
        <v>0.7</v>
      </c>
      <c r="T48">
        <v>70000</v>
      </c>
      <c r="U48" s="2">
        <v>-0.14285714285714279</v>
      </c>
      <c r="V48">
        <v>39300</v>
      </c>
      <c r="W48" s="2">
        <v>1.5267175572519081</v>
      </c>
      <c r="X48">
        <v>38</v>
      </c>
      <c r="Y48">
        <v>46</v>
      </c>
      <c r="Z48">
        <v>-8</v>
      </c>
      <c r="AA48" t="s">
        <v>198</v>
      </c>
    </row>
    <row r="49" spans="1:27" x14ac:dyDescent="0.3">
      <c r="A49" s="3">
        <v>47</v>
      </c>
      <c r="B49">
        <v>3079</v>
      </c>
      <c r="C49" t="s">
        <v>26</v>
      </c>
      <c r="D49" t="s">
        <v>27</v>
      </c>
      <c r="E49" t="s">
        <v>31</v>
      </c>
      <c r="F49" t="s">
        <v>81</v>
      </c>
      <c r="G49" s="1" t="str">
        <f>HYPERLINK("https://new.land.naver.com/complexes/3079", "클릭")</f>
        <v>클릭</v>
      </c>
      <c r="H49">
        <v>2003</v>
      </c>
      <c r="I49">
        <v>12</v>
      </c>
      <c r="J49">
        <v>3806</v>
      </c>
      <c r="K49">
        <v>59</v>
      </c>
      <c r="L49" t="s">
        <v>135</v>
      </c>
      <c r="M49" t="s">
        <v>137</v>
      </c>
      <c r="N49" t="s">
        <v>269</v>
      </c>
      <c r="O49">
        <v>60000</v>
      </c>
      <c r="P49" t="s">
        <v>283</v>
      </c>
      <c r="Q49">
        <v>35000</v>
      </c>
      <c r="R49">
        <v>25000</v>
      </c>
      <c r="S49" s="2">
        <v>0.58333333333333337</v>
      </c>
      <c r="T49">
        <v>76000</v>
      </c>
      <c r="U49" s="2">
        <v>-0.2105263157894737</v>
      </c>
      <c r="V49">
        <v>37500</v>
      </c>
      <c r="W49" s="2">
        <v>1.6</v>
      </c>
      <c r="X49">
        <v>27</v>
      </c>
      <c r="Y49">
        <v>46</v>
      </c>
      <c r="Z49">
        <v>-19</v>
      </c>
      <c r="AA49" t="s">
        <v>198</v>
      </c>
    </row>
    <row r="50" spans="1:27" x14ac:dyDescent="0.3">
      <c r="A50" s="3">
        <v>48</v>
      </c>
      <c r="B50">
        <v>8481</v>
      </c>
      <c r="C50" t="s">
        <v>26</v>
      </c>
      <c r="D50" t="s">
        <v>27</v>
      </c>
      <c r="E50" t="s">
        <v>30</v>
      </c>
      <c r="F50" t="s">
        <v>64</v>
      </c>
      <c r="G50" s="1" t="str">
        <f>HYPERLINK("https://new.land.naver.com/complexes/8481", "클릭")</f>
        <v>클릭</v>
      </c>
      <c r="H50">
        <v>1993</v>
      </c>
      <c r="I50">
        <v>11</v>
      </c>
      <c r="J50">
        <v>870</v>
      </c>
      <c r="K50">
        <v>59</v>
      </c>
      <c r="L50" t="s">
        <v>136</v>
      </c>
      <c r="M50" t="s">
        <v>138</v>
      </c>
      <c r="N50" t="s">
        <v>250</v>
      </c>
      <c r="O50">
        <v>58000</v>
      </c>
      <c r="P50" t="s">
        <v>250</v>
      </c>
      <c r="Q50">
        <v>27000</v>
      </c>
      <c r="R50">
        <v>31000</v>
      </c>
      <c r="S50" s="2">
        <v>0.46551724137931028</v>
      </c>
      <c r="T50">
        <v>78000</v>
      </c>
      <c r="U50" s="2">
        <v>-0.25641025641025639</v>
      </c>
      <c r="V50">
        <v>38000</v>
      </c>
      <c r="W50" s="2">
        <v>1.5263157894736841</v>
      </c>
      <c r="X50">
        <v>25</v>
      </c>
      <c r="Y50">
        <v>49</v>
      </c>
      <c r="Z50">
        <v>-24</v>
      </c>
      <c r="AA50" t="s">
        <v>198</v>
      </c>
    </row>
    <row r="51" spans="1:27" x14ac:dyDescent="0.3">
      <c r="A51" s="3">
        <v>49</v>
      </c>
      <c r="B51">
        <v>1993</v>
      </c>
      <c r="C51" t="s">
        <v>26</v>
      </c>
      <c r="D51" t="s">
        <v>27</v>
      </c>
      <c r="E51" t="s">
        <v>31</v>
      </c>
      <c r="F51" t="s">
        <v>76</v>
      </c>
      <c r="G51" s="1" t="str">
        <f>HYPERLINK("https://new.land.naver.com/complexes/1993", "클릭")</f>
        <v>클릭</v>
      </c>
      <c r="H51">
        <v>1993</v>
      </c>
      <c r="I51">
        <v>10</v>
      </c>
      <c r="J51">
        <v>796</v>
      </c>
      <c r="K51">
        <v>59</v>
      </c>
      <c r="L51" t="s">
        <v>136</v>
      </c>
      <c r="M51" t="s">
        <v>138</v>
      </c>
      <c r="N51" t="s">
        <v>270</v>
      </c>
      <c r="O51">
        <v>58000</v>
      </c>
      <c r="P51" t="s">
        <v>270</v>
      </c>
      <c r="Q51">
        <v>31000</v>
      </c>
      <c r="R51">
        <v>27000</v>
      </c>
      <c r="S51" s="2">
        <v>0.53448275862068961</v>
      </c>
      <c r="T51">
        <v>65300</v>
      </c>
      <c r="U51" s="2">
        <v>-0.111791730474732</v>
      </c>
      <c r="V51">
        <v>32500</v>
      </c>
      <c r="W51" s="2">
        <v>1.7846153846153849</v>
      </c>
      <c r="X51">
        <v>47</v>
      </c>
      <c r="Y51">
        <v>49</v>
      </c>
      <c r="Z51">
        <v>-2</v>
      </c>
      <c r="AA51" t="s">
        <v>198</v>
      </c>
    </row>
    <row r="52" spans="1:27" x14ac:dyDescent="0.3">
      <c r="A52" s="3">
        <v>50</v>
      </c>
      <c r="B52">
        <v>1464</v>
      </c>
      <c r="C52" t="s">
        <v>26</v>
      </c>
      <c r="D52" t="s">
        <v>27</v>
      </c>
      <c r="E52" t="s">
        <v>29</v>
      </c>
      <c r="F52" t="s">
        <v>222</v>
      </c>
      <c r="G52" s="1" t="str">
        <f>HYPERLINK("https://new.land.naver.com/complexes/1464", "클릭")</f>
        <v>클릭</v>
      </c>
      <c r="H52">
        <v>1992</v>
      </c>
      <c r="I52">
        <v>7</v>
      </c>
      <c r="J52">
        <v>1068</v>
      </c>
      <c r="K52">
        <v>59</v>
      </c>
      <c r="L52" t="s">
        <v>136</v>
      </c>
      <c r="M52" t="s">
        <v>138</v>
      </c>
      <c r="N52" t="s">
        <v>271</v>
      </c>
      <c r="O52">
        <v>57000</v>
      </c>
      <c r="P52" t="s">
        <v>271</v>
      </c>
      <c r="Q52">
        <v>29000</v>
      </c>
      <c r="R52">
        <v>28000</v>
      </c>
      <c r="S52" s="2">
        <v>0.50877192982456143</v>
      </c>
      <c r="T52">
        <v>71300</v>
      </c>
      <c r="U52" s="2">
        <v>-0.2005610098176718</v>
      </c>
      <c r="X52">
        <v>36</v>
      </c>
      <c r="Y52">
        <v>51</v>
      </c>
      <c r="Z52">
        <v>-15</v>
      </c>
      <c r="AA52" t="s">
        <v>198</v>
      </c>
    </row>
    <row r="53" spans="1:27" x14ac:dyDescent="0.3">
      <c r="A53" s="3">
        <v>51</v>
      </c>
      <c r="B53">
        <v>13571</v>
      </c>
      <c r="C53" t="s">
        <v>26</v>
      </c>
      <c r="D53" t="s">
        <v>27</v>
      </c>
      <c r="E53" t="s">
        <v>31</v>
      </c>
      <c r="F53" t="s">
        <v>223</v>
      </c>
      <c r="G53" s="1" t="str">
        <f>HYPERLINK("https://new.land.naver.com/complexes/13571", "클릭")</f>
        <v>클릭</v>
      </c>
      <c r="H53">
        <v>2005</v>
      </c>
      <c r="I53">
        <v>11</v>
      </c>
      <c r="J53">
        <v>551</v>
      </c>
      <c r="K53">
        <v>59</v>
      </c>
      <c r="L53" t="s">
        <v>135</v>
      </c>
      <c r="M53" t="s">
        <v>137</v>
      </c>
      <c r="N53" t="s">
        <v>272</v>
      </c>
      <c r="O53">
        <v>56000</v>
      </c>
      <c r="P53" t="s">
        <v>272</v>
      </c>
      <c r="Q53">
        <v>33000</v>
      </c>
      <c r="R53">
        <v>23000</v>
      </c>
      <c r="S53" s="2">
        <v>0.5892857142857143</v>
      </c>
      <c r="T53">
        <v>68000</v>
      </c>
      <c r="U53" s="2">
        <v>-0.1764705882352941</v>
      </c>
      <c r="V53">
        <v>32500</v>
      </c>
      <c r="W53" s="2">
        <v>1.723076923076923</v>
      </c>
      <c r="X53">
        <v>42</v>
      </c>
      <c r="Y53">
        <v>52</v>
      </c>
      <c r="Z53">
        <v>-10</v>
      </c>
      <c r="AA53" t="s">
        <v>198</v>
      </c>
    </row>
    <row r="54" spans="1:27" x14ac:dyDescent="0.3">
      <c r="A54" s="3">
        <v>52</v>
      </c>
      <c r="B54">
        <v>1474</v>
      </c>
      <c r="C54" t="s">
        <v>26</v>
      </c>
      <c r="D54" t="s">
        <v>27</v>
      </c>
      <c r="E54" t="s">
        <v>28</v>
      </c>
      <c r="F54" t="s">
        <v>79</v>
      </c>
      <c r="G54" s="1" t="str">
        <f>HYPERLINK("https://new.land.naver.com/complexes/1474", "클릭")</f>
        <v>클릭</v>
      </c>
      <c r="H54">
        <v>1992</v>
      </c>
      <c r="I54">
        <v>9</v>
      </c>
      <c r="J54">
        <v>458</v>
      </c>
      <c r="K54">
        <v>59</v>
      </c>
      <c r="L54" t="s">
        <v>136</v>
      </c>
      <c r="M54" t="s">
        <v>138</v>
      </c>
      <c r="N54" t="s">
        <v>267</v>
      </c>
      <c r="O54">
        <v>55000</v>
      </c>
      <c r="P54" t="s">
        <v>267</v>
      </c>
      <c r="Q54">
        <v>34000</v>
      </c>
      <c r="R54">
        <v>21000</v>
      </c>
      <c r="S54" s="2">
        <v>0.61818181818181817</v>
      </c>
      <c r="T54">
        <v>70700</v>
      </c>
      <c r="U54" s="2">
        <v>-0.2220650636492221</v>
      </c>
      <c r="V54">
        <v>32000</v>
      </c>
      <c r="W54" s="2">
        <v>1.71875</v>
      </c>
      <c r="X54">
        <v>37</v>
      </c>
      <c r="Y54">
        <v>53</v>
      </c>
      <c r="Z54">
        <v>-16</v>
      </c>
      <c r="AA54" t="s">
        <v>198</v>
      </c>
    </row>
    <row r="55" spans="1:27" x14ac:dyDescent="0.3">
      <c r="A55" s="3">
        <v>53</v>
      </c>
      <c r="B55">
        <v>13777</v>
      </c>
      <c r="C55" t="s">
        <v>26</v>
      </c>
      <c r="D55" t="s">
        <v>27</v>
      </c>
      <c r="E55" t="s">
        <v>31</v>
      </c>
      <c r="F55" t="s">
        <v>101</v>
      </c>
      <c r="G55" s="1" t="str">
        <f>HYPERLINK("https://new.land.naver.com/complexes/13777", "클릭")</f>
        <v>클릭</v>
      </c>
      <c r="H55">
        <v>2005</v>
      </c>
      <c r="I55">
        <v>8</v>
      </c>
      <c r="J55">
        <v>131</v>
      </c>
      <c r="K55">
        <v>58</v>
      </c>
      <c r="N55" t="s">
        <v>250</v>
      </c>
      <c r="O55">
        <v>55000</v>
      </c>
      <c r="P55" t="s">
        <v>250</v>
      </c>
      <c r="Q55">
        <v>24000</v>
      </c>
      <c r="R55">
        <v>31000</v>
      </c>
      <c r="S55" s="2">
        <v>0.43636363636363629</v>
      </c>
      <c r="T55">
        <v>55200</v>
      </c>
      <c r="U55" s="2">
        <v>-3.6231884057971011E-3</v>
      </c>
      <c r="X55">
        <v>54</v>
      </c>
      <c r="Y55">
        <v>53</v>
      </c>
      <c r="Z55">
        <v>1</v>
      </c>
      <c r="AA55" t="s">
        <v>289</v>
      </c>
    </row>
    <row r="56" spans="1:27" x14ac:dyDescent="0.3">
      <c r="A56" s="3">
        <v>54</v>
      </c>
      <c r="B56">
        <v>106572</v>
      </c>
      <c r="C56" t="s">
        <v>26</v>
      </c>
      <c r="D56" t="s">
        <v>27</v>
      </c>
      <c r="E56" t="s">
        <v>29</v>
      </c>
      <c r="F56" t="s">
        <v>224</v>
      </c>
      <c r="G56" s="1" t="str">
        <f>HYPERLINK("https://new.land.naver.com/complexes/106572", "클릭")</f>
        <v>클릭</v>
      </c>
      <c r="H56">
        <v>1989</v>
      </c>
      <c r="I56">
        <v>12</v>
      </c>
      <c r="J56">
        <v>24</v>
      </c>
      <c r="K56">
        <v>58</v>
      </c>
      <c r="L56" t="s">
        <v>135</v>
      </c>
      <c r="M56" t="s">
        <v>137</v>
      </c>
      <c r="N56" t="s">
        <v>263</v>
      </c>
      <c r="O56">
        <v>55000</v>
      </c>
      <c r="P56" t="s">
        <v>263</v>
      </c>
      <c r="Q56">
        <v>20000</v>
      </c>
      <c r="R56">
        <v>35000</v>
      </c>
      <c r="S56" s="2">
        <v>0.36363636363636359</v>
      </c>
      <c r="Y56">
        <v>53</v>
      </c>
      <c r="AA56" t="s">
        <v>198</v>
      </c>
    </row>
    <row r="57" spans="1:27" x14ac:dyDescent="0.3">
      <c r="A57" s="3">
        <v>55</v>
      </c>
      <c r="B57">
        <v>19492</v>
      </c>
      <c r="C57" t="s">
        <v>26</v>
      </c>
      <c r="D57" t="s">
        <v>27</v>
      </c>
      <c r="E57" t="s">
        <v>28</v>
      </c>
      <c r="F57" t="s">
        <v>65</v>
      </c>
      <c r="G57" s="1" t="str">
        <f>HYPERLINK("https://new.land.naver.com/complexes/19492", "클릭")</f>
        <v>클릭</v>
      </c>
      <c r="H57">
        <v>1992</v>
      </c>
      <c r="I57">
        <v>12</v>
      </c>
      <c r="J57">
        <v>800</v>
      </c>
      <c r="K57">
        <v>59</v>
      </c>
      <c r="L57" t="s">
        <v>135</v>
      </c>
      <c r="M57" t="s">
        <v>138</v>
      </c>
      <c r="N57" t="s">
        <v>269</v>
      </c>
      <c r="O57">
        <v>54000</v>
      </c>
      <c r="P57" t="s">
        <v>269</v>
      </c>
      <c r="Q57">
        <v>32000</v>
      </c>
      <c r="R57">
        <v>22000</v>
      </c>
      <c r="S57" s="2">
        <v>0.59259259259259256</v>
      </c>
      <c r="T57">
        <v>69300</v>
      </c>
      <c r="U57" s="2">
        <v>-0.2207792207792208</v>
      </c>
      <c r="V57">
        <v>35300</v>
      </c>
      <c r="W57" s="2">
        <v>1.529745042492918</v>
      </c>
      <c r="X57">
        <v>40</v>
      </c>
      <c r="Y57">
        <v>56</v>
      </c>
      <c r="Z57">
        <v>-16</v>
      </c>
      <c r="AA57" t="s">
        <v>198</v>
      </c>
    </row>
    <row r="58" spans="1:27" x14ac:dyDescent="0.3">
      <c r="A58" s="3">
        <v>56</v>
      </c>
      <c r="B58">
        <v>3076</v>
      </c>
      <c r="C58" t="s">
        <v>26</v>
      </c>
      <c r="D58" t="s">
        <v>27</v>
      </c>
      <c r="E58" t="s">
        <v>31</v>
      </c>
      <c r="F58" t="s">
        <v>80</v>
      </c>
      <c r="G58" s="1" t="str">
        <f>HYPERLINK("https://new.land.naver.com/complexes/3076", "클릭")</f>
        <v>클릭</v>
      </c>
      <c r="H58">
        <v>1992</v>
      </c>
      <c r="I58">
        <v>11</v>
      </c>
      <c r="J58">
        <v>1800</v>
      </c>
      <c r="K58">
        <v>59</v>
      </c>
      <c r="L58" t="s">
        <v>136</v>
      </c>
      <c r="M58" t="s">
        <v>138</v>
      </c>
      <c r="N58" t="s">
        <v>254</v>
      </c>
      <c r="O58">
        <v>52000</v>
      </c>
      <c r="P58" t="s">
        <v>254</v>
      </c>
      <c r="Q58">
        <v>31000</v>
      </c>
      <c r="R58">
        <v>21000</v>
      </c>
      <c r="S58" s="2">
        <v>0.59615384615384615</v>
      </c>
      <c r="T58">
        <v>73000</v>
      </c>
      <c r="U58" s="2">
        <v>-0.28767123287671231</v>
      </c>
      <c r="V58">
        <v>33800</v>
      </c>
      <c r="W58" s="2">
        <v>1.538461538461539</v>
      </c>
      <c r="X58">
        <v>33</v>
      </c>
      <c r="Y58">
        <v>57</v>
      </c>
      <c r="Z58">
        <v>-24</v>
      </c>
      <c r="AA58" t="s">
        <v>198</v>
      </c>
    </row>
    <row r="59" spans="1:27" x14ac:dyDescent="0.3">
      <c r="A59" s="3">
        <v>57</v>
      </c>
      <c r="B59">
        <v>8036</v>
      </c>
      <c r="C59" t="s">
        <v>26</v>
      </c>
      <c r="D59" t="s">
        <v>27</v>
      </c>
      <c r="E59" t="s">
        <v>28</v>
      </c>
      <c r="F59" t="s">
        <v>91</v>
      </c>
      <c r="G59" s="1" t="str">
        <f>HYPERLINK("https://new.land.naver.com/complexes/8036", "클릭")</f>
        <v>클릭</v>
      </c>
      <c r="H59">
        <v>2003</v>
      </c>
      <c r="I59">
        <v>12</v>
      </c>
      <c r="J59">
        <v>1752</v>
      </c>
      <c r="K59">
        <v>59</v>
      </c>
      <c r="L59" t="s">
        <v>135</v>
      </c>
      <c r="M59" t="s">
        <v>137</v>
      </c>
      <c r="N59" t="s">
        <v>240</v>
      </c>
      <c r="O59">
        <v>51000</v>
      </c>
      <c r="P59" t="s">
        <v>240</v>
      </c>
      <c r="Q59">
        <v>33000</v>
      </c>
      <c r="R59">
        <v>18000</v>
      </c>
      <c r="S59" s="2">
        <v>0.6470588235294118</v>
      </c>
      <c r="T59">
        <v>70000</v>
      </c>
      <c r="U59" s="2">
        <v>-0.27142857142857141</v>
      </c>
      <c r="V59">
        <v>31800</v>
      </c>
      <c r="W59" s="2">
        <v>1.60377358490566</v>
      </c>
      <c r="X59">
        <v>38</v>
      </c>
      <c r="Y59">
        <v>58</v>
      </c>
      <c r="Z59">
        <v>-20</v>
      </c>
      <c r="AA59" t="s">
        <v>198</v>
      </c>
    </row>
    <row r="60" spans="1:27" x14ac:dyDescent="0.3">
      <c r="A60" s="3">
        <v>58</v>
      </c>
      <c r="B60">
        <v>3082</v>
      </c>
      <c r="C60" t="s">
        <v>26</v>
      </c>
      <c r="D60" t="s">
        <v>27</v>
      </c>
      <c r="E60" t="s">
        <v>28</v>
      </c>
      <c r="F60" t="s">
        <v>90</v>
      </c>
      <c r="G60" s="1" t="str">
        <f>HYPERLINK("https://new.land.naver.com/complexes/3082", "클릭")</f>
        <v>클릭</v>
      </c>
      <c r="H60">
        <v>2003</v>
      </c>
      <c r="I60">
        <v>11</v>
      </c>
      <c r="J60">
        <v>1977</v>
      </c>
      <c r="K60">
        <v>59</v>
      </c>
      <c r="L60" t="s">
        <v>135</v>
      </c>
      <c r="M60" t="s">
        <v>137</v>
      </c>
      <c r="N60" t="s">
        <v>267</v>
      </c>
      <c r="O60">
        <v>51000</v>
      </c>
      <c r="P60" t="s">
        <v>267</v>
      </c>
      <c r="Q60">
        <v>34000</v>
      </c>
      <c r="R60">
        <v>17000</v>
      </c>
      <c r="S60" s="2">
        <v>0.66666666666666663</v>
      </c>
      <c r="T60">
        <v>67500</v>
      </c>
      <c r="U60" s="2">
        <v>-0.24444444444444441</v>
      </c>
      <c r="V60">
        <v>31100</v>
      </c>
      <c r="W60" s="2">
        <v>1.639871382636656</v>
      </c>
      <c r="X60">
        <v>44</v>
      </c>
      <c r="Y60">
        <v>58</v>
      </c>
      <c r="Z60">
        <v>-14</v>
      </c>
      <c r="AA60" t="s">
        <v>198</v>
      </c>
    </row>
    <row r="61" spans="1:27" x14ac:dyDescent="0.3">
      <c r="A61" s="3">
        <v>59</v>
      </c>
      <c r="B61">
        <v>13922</v>
      </c>
      <c r="C61" t="s">
        <v>26</v>
      </c>
      <c r="D61" t="s">
        <v>27</v>
      </c>
      <c r="E61" t="s">
        <v>31</v>
      </c>
      <c r="F61" t="s">
        <v>51</v>
      </c>
      <c r="G61" s="1" t="str">
        <f>HYPERLINK("https://new.land.naver.com/complexes/13922", "클릭")</f>
        <v>클릭</v>
      </c>
      <c r="H61">
        <v>1981</v>
      </c>
      <c r="I61">
        <v>9</v>
      </c>
      <c r="J61">
        <v>912</v>
      </c>
      <c r="K61">
        <v>57</v>
      </c>
      <c r="M61" t="s">
        <v>235</v>
      </c>
      <c r="N61" t="s">
        <v>273</v>
      </c>
      <c r="O61">
        <v>50000</v>
      </c>
      <c r="T61">
        <v>96000</v>
      </c>
      <c r="U61" s="2">
        <v>-0.47916666666666669</v>
      </c>
      <c r="X61">
        <v>4</v>
      </c>
      <c r="Y61">
        <v>60</v>
      </c>
      <c r="Z61">
        <v>-56</v>
      </c>
      <c r="AA61" t="s">
        <v>290</v>
      </c>
    </row>
    <row r="62" spans="1:27" x14ac:dyDescent="0.3">
      <c r="A62" s="3">
        <v>60</v>
      </c>
      <c r="B62">
        <v>22957</v>
      </c>
      <c r="C62" t="s">
        <v>26</v>
      </c>
      <c r="D62" t="s">
        <v>27</v>
      </c>
      <c r="E62" t="s">
        <v>31</v>
      </c>
      <c r="F62" t="s">
        <v>84</v>
      </c>
      <c r="G62" s="1" t="str">
        <f>HYPERLINK("https://new.land.naver.com/complexes/22957", "클릭")</f>
        <v>클릭</v>
      </c>
      <c r="H62">
        <v>2007</v>
      </c>
      <c r="I62">
        <v>7</v>
      </c>
      <c r="J62">
        <v>492</v>
      </c>
      <c r="K62">
        <v>59</v>
      </c>
      <c r="L62" t="s">
        <v>135</v>
      </c>
      <c r="M62" t="s">
        <v>137</v>
      </c>
      <c r="N62" t="s">
        <v>239</v>
      </c>
      <c r="O62">
        <v>50000</v>
      </c>
      <c r="P62" t="s">
        <v>252</v>
      </c>
      <c r="Q62">
        <v>37000</v>
      </c>
      <c r="R62">
        <v>13000</v>
      </c>
      <c r="S62" s="2">
        <v>0.74</v>
      </c>
      <c r="T62">
        <v>69000</v>
      </c>
      <c r="U62" s="2">
        <v>-0.27536231884057971</v>
      </c>
      <c r="V62">
        <v>32600</v>
      </c>
      <c r="W62" s="2">
        <v>1.533742331288344</v>
      </c>
      <c r="X62">
        <v>41</v>
      </c>
      <c r="Y62">
        <v>60</v>
      </c>
      <c r="Z62">
        <v>-19</v>
      </c>
      <c r="AA62" t="s">
        <v>198</v>
      </c>
    </row>
    <row r="63" spans="1:27" x14ac:dyDescent="0.3">
      <c r="A63" s="3">
        <v>61</v>
      </c>
      <c r="B63">
        <v>2042</v>
      </c>
      <c r="C63" t="s">
        <v>26</v>
      </c>
      <c r="D63" t="s">
        <v>27</v>
      </c>
      <c r="E63" t="s">
        <v>28</v>
      </c>
      <c r="F63" t="s">
        <v>88</v>
      </c>
      <c r="G63" s="1" t="str">
        <f>HYPERLINK("https://new.land.naver.com/complexes/2042", "클릭")</f>
        <v>클릭</v>
      </c>
      <c r="H63">
        <v>1999</v>
      </c>
      <c r="I63">
        <v>7</v>
      </c>
      <c r="J63">
        <v>644</v>
      </c>
      <c r="K63">
        <v>59</v>
      </c>
      <c r="L63" t="s">
        <v>135</v>
      </c>
      <c r="M63" t="s">
        <v>138</v>
      </c>
      <c r="N63" t="s">
        <v>271</v>
      </c>
      <c r="O63">
        <v>50000</v>
      </c>
      <c r="P63" t="s">
        <v>271</v>
      </c>
      <c r="Q63">
        <v>31500</v>
      </c>
      <c r="R63">
        <v>18500</v>
      </c>
      <c r="S63" s="2">
        <v>0.63</v>
      </c>
      <c r="T63">
        <v>67000</v>
      </c>
      <c r="U63" s="2">
        <v>-0.2537313432835821</v>
      </c>
      <c r="V63">
        <v>32800</v>
      </c>
      <c r="W63" s="2">
        <v>1.524390243902439</v>
      </c>
      <c r="X63">
        <v>45</v>
      </c>
      <c r="Y63">
        <v>60</v>
      </c>
      <c r="Z63">
        <v>-15</v>
      </c>
      <c r="AA63" t="s">
        <v>198</v>
      </c>
    </row>
    <row r="64" spans="1:27" x14ac:dyDescent="0.3">
      <c r="A64" s="3">
        <v>62</v>
      </c>
      <c r="B64">
        <v>105053</v>
      </c>
      <c r="C64" t="s">
        <v>26</v>
      </c>
      <c r="D64" t="s">
        <v>27</v>
      </c>
      <c r="E64" t="s">
        <v>29</v>
      </c>
      <c r="F64" t="s">
        <v>225</v>
      </c>
      <c r="G64" s="1" t="str">
        <f>HYPERLINK("https://new.land.naver.com/complexes/105053", "클릭")</f>
        <v>클릭</v>
      </c>
      <c r="H64">
        <v>1985</v>
      </c>
      <c r="I64">
        <v>10</v>
      </c>
      <c r="J64">
        <v>80</v>
      </c>
      <c r="K64">
        <v>57</v>
      </c>
      <c r="L64" t="s">
        <v>135</v>
      </c>
      <c r="M64" t="s">
        <v>137</v>
      </c>
      <c r="N64" t="s">
        <v>274</v>
      </c>
      <c r="O64">
        <v>50000</v>
      </c>
      <c r="P64" t="s">
        <v>274</v>
      </c>
      <c r="Q64">
        <v>18000</v>
      </c>
      <c r="R64">
        <v>32000</v>
      </c>
      <c r="S64" s="2">
        <v>0.36</v>
      </c>
      <c r="V64">
        <v>24500</v>
      </c>
      <c r="W64" s="2">
        <v>2.0408163265306118</v>
      </c>
      <c r="Y64">
        <v>60</v>
      </c>
      <c r="AA64" t="s">
        <v>198</v>
      </c>
    </row>
    <row r="65" spans="1:27" x14ac:dyDescent="0.3">
      <c r="A65" s="3">
        <v>63</v>
      </c>
      <c r="B65">
        <v>103511</v>
      </c>
      <c r="C65" t="s">
        <v>26</v>
      </c>
      <c r="D65" t="s">
        <v>27</v>
      </c>
      <c r="E65" t="s">
        <v>28</v>
      </c>
      <c r="F65" t="s">
        <v>109</v>
      </c>
      <c r="G65" s="1" t="str">
        <f>HYPERLINK("https://new.land.naver.com/complexes/103511", "클릭")</f>
        <v>클릭</v>
      </c>
      <c r="H65">
        <v>2012</v>
      </c>
      <c r="I65">
        <v>12</v>
      </c>
      <c r="J65">
        <v>136</v>
      </c>
      <c r="K65">
        <v>59</v>
      </c>
      <c r="L65" t="s">
        <v>135</v>
      </c>
      <c r="M65" t="s">
        <v>137</v>
      </c>
      <c r="N65" t="s">
        <v>263</v>
      </c>
      <c r="O65">
        <v>49000</v>
      </c>
      <c r="P65" t="s">
        <v>263</v>
      </c>
      <c r="Q65">
        <v>30000</v>
      </c>
      <c r="R65">
        <v>19000</v>
      </c>
      <c r="S65" s="2">
        <v>0.61224489795918369</v>
      </c>
      <c r="T65">
        <v>58900</v>
      </c>
      <c r="U65" s="2">
        <v>-0.16808149405772499</v>
      </c>
      <c r="V65">
        <v>26900</v>
      </c>
      <c r="W65" s="2">
        <v>1.8215613382899629</v>
      </c>
      <c r="X65">
        <v>50</v>
      </c>
      <c r="Y65">
        <v>64</v>
      </c>
      <c r="Z65">
        <v>-14</v>
      </c>
      <c r="AA65" t="s">
        <v>201</v>
      </c>
    </row>
    <row r="66" spans="1:27" x14ac:dyDescent="0.3">
      <c r="A66" s="3">
        <v>64</v>
      </c>
      <c r="B66">
        <v>25078</v>
      </c>
      <c r="C66" t="s">
        <v>26</v>
      </c>
      <c r="D66" t="s">
        <v>27</v>
      </c>
      <c r="E66" t="s">
        <v>30</v>
      </c>
      <c r="F66" t="s">
        <v>87</v>
      </c>
      <c r="G66" s="1" t="str">
        <f>HYPERLINK("https://new.land.naver.com/complexes/25078", "클릭")</f>
        <v>클릭</v>
      </c>
      <c r="H66">
        <v>2000</v>
      </c>
      <c r="I66">
        <v>10</v>
      </c>
      <c r="J66">
        <v>180</v>
      </c>
      <c r="K66">
        <v>59</v>
      </c>
      <c r="L66" t="s">
        <v>135</v>
      </c>
      <c r="M66" t="s">
        <v>138</v>
      </c>
      <c r="N66" t="s">
        <v>246</v>
      </c>
      <c r="O66">
        <v>48000</v>
      </c>
      <c r="P66" t="s">
        <v>246</v>
      </c>
      <c r="Q66">
        <v>33000</v>
      </c>
      <c r="R66">
        <v>15000</v>
      </c>
      <c r="S66" s="2">
        <v>0.6875</v>
      </c>
      <c r="T66">
        <v>46300</v>
      </c>
      <c r="U66" s="2">
        <v>3.6717062634989202E-2</v>
      </c>
      <c r="V66">
        <v>30000</v>
      </c>
      <c r="W66" s="2">
        <v>1.6</v>
      </c>
      <c r="X66">
        <v>66</v>
      </c>
      <c r="Y66">
        <v>65</v>
      </c>
      <c r="Z66">
        <v>1</v>
      </c>
      <c r="AA66" t="s">
        <v>204</v>
      </c>
    </row>
    <row r="67" spans="1:27" x14ac:dyDescent="0.3">
      <c r="A67" s="3">
        <v>65</v>
      </c>
      <c r="B67">
        <v>2026</v>
      </c>
      <c r="C67" t="s">
        <v>26</v>
      </c>
      <c r="D67" t="s">
        <v>27</v>
      </c>
      <c r="E67" t="s">
        <v>28</v>
      </c>
      <c r="F67" t="s">
        <v>92</v>
      </c>
      <c r="G67" s="1" t="str">
        <f>HYPERLINK("https://new.land.naver.com/complexes/2026", "클릭")</f>
        <v>클릭</v>
      </c>
      <c r="H67">
        <v>1999</v>
      </c>
      <c r="I67">
        <v>1</v>
      </c>
      <c r="J67">
        <v>231</v>
      </c>
      <c r="K67">
        <v>59</v>
      </c>
      <c r="L67" t="s">
        <v>136</v>
      </c>
      <c r="M67" t="s">
        <v>138</v>
      </c>
      <c r="N67" t="s">
        <v>266</v>
      </c>
      <c r="O67">
        <v>48000</v>
      </c>
      <c r="P67" t="s">
        <v>266</v>
      </c>
      <c r="Q67">
        <v>26000</v>
      </c>
      <c r="R67">
        <v>22000</v>
      </c>
      <c r="S67" s="2">
        <v>0.54166666666666663</v>
      </c>
      <c r="T67">
        <v>49000</v>
      </c>
      <c r="U67" s="2">
        <v>-2.0408163265306121E-2</v>
      </c>
      <c r="V67">
        <v>25400</v>
      </c>
      <c r="W67" s="2">
        <v>1.889763779527559</v>
      </c>
      <c r="X67">
        <v>62</v>
      </c>
      <c r="Y67">
        <v>65</v>
      </c>
      <c r="Z67">
        <v>-3</v>
      </c>
      <c r="AA67" t="s">
        <v>198</v>
      </c>
    </row>
    <row r="68" spans="1:27" x14ac:dyDescent="0.3">
      <c r="A68" s="3">
        <v>66</v>
      </c>
      <c r="B68">
        <v>26273</v>
      </c>
      <c r="C68" t="s">
        <v>26</v>
      </c>
      <c r="D68" t="s">
        <v>27</v>
      </c>
      <c r="E68" t="s">
        <v>28</v>
      </c>
      <c r="F68" t="s">
        <v>93</v>
      </c>
      <c r="G68" s="1" t="str">
        <f>HYPERLINK("https://new.land.naver.com/complexes/26273", "클릭")</f>
        <v>클릭</v>
      </c>
      <c r="H68">
        <v>2006</v>
      </c>
      <c r="I68">
        <v>11</v>
      </c>
      <c r="J68">
        <v>59</v>
      </c>
      <c r="K68">
        <v>59</v>
      </c>
      <c r="L68" t="s">
        <v>136</v>
      </c>
      <c r="M68" t="s">
        <v>137</v>
      </c>
      <c r="N68" t="s">
        <v>258</v>
      </c>
      <c r="O68">
        <v>48000</v>
      </c>
      <c r="P68" t="s">
        <v>258</v>
      </c>
      <c r="Q68">
        <v>34000</v>
      </c>
      <c r="R68">
        <v>14000</v>
      </c>
      <c r="S68" s="2">
        <v>0.70833333333333337</v>
      </c>
      <c r="T68">
        <v>50500</v>
      </c>
      <c r="U68" s="2">
        <v>-4.9504950495049507E-2</v>
      </c>
      <c r="V68">
        <v>30100</v>
      </c>
      <c r="W68" s="2">
        <v>1.59468438538206</v>
      </c>
      <c r="X68">
        <v>57</v>
      </c>
      <c r="Y68">
        <v>65</v>
      </c>
      <c r="Z68">
        <v>-8</v>
      </c>
      <c r="AA68" t="s">
        <v>198</v>
      </c>
    </row>
    <row r="69" spans="1:27" x14ac:dyDescent="0.3">
      <c r="A69" s="3">
        <v>67</v>
      </c>
      <c r="B69">
        <v>1476</v>
      </c>
      <c r="C69" t="s">
        <v>26</v>
      </c>
      <c r="D69" t="s">
        <v>27</v>
      </c>
      <c r="E69" t="s">
        <v>28</v>
      </c>
      <c r="F69" t="s">
        <v>89</v>
      </c>
      <c r="G69" s="1" t="str">
        <f>HYPERLINK("https://new.land.naver.com/complexes/1476", "클릭")</f>
        <v>클릭</v>
      </c>
      <c r="H69">
        <v>1992</v>
      </c>
      <c r="I69">
        <v>8</v>
      </c>
      <c r="J69">
        <v>654</v>
      </c>
      <c r="K69">
        <v>59</v>
      </c>
      <c r="L69" t="s">
        <v>136</v>
      </c>
      <c r="M69" t="s">
        <v>138</v>
      </c>
      <c r="N69" t="s">
        <v>271</v>
      </c>
      <c r="O69">
        <v>46000</v>
      </c>
      <c r="P69" t="s">
        <v>271</v>
      </c>
      <c r="Q69">
        <v>27000</v>
      </c>
      <c r="R69">
        <v>19000</v>
      </c>
      <c r="S69" s="2">
        <v>0.58695652173913049</v>
      </c>
      <c r="T69">
        <v>62250</v>
      </c>
      <c r="U69" s="2">
        <v>-0.26104417670682728</v>
      </c>
      <c r="V69">
        <v>27100</v>
      </c>
      <c r="W69" s="2">
        <v>1.697416974169742</v>
      </c>
      <c r="X69">
        <v>48</v>
      </c>
      <c r="Y69">
        <v>68</v>
      </c>
      <c r="Z69">
        <v>-20</v>
      </c>
      <c r="AA69" t="s">
        <v>198</v>
      </c>
    </row>
    <row r="70" spans="1:27" x14ac:dyDescent="0.3">
      <c r="A70" s="3">
        <v>68</v>
      </c>
      <c r="B70">
        <v>13276</v>
      </c>
      <c r="C70" t="s">
        <v>26</v>
      </c>
      <c r="D70" t="s">
        <v>27</v>
      </c>
      <c r="E70" t="s">
        <v>29</v>
      </c>
      <c r="F70" t="s">
        <v>226</v>
      </c>
      <c r="G70" s="1" t="str">
        <f>HYPERLINK("https://new.land.naver.com/complexes/13276", "클릭")</f>
        <v>클릭</v>
      </c>
      <c r="H70">
        <v>1986</v>
      </c>
      <c r="I70">
        <v>9</v>
      </c>
      <c r="J70">
        <v>80</v>
      </c>
      <c r="K70">
        <v>57</v>
      </c>
      <c r="L70" t="s">
        <v>135</v>
      </c>
      <c r="M70" t="s">
        <v>138</v>
      </c>
      <c r="N70" t="s">
        <v>248</v>
      </c>
      <c r="O70">
        <v>45000</v>
      </c>
      <c r="P70" t="s">
        <v>248</v>
      </c>
      <c r="Q70">
        <v>19500</v>
      </c>
      <c r="R70">
        <v>25500</v>
      </c>
      <c r="S70" s="2">
        <v>0.43333333333333329</v>
      </c>
      <c r="T70">
        <v>30500</v>
      </c>
      <c r="U70" s="2">
        <v>0.47540983606557369</v>
      </c>
      <c r="V70">
        <v>22400</v>
      </c>
      <c r="W70" s="2">
        <v>2.0089285714285721</v>
      </c>
      <c r="X70">
        <v>83</v>
      </c>
      <c r="Y70">
        <v>69</v>
      </c>
      <c r="Z70">
        <v>14</v>
      </c>
      <c r="AA70" t="s">
        <v>198</v>
      </c>
    </row>
    <row r="71" spans="1:27" x14ac:dyDescent="0.3">
      <c r="A71" s="3">
        <v>69</v>
      </c>
      <c r="B71">
        <v>3080</v>
      </c>
      <c r="C71" t="s">
        <v>26</v>
      </c>
      <c r="D71" t="s">
        <v>27</v>
      </c>
      <c r="E71" t="s">
        <v>31</v>
      </c>
      <c r="F71" t="s">
        <v>102</v>
      </c>
      <c r="G71" s="1" t="str">
        <f>HYPERLINK("https://new.land.naver.com/complexes/3080", "클릭")</f>
        <v>클릭</v>
      </c>
      <c r="H71">
        <v>2003</v>
      </c>
      <c r="I71">
        <v>3</v>
      </c>
      <c r="J71">
        <v>2044</v>
      </c>
      <c r="K71">
        <v>59</v>
      </c>
      <c r="L71" t="s">
        <v>135</v>
      </c>
      <c r="M71" t="s">
        <v>138</v>
      </c>
      <c r="N71" t="s">
        <v>275</v>
      </c>
      <c r="O71">
        <v>43000</v>
      </c>
      <c r="P71" t="s">
        <v>284</v>
      </c>
      <c r="Q71">
        <v>31000</v>
      </c>
      <c r="R71">
        <v>12000</v>
      </c>
      <c r="S71" s="2">
        <v>0.72093023255813948</v>
      </c>
      <c r="T71">
        <v>55800</v>
      </c>
      <c r="U71" s="2">
        <v>-0.2293906810035842</v>
      </c>
      <c r="V71">
        <v>27700</v>
      </c>
      <c r="W71" s="2">
        <v>1.552346570397112</v>
      </c>
      <c r="X71">
        <v>53</v>
      </c>
      <c r="Y71">
        <v>70</v>
      </c>
      <c r="Z71">
        <v>-17</v>
      </c>
      <c r="AA71" t="s">
        <v>198</v>
      </c>
    </row>
    <row r="72" spans="1:27" x14ac:dyDescent="0.3">
      <c r="A72" s="3">
        <v>70</v>
      </c>
      <c r="B72">
        <v>10509</v>
      </c>
      <c r="C72" t="s">
        <v>26</v>
      </c>
      <c r="D72" t="s">
        <v>27</v>
      </c>
      <c r="E72" t="s">
        <v>28</v>
      </c>
      <c r="F72" t="s">
        <v>98</v>
      </c>
      <c r="G72" s="1" t="str">
        <f>HYPERLINK("https://new.land.naver.com/complexes/10509", "클릭")</f>
        <v>클릭</v>
      </c>
      <c r="H72">
        <v>2004</v>
      </c>
      <c r="I72">
        <v>12</v>
      </c>
      <c r="J72">
        <v>361</v>
      </c>
      <c r="K72">
        <v>59</v>
      </c>
      <c r="L72" t="s">
        <v>135</v>
      </c>
      <c r="M72" t="s">
        <v>138</v>
      </c>
      <c r="N72" t="s">
        <v>271</v>
      </c>
      <c r="O72">
        <v>43000</v>
      </c>
      <c r="P72" t="s">
        <v>271</v>
      </c>
      <c r="Q72">
        <v>34000</v>
      </c>
      <c r="R72">
        <v>9000</v>
      </c>
      <c r="S72" s="2">
        <v>0.79069767441860461</v>
      </c>
      <c r="T72">
        <v>58000</v>
      </c>
      <c r="U72" s="2">
        <v>-0.25862068965517238</v>
      </c>
      <c r="V72">
        <v>29000</v>
      </c>
      <c r="W72" s="2">
        <v>1.482758620689655</v>
      </c>
      <c r="X72">
        <v>52</v>
      </c>
      <c r="Y72">
        <v>70</v>
      </c>
      <c r="Z72">
        <v>-18</v>
      </c>
      <c r="AA72" t="s">
        <v>198</v>
      </c>
    </row>
    <row r="73" spans="1:27" x14ac:dyDescent="0.3">
      <c r="A73" s="3">
        <v>71</v>
      </c>
      <c r="B73">
        <v>1971</v>
      </c>
      <c r="C73" t="s">
        <v>26</v>
      </c>
      <c r="D73" t="s">
        <v>27</v>
      </c>
      <c r="E73" t="s">
        <v>29</v>
      </c>
      <c r="F73" t="s">
        <v>227</v>
      </c>
      <c r="G73" s="1" t="str">
        <f>HYPERLINK("https://new.land.naver.com/complexes/1971", "클릭")</f>
        <v>클릭</v>
      </c>
      <c r="H73">
        <v>1986</v>
      </c>
      <c r="I73">
        <v>6</v>
      </c>
      <c r="J73">
        <v>140</v>
      </c>
      <c r="K73">
        <v>58</v>
      </c>
      <c r="L73" t="s">
        <v>135</v>
      </c>
      <c r="M73" t="s">
        <v>138</v>
      </c>
      <c r="N73" t="s">
        <v>254</v>
      </c>
      <c r="O73">
        <v>42000</v>
      </c>
      <c r="P73" t="s">
        <v>254</v>
      </c>
      <c r="Q73">
        <v>18000</v>
      </c>
      <c r="R73">
        <v>24000</v>
      </c>
      <c r="S73" s="2">
        <v>0.42857142857142849</v>
      </c>
      <c r="T73">
        <v>43000</v>
      </c>
      <c r="U73" s="2">
        <v>-2.3255813953488368E-2</v>
      </c>
      <c r="V73">
        <v>23400</v>
      </c>
      <c r="W73" s="2">
        <v>1.7948717948717949</v>
      </c>
      <c r="X73">
        <v>68</v>
      </c>
      <c r="Y73">
        <v>72</v>
      </c>
      <c r="Z73">
        <v>-4</v>
      </c>
      <c r="AA73" t="s">
        <v>287</v>
      </c>
    </row>
    <row r="74" spans="1:27" x14ac:dyDescent="0.3">
      <c r="A74" s="3">
        <v>72</v>
      </c>
      <c r="B74">
        <v>8800</v>
      </c>
      <c r="C74" t="s">
        <v>26</v>
      </c>
      <c r="D74" t="s">
        <v>27</v>
      </c>
      <c r="E74" t="s">
        <v>28</v>
      </c>
      <c r="F74" t="s">
        <v>108</v>
      </c>
      <c r="G74" s="1" t="str">
        <f>HYPERLINK("https://new.land.naver.com/complexes/8800", "클릭")</f>
        <v>클릭</v>
      </c>
      <c r="H74">
        <v>2000</v>
      </c>
      <c r="I74">
        <v>10</v>
      </c>
      <c r="J74">
        <v>370</v>
      </c>
      <c r="K74">
        <v>59</v>
      </c>
      <c r="L74" t="s">
        <v>136</v>
      </c>
      <c r="M74" t="s">
        <v>235</v>
      </c>
      <c r="N74" t="s">
        <v>266</v>
      </c>
      <c r="O74">
        <v>41000</v>
      </c>
      <c r="P74" t="s">
        <v>266</v>
      </c>
      <c r="Q74">
        <v>25000</v>
      </c>
      <c r="R74">
        <v>16000</v>
      </c>
      <c r="S74" s="2">
        <v>0.6097560975609756</v>
      </c>
      <c r="T74">
        <v>50500</v>
      </c>
      <c r="U74" s="2">
        <v>-0.18811881188118809</v>
      </c>
      <c r="V74">
        <v>25400</v>
      </c>
      <c r="W74" s="2">
        <v>1.6141732283464569</v>
      </c>
      <c r="X74">
        <v>57</v>
      </c>
      <c r="Y74">
        <v>73</v>
      </c>
      <c r="Z74">
        <v>-16</v>
      </c>
      <c r="AA74" t="s">
        <v>198</v>
      </c>
    </row>
    <row r="75" spans="1:27" x14ac:dyDescent="0.3">
      <c r="A75" s="3">
        <v>73</v>
      </c>
      <c r="B75">
        <v>8185</v>
      </c>
      <c r="C75" t="s">
        <v>26</v>
      </c>
      <c r="D75" t="s">
        <v>27</v>
      </c>
      <c r="E75" t="s">
        <v>30</v>
      </c>
      <c r="F75" t="s">
        <v>97</v>
      </c>
      <c r="G75" s="1" t="str">
        <f>HYPERLINK("https://new.land.naver.com/complexes/8185", "클릭")</f>
        <v>클릭</v>
      </c>
      <c r="H75">
        <v>1999</v>
      </c>
      <c r="I75">
        <v>10</v>
      </c>
      <c r="J75">
        <v>129</v>
      </c>
      <c r="K75">
        <v>59</v>
      </c>
      <c r="L75" t="s">
        <v>136</v>
      </c>
      <c r="M75" t="s">
        <v>138</v>
      </c>
      <c r="N75" t="s">
        <v>267</v>
      </c>
      <c r="O75">
        <v>41000</v>
      </c>
      <c r="P75" t="s">
        <v>267</v>
      </c>
      <c r="Q75">
        <v>27000</v>
      </c>
      <c r="R75">
        <v>14000</v>
      </c>
      <c r="S75" s="2">
        <v>0.65853658536585369</v>
      </c>
      <c r="T75">
        <v>46500</v>
      </c>
      <c r="U75" s="2">
        <v>-0.1182795698924731</v>
      </c>
      <c r="V75">
        <v>26700</v>
      </c>
      <c r="W75" s="2">
        <v>1.535580524344569</v>
      </c>
      <c r="X75">
        <v>65</v>
      </c>
      <c r="Y75">
        <v>73</v>
      </c>
      <c r="Z75">
        <v>-8</v>
      </c>
      <c r="AA75" t="s">
        <v>198</v>
      </c>
    </row>
    <row r="76" spans="1:27" x14ac:dyDescent="0.3">
      <c r="A76" s="3">
        <v>74</v>
      </c>
      <c r="B76">
        <v>9908</v>
      </c>
      <c r="C76" t="s">
        <v>26</v>
      </c>
      <c r="D76" t="s">
        <v>27</v>
      </c>
      <c r="E76" t="s">
        <v>31</v>
      </c>
      <c r="F76" t="s">
        <v>117</v>
      </c>
      <c r="G76" s="1" t="str">
        <f>HYPERLINK("https://new.land.naver.com/complexes/9908", "클릭")</f>
        <v>클릭</v>
      </c>
      <c r="H76">
        <v>2000</v>
      </c>
      <c r="I76">
        <v>1</v>
      </c>
      <c r="J76">
        <v>112</v>
      </c>
      <c r="K76">
        <v>59</v>
      </c>
      <c r="L76" t="s">
        <v>136</v>
      </c>
      <c r="M76" t="s">
        <v>138</v>
      </c>
      <c r="N76" t="s">
        <v>270</v>
      </c>
      <c r="O76">
        <v>40000</v>
      </c>
      <c r="P76" t="s">
        <v>270</v>
      </c>
      <c r="Q76">
        <v>27000</v>
      </c>
      <c r="R76">
        <v>13000</v>
      </c>
      <c r="S76" s="2">
        <v>0.67500000000000004</v>
      </c>
      <c r="T76">
        <v>45000</v>
      </c>
      <c r="U76" s="2">
        <v>-0.1111111111111111</v>
      </c>
      <c r="V76">
        <v>20200</v>
      </c>
      <c r="W76" s="2">
        <v>1.98019801980198</v>
      </c>
      <c r="X76">
        <v>67</v>
      </c>
      <c r="Y76">
        <v>75</v>
      </c>
      <c r="Z76">
        <v>-8</v>
      </c>
      <c r="AA76" t="s">
        <v>198</v>
      </c>
    </row>
    <row r="77" spans="1:27" x14ac:dyDescent="0.3">
      <c r="A77" s="3">
        <v>75</v>
      </c>
      <c r="B77">
        <v>24006</v>
      </c>
      <c r="C77" t="s">
        <v>26</v>
      </c>
      <c r="D77" t="s">
        <v>27</v>
      </c>
      <c r="E77" t="s">
        <v>29</v>
      </c>
      <c r="F77" t="s">
        <v>228</v>
      </c>
      <c r="G77" s="1" t="str">
        <f>HYPERLINK("https://new.land.naver.com/complexes/24006", "클릭")</f>
        <v>클릭</v>
      </c>
      <c r="H77">
        <v>1988</v>
      </c>
      <c r="I77">
        <v>10</v>
      </c>
      <c r="J77">
        <v>34</v>
      </c>
      <c r="K77">
        <v>59</v>
      </c>
      <c r="L77" t="s">
        <v>135</v>
      </c>
      <c r="M77" t="s">
        <v>138</v>
      </c>
      <c r="N77" t="s">
        <v>271</v>
      </c>
      <c r="O77">
        <v>40000</v>
      </c>
      <c r="P77" t="s">
        <v>271</v>
      </c>
      <c r="Q77">
        <v>22000</v>
      </c>
      <c r="R77">
        <v>18000</v>
      </c>
      <c r="S77" s="2">
        <v>0.55000000000000004</v>
      </c>
      <c r="T77">
        <v>40000</v>
      </c>
      <c r="U77" s="2">
        <v>0</v>
      </c>
      <c r="V77">
        <v>24500</v>
      </c>
      <c r="W77" s="2">
        <v>1.6326530612244901</v>
      </c>
      <c r="X77">
        <v>71</v>
      </c>
      <c r="Y77">
        <v>75</v>
      </c>
      <c r="Z77">
        <v>-4</v>
      </c>
      <c r="AA77" t="s">
        <v>205</v>
      </c>
    </row>
    <row r="78" spans="1:27" x14ac:dyDescent="0.3">
      <c r="A78" s="3">
        <v>76</v>
      </c>
      <c r="B78">
        <v>120224</v>
      </c>
      <c r="C78" t="s">
        <v>26</v>
      </c>
      <c r="D78" t="s">
        <v>27</v>
      </c>
      <c r="E78" t="s">
        <v>28</v>
      </c>
      <c r="F78" t="s">
        <v>229</v>
      </c>
      <c r="G78" s="1" t="str">
        <f>HYPERLINK("https://new.land.naver.com/complexes/120224", "클릭")</f>
        <v>클릭</v>
      </c>
      <c r="H78">
        <v>2017</v>
      </c>
      <c r="I78">
        <v>1</v>
      </c>
      <c r="J78">
        <v>24</v>
      </c>
      <c r="K78">
        <v>59</v>
      </c>
      <c r="L78" t="s">
        <v>135</v>
      </c>
      <c r="M78" t="s">
        <v>137</v>
      </c>
      <c r="N78" t="s">
        <v>276</v>
      </c>
      <c r="O78">
        <v>40000</v>
      </c>
      <c r="P78" t="s">
        <v>285</v>
      </c>
      <c r="Q78">
        <v>28000</v>
      </c>
      <c r="R78">
        <v>12000</v>
      </c>
      <c r="S78" s="2">
        <v>0.7</v>
      </c>
      <c r="T78">
        <v>38000</v>
      </c>
      <c r="U78" s="2">
        <v>5.2631578947368418E-2</v>
      </c>
      <c r="X78">
        <v>73</v>
      </c>
      <c r="Y78">
        <v>75</v>
      </c>
      <c r="Z78">
        <v>-2</v>
      </c>
      <c r="AA78" t="s">
        <v>198</v>
      </c>
    </row>
    <row r="79" spans="1:27" x14ac:dyDescent="0.3">
      <c r="A79" s="3">
        <v>77</v>
      </c>
      <c r="B79">
        <v>8711</v>
      </c>
      <c r="C79" t="s">
        <v>26</v>
      </c>
      <c r="D79" t="s">
        <v>27</v>
      </c>
      <c r="E79" t="s">
        <v>30</v>
      </c>
      <c r="F79" t="s">
        <v>113</v>
      </c>
      <c r="G79" s="1" t="str">
        <f>HYPERLINK("https://new.land.naver.com/complexes/8711", "클릭")</f>
        <v>클릭</v>
      </c>
      <c r="H79">
        <v>1999</v>
      </c>
      <c r="I79">
        <v>7</v>
      </c>
      <c r="J79">
        <v>49</v>
      </c>
      <c r="K79">
        <v>59</v>
      </c>
      <c r="L79" t="s">
        <v>135</v>
      </c>
      <c r="M79" t="s">
        <v>235</v>
      </c>
      <c r="N79" t="s">
        <v>247</v>
      </c>
      <c r="O79">
        <v>39000</v>
      </c>
      <c r="P79" t="s">
        <v>247</v>
      </c>
      <c r="Q79">
        <v>29000</v>
      </c>
      <c r="R79">
        <v>10000</v>
      </c>
      <c r="S79" s="2">
        <v>0.74358974358974361</v>
      </c>
      <c r="T79">
        <v>35000</v>
      </c>
      <c r="U79" s="2">
        <v>0.1142857142857143</v>
      </c>
      <c r="V79">
        <v>26700</v>
      </c>
      <c r="W79" s="2">
        <v>1.460674157303371</v>
      </c>
      <c r="X79">
        <v>80</v>
      </c>
      <c r="Y79">
        <v>78</v>
      </c>
      <c r="Z79">
        <v>2</v>
      </c>
      <c r="AA79" t="s">
        <v>198</v>
      </c>
    </row>
    <row r="80" spans="1:27" x14ac:dyDescent="0.3">
      <c r="A80" s="3">
        <v>78</v>
      </c>
      <c r="B80">
        <v>8799</v>
      </c>
      <c r="C80" t="s">
        <v>26</v>
      </c>
      <c r="D80" t="s">
        <v>27</v>
      </c>
      <c r="E80" t="s">
        <v>28</v>
      </c>
      <c r="F80" t="s">
        <v>122</v>
      </c>
      <c r="G80" s="1" t="str">
        <f>HYPERLINK("https://new.land.naver.com/complexes/8799", "클릭")</f>
        <v>클릭</v>
      </c>
      <c r="H80">
        <v>1998</v>
      </c>
      <c r="I80">
        <v>12</v>
      </c>
      <c r="J80">
        <v>130</v>
      </c>
      <c r="K80">
        <v>59</v>
      </c>
      <c r="L80" t="s">
        <v>136</v>
      </c>
      <c r="M80" t="s">
        <v>138</v>
      </c>
      <c r="N80" t="s">
        <v>269</v>
      </c>
      <c r="O80">
        <v>39000</v>
      </c>
      <c r="P80" t="s">
        <v>269</v>
      </c>
      <c r="Q80">
        <v>28500</v>
      </c>
      <c r="R80">
        <v>10500</v>
      </c>
      <c r="S80" s="2">
        <v>0.73076923076923073</v>
      </c>
      <c r="T80">
        <v>35000</v>
      </c>
      <c r="U80" s="2">
        <v>0.1142857142857143</v>
      </c>
      <c r="V80">
        <v>22900</v>
      </c>
      <c r="W80" s="2">
        <v>1.7030567685589519</v>
      </c>
      <c r="X80">
        <v>80</v>
      </c>
      <c r="Y80">
        <v>78</v>
      </c>
      <c r="Z80">
        <v>2</v>
      </c>
      <c r="AA80" t="s">
        <v>198</v>
      </c>
    </row>
    <row r="81" spans="1:27" x14ac:dyDescent="0.3">
      <c r="A81" s="3">
        <v>79</v>
      </c>
      <c r="B81">
        <v>9382</v>
      </c>
      <c r="C81" t="s">
        <v>26</v>
      </c>
      <c r="D81" t="s">
        <v>27</v>
      </c>
      <c r="E81" t="s">
        <v>31</v>
      </c>
      <c r="F81" t="s">
        <v>112</v>
      </c>
      <c r="G81" s="1" t="str">
        <f>HYPERLINK("https://new.land.naver.com/complexes/9382", "클릭")</f>
        <v>클릭</v>
      </c>
      <c r="H81">
        <v>1995</v>
      </c>
      <c r="I81">
        <v>12</v>
      </c>
      <c r="J81">
        <v>282</v>
      </c>
      <c r="K81">
        <v>59</v>
      </c>
      <c r="L81" t="s">
        <v>136</v>
      </c>
      <c r="M81" t="s">
        <v>138</v>
      </c>
      <c r="N81" t="s">
        <v>271</v>
      </c>
      <c r="O81">
        <v>38000</v>
      </c>
      <c r="P81" t="s">
        <v>271</v>
      </c>
      <c r="Q81">
        <v>21000</v>
      </c>
      <c r="R81">
        <v>17000</v>
      </c>
      <c r="S81" s="2">
        <v>0.55263157894736847</v>
      </c>
      <c r="T81">
        <v>48000</v>
      </c>
      <c r="U81" s="2">
        <v>-0.20833333333333329</v>
      </c>
      <c r="V81">
        <v>26200</v>
      </c>
      <c r="W81" s="2">
        <v>1.4503816793893129</v>
      </c>
      <c r="X81">
        <v>63</v>
      </c>
      <c r="Y81">
        <v>80</v>
      </c>
      <c r="Z81">
        <v>-17</v>
      </c>
      <c r="AA81" t="s">
        <v>198</v>
      </c>
    </row>
    <row r="82" spans="1:27" x14ac:dyDescent="0.3">
      <c r="A82" s="3">
        <v>80</v>
      </c>
      <c r="B82">
        <v>3032</v>
      </c>
      <c r="C82" t="s">
        <v>26</v>
      </c>
      <c r="D82" t="s">
        <v>27</v>
      </c>
      <c r="E82" t="s">
        <v>28</v>
      </c>
      <c r="F82" t="s">
        <v>124</v>
      </c>
      <c r="G82" s="1" t="str">
        <f>HYPERLINK("https://new.land.naver.com/complexes/3032", "클릭")</f>
        <v>클릭</v>
      </c>
      <c r="H82">
        <v>1999</v>
      </c>
      <c r="I82">
        <v>12</v>
      </c>
      <c r="J82">
        <v>212</v>
      </c>
      <c r="K82">
        <v>59</v>
      </c>
      <c r="L82" t="s">
        <v>135</v>
      </c>
      <c r="M82" t="s">
        <v>138</v>
      </c>
      <c r="N82" t="s">
        <v>247</v>
      </c>
      <c r="O82">
        <v>37000</v>
      </c>
      <c r="P82" t="s">
        <v>247</v>
      </c>
      <c r="Q82">
        <v>29000</v>
      </c>
      <c r="R82">
        <v>8000</v>
      </c>
      <c r="S82" s="2">
        <v>0.78378378378378377</v>
      </c>
      <c r="T82">
        <v>50000</v>
      </c>
      <c r="U82" s="2">
        <v>-0.26</v>
      </c>
      <c r="V82">
        <v>24300</v>
      </c>
      <c r="W82" s="2">
        <v>1.522633744855967</v>
      </c>
      <c r="X82">
        <v>59</v>
      </c>
      <c r="Y82">
        <v>81</v>
      </c>
      <c r="Z82">
        <v>-22</v>
      </c>
      <c r="AA82" t="s">
        <v>198</v>
      </c>
    </row>
    <row r="83" spans="1:27" x14ac:dyDescent="0.3">
      <c r="A83" s="3">
        <v>81</v>
      </c>
      <c r="B83">
        <v>2034</v>
      </c>
      <c r="C83" t="s">
        <v>26</v>
      </c>
      <c r="D83" t="s">
        <v>27</v>
      </c>
      <c r="E83" t="s">
        <v>28</v>
      </c>
      <c r="F83" t="s">
        <v>114</v>
      </c>
      <c r="G83" s="1" t="str">
        <f>HYPERLINK("https://new.land.naver.com/complexes/2034", "클릭")</f>
        <v>클릭</v>
      </c>
      <c r="H83">
        <v>1999</v>
      </c>
      <c r="I83">
        <v>8</v>
      </c>
      <c r="J83">
        <v>195</v>
      </c>
      <c r="K83">
        <v>59</v>
      </c>
      <c r="L83" t="s">
        <v>136</v>
      </c>
      <c r="M83" t="s">
        <v>138</v>
      </c>
      <c r="N83" t="s">
        <v>247</v>
      </c>
      <c r="O83">
        <v>37000</v>
      </c>
      <c r="P83" t="s">
        <v>247</v>
      </c>
      <c r="Q83">
        <v>27000</v>
      </c>
      <c r="R83">
        <v>10000</v>
      </c>
      <c r="S83" s="2">
        <v>0.72972972972972971</v>
      </c>
      <c r="T83">
        <v>40000</v>
      </c>
      <c r="U83" s="2">
        <v>-7.4999999999999997E-2</v>
      </c>
      <c r="V83">
        <v>23700</v>
      </c>
      <c r="W83" s="2">
        <v>1.5611814345991559</v>
      </c>
      <c r="X83">
        <v>71</v>
      </c>
      <c r="Y83">
        <v>81</v>
      </c>
      <c r="Z83">
        <v>-10</v>
      </c>
      <c r="AA83" t="s">
        <v>198</v>
      </c>
    </row>
    <row r="84" spans="1:27" x14ac:dyDescent="0.3">
      <c r="A84" s="3">
        <v>82</v>
      </c>
      <c r="B84">
        <v>128689</v>
      </c>
      <c r="C84" t="s">
        <v>26</v>
      </c>
      <c r="D84" t="s">
        <v>27</v>
      </c>
      <c r="E84" t="s">
        <v>28</v>
      </c>
      <c r="F84" t="s">
        <v>230</v>
      </c>
      <c r="G84" s="1" t="str">
        <f>HYPERLINK("https://new.land.naver.com/complexes/128689", "클릭")</f>
        <v>클릭</v>
      </c>
      <c r="H84">
        <v>2019</v>
      </c>
      <c r="I84">
        <v>7</v>
      </c>
      <c r="J84">
        <v>42</v>
      </c>
      <c r="K84">
        <v>58</v>
      </c>
      <c r="L84" t="s">
        <v>135</v>
      </c>
      <c r="M84" t="s">
        <v>137</v>
      </c>
      <c r="N84" t="s">
        <v>277</v>
      </c>
      <c r="O84">
        <v>36000</v>
      </c>
      <c r="P84" t="s">
        <v>277</v>
      </c>
      <c r="Q84">
        <v>25000</v>
      </c>
      <c r="R84">
        <v>11000</v>
      </c>
      <c r="S84" s="2">
        <v>0.69444444444444442</v>
      </c>
      <c r="T84">
        <v>35500</v>
      </c>
      <c r="U84" s="2">
        <v>1.408450704225352E-2</v>
      </c>
      <c r="X84">
        <v>77</v>
      </c>
      <c r="Y84">
        <v>83</v>
      </c>
      <c r="Z84">
        <v>-6</v>
      </c>
      <c r="AA84" t="s">
        <v>291</v>
      </c>
    </row>
    <row r="85" spans="1:27" x14ac:dyDescent="0.3">
      <c r="A85" s="3">
        <v>83</v>
      </c>
      <c r="B85">
        <v>8038</v>
      </c>
      <c r="C85" t="s">
        <v>26</v>
      </c>
      <c r="D85" t="s">
        <v>27</v>
      </c>
      <c r="E85" t="s">
        <v>28</v>
      </c>
      <c r="F85" t="s">
        <v>126</v>
      </c>
      <c r="G85" s="1" t="str">
        <f>HYPERLINK("https://new.land.naver.com/complexes/8038", "클릭")</f>
        <v>클릭</v>
      </c>
      <c r="H85">
        <v>2000</v>
      </c>
      <c r="I85">
        <v>10</v>
      </c>
      <c r="J85">
        <v>168</v>
      </c>
      <c r="K85">
        <v>59</v>
      </c>
      <c r="L85" t="s">
        <v>136</v>
      </c>
      <c r="M85" t="s">
        <v>138</v>
      </c>
      <c r="N85" t="s">
        <v>271</v>
      </c>
      <c r="O85">
        <v>35500</v>
      </c>
      <c r="P85" t="s">
        <v>271</v>
      </c>
      <c r="Q85">
        <v>26000</v>
      </c>
      <c r="R85">
        <v>9500</v>
      </c>
      <c r="S85" s="2">
        <v>0.73239436619718312</v>
      </c>
      <c r="T85">
        <v>43000</v>
      </c>
      <c r="U85" s="2">
        <v>-0.1744186046511628</v>
      </c>
      <c r="V85">
        <v>22500</v>
      </c>
      <c r="W85" s="2">
        <v>1.5777777777777779</v>
      </c>
      <c r="X85">
        <v>68</v>
      </c>
      <c r="Y85">
        <v>84</v>
      </c>
      <c r="Z85">
        <v>-16</v>
      </c>
      <c r="AA85" t="s">
        <v>198</v>
      </c>
    </row>
    <row r="86" spans="1:27" x14ac:dyDescent="0.3">
      <c r="A86" s="3">
        <v>84</v>
      </c>
      <c r="B86">
        <v>11636</v>
      </c>
      <c r="C86" t="s">
        <v>26</v>
      </c>
      <c r="D86" t="s">
        <v>27</v>
      </c>
      <c r="E86" t="s">
        <v>28</v>
      </c>
      <c r="F86" t="s">
        <v>231</v>
      </c>
      <c r="G86" s="1" t="str">
        <f>HYPERLINK("https://new.land.naver.com/complexes/11636", "클릭")</f>
        <v>클릭</v>
      </c>
      <c r="H86">
        <v>1988</v>
      </c>
      <c r="I86">
        <v>3</v>
      </c>
      <c r="J86">
        <v>75</v>
      </c>
      <c r="K86">
        <v>59</v>
      </c>
      <c r="L86" t="s">
        <v>135</v>
      </c>
      <c r="M86" t="s">
        <v>138</v>
      </c>
      <c r="N86" t="s">
        <v>254</v>
      </c>
      <c r="O86">
        <v>35000</v>
      </c>
      <c r="P86" t="s">
        <v>254</v>
      </c>
      <c r="Q86">
        <v>19000</v>
      </c>
      <c r="R86">
        <v>16000</v>
      </c>
      <c r="S86" s="2">
        <v>0.54285714285714282</v>
      </c>
      <c r="T86">
        <v>25300</v>
      </c>
      <c r="U86" s="2">
        <v>0.38339920948616601</v>
      </c>
      <c r="V86">
        <v>20700</v>
      </c>
      <c r="W86" s="2">
        <v>1.6908212560386471</v>
      </c>
      <c r="X86">
        <v>85</v>
      </c>
      <c r="Y86">
        <v>85</v>
      </c>
      <c r="Z86">
        <v>0</v>
      </c>
      <c r="AA86" t="s">
        <v>198</v>
      </c>
    </row>
    <row r="87" spans="1:27" x14ac:dyDescent="0.3">
      <c r="A87" s="3">
        <v>85</v>
      </c>
      <c r="B87">
        <v>15536</v>
      </c>
      <c r="C87" t="s">
        <v>26</v>
      </c>
      <c r="D87" t="s">
        <v>27</v>
      </c>
      <c r="E87" t="s">
        <v>28</v>
      </c>
      <c r="F87" t="s">
        <v>232</v>
      </c>
      <c r="G87" s="1" t="str">
        <f>HYPERLINK("https://new.land.naver.com/complexes/15536", "클릭")</f>
        <v>클릭</v>
      </c>
      <c r="H87">
        <v>2003</v>
      </c>
      <c r="I87">
        <v>11</v>
      </c>
      <c r="J87">
        <v>89</v>
      </c>
      <c r="K87">
        <v>57</v>
      </c>
      <c r="L87" t="s">
        <v>135</v>
      </c>
      <c r="M87" t="s">
        <v>138</v>
      </c>
      <c r="N87" t="s">
        <v>263</v>
      </c>
      <c r="O87">
        <v>35000</v>
      </c>
      <c r="P87" t="s">
        <v>263</v>
      </c>
      <c r="Q87">
        <v>24000</v>
      </c>
      <c r="R87">
        <v>11000</v>
      </c>
      <c r="S87" s="2">
        <v>0.68571428571428572</v>
      </c>
      <c r="T87">
        <v>30000</v>
      </c>
      <c r="U87" s="2">
        <v>0.16666666666666671</v>
      </c>
      <c r="V87">
        <v>22800</v>
      </c>
      <c r="W87" s="2">
        <v>1.5350877192982459</v>
      </c>
      <c r="X87">
        <v>84</v>
      </c>
      <c r="Y87">
        <v>85</v>
      </c>
      <c r="Z87">
        <v>-1</v>
      </c>
      <c r="AA87" t="s">
        <v>198</v>
      </c>
    </row>
    <row r="88" spans="1:27" x14ac:dyDescent="0.3">
      <c r="A88" s="3">
        <v>86</v>
      </c>
      <c r="B88">
        <v>120224</v>
      </c>
      <c r="C88" t="s">
        <v>26</v>
      </c>
      <c r="D88" t="s">
        <v>27</v>
      </c>
      <c r="E88" t="s">
        <v>28</v>
      </c>
      <c r="F88" t="s">
        <v>229</v>
      </c>
      <c r="G88" s="1" t="str">
        <f>HYPERLINK("https://new.land.naver.com/complexes/120224", "클릭")</f>
        <v>클릭</v>
      </c>
      <c r="H88">
        <v>2017</v>
      </c>
      <c r="I88">
        <v>1</v>
      </c>
      <c r="J88">
        <v>24</v>
      </c>
      <c r="K88">
        <v>58</v>
      </c>
      <c r="L88" t="s">
        <v>135</v>
      </c>
      <c r="M88" t="s">
        <v>137</v>
      </c>
      <c r="N88" t="s">
        <v>278</v>
      </c>
      <c r="O88">
        <v>35000</v>
      </c>
      <c r="P88" t="s">
        <v>278</v>
      </c>
      <c r="Q88">
        <v>26000</v>
      </c>
      <c r="R88">
        <v>9000</v>
      </c>
      <c r="S88" s="2">
        <v>0.74285714285714288</v>
      </c>
      <c r="T88">
        <v>38000</v>
      </c>
      <c r="U88" s="2">
        <v>-7.8947368421052627E-2</v>
      </c>
      <c r="X88">
        <v>73</v>
      </c>
      <c r="Y88">
        <v>85</v>
      </c>
      <c r="Z88">
        <v>-12</v>
      </c>
      <c r="AA88" t="s">
        <v>198</v>
      </c>
    </row>
    <row r="89" spans="1:27" x14ac:dyDescent="0.3">
      <c r="A89" s="3">
        <v>87</v>
      </c>
      <c r="B89">
        <v>9061</v>
      </c>
      <c r="C89" t="s">
        <v>26</v>
      </c>
      <c r="D89" t="s">
        <v>27</v>
      </c>
      <c r="E89" t="s">
        <v>28</v>
      </c>
      <c r="F89" t="s">
        <v>119</v>
      </c>
      <c r="G89" s="1" t="str">
        <f>HYPERLINK("https://new.land.naver.com/complexes/9061", "클릭")</f>
        <v>클릭</v>
      </c>
      <c r="H89">
        <v>1999</v>
      </c>
      <c r="I89">
        <v>1</v>
      </c>
      <c r="J89">
        <v>113</v>
      </c>
      <c r="K89">
        <v>59</v>
      </c>
      <c r="L89" t="s">
        <v>136</v>
      </c>
      <c r="M89" t="s">
        <v>138</v>
      </c>
      <c r="N89" t="s">
        <v>258</v>
      </c>
      <c r="O89">
        <v>33500</v>
      </c>
      <c r="P89" t="s">
        <v>258</v>
      </c>
      <c r="Q89">
        <v>26500</v>
      </c>
      <c r="R89">
        <v>7000</v>
      </c>
      <c r="S89" s="2">
        <v>0.79104477611940294</v>
      </c>
      <c r="T89">
        <v>47000</v>
      </c>
      <c r="U89" s="2">
        <v>-0.28723404255319152</v>
      </c>
      <c r="X89">
        <v>64</v>
      </c>
      <c r="Y89">
        <v>88</v>
      </c>
      <c r="Z89">
        <v>-24</v>
      </c>
      <c r="AA89" t="s">
        <v>198</v>
      </c>
    </row>
    <row r="90" spans="1:27" x14ac:dyDescent="0.3">
      <c r="A90" s="3">
        <v>88</v>
      </c>
      <c r="B90">
        <v>2049</v>
      </c>
      <c r="C90" t="s">
        <v>26</v>
      </c>
      <c r="D90" t="s">
        <v>27</v>
      </c>
      <c r="E90" t="s">
        <v>28</v>
      </c>
      <c r="F90" t="s">
        <v>233</v>
      </c>
      <c r="G90" s="1" t="str">
        <f>HYPERLINK("https://new.land.naver.com/complexes/2049", "클릭")</f>
        <v>클릭</v>
      </c>
      <c r="H90">
        <v>1996</v>
      </c>
      <c r="I90">
        <v>6</v>
      </c>
      <c r="J90">
        <v>47</v>
      </c>
      <c r="K90">
        <v>59</v>
      </c>
      <c r="L90" t="s">
        <v>136</v>
      </c>
      <c r="M90" t="s">
        <v>138</v>
      </c>
      <c r="N90" t="s">
        <v>270</v>
      </c>
      <c r="O90">
        <v>33000</v>
      </c>
      <c r="P90" t="s">
        <v>270</v>
      </c>
      <c r="Q90">
        <v>25500</v>
      </c>
      <c r="R90">
        <v>7500</v>
      </c>
      <c r="S90" s="2">
        <v>0.77272727272727271</v>
      </c>
      <c r="T90">
        <v>40300</v>
      </c>
      <c r="U90" s="2">
        <v>-0.1811414392059553</v>
      </c>
      <c r="X90">
        <v>70</v>
      </c>
      <c r="Y90">
        <v>89</v>
      </c>
      <c r="Z90">
        <v>-19</v>
      </c>
      <c r="AA90" t="s">
        <v>198</v>
      </c>
    </row>
    <row r="91" spans="1:27" x14ac:dyDescent="0.3">
      <c r="A91" s="3">
        <v>89</v>
      </c>
      <c r="B91">
        <v>2047</v>
      </c>
      <c r="C91" t="s">
        <v>26</v>
      </c>
      <c r="D91" t="s">
        <v>27</v>
      </c>
      <c r="E91" t="s">
        <v>28</v>
      </c>
      <c r="F91" t="s">
        <v>127</v>
      </c>
      <c r="G91" s="1" t="str">
        <f>HYPERLINK("https://new.land.naver.com/complexes/2047", "클릭")</f>
        <v>클릭</v>
      </c>
      <c r="H91">
        <v>1994</v>
      </c>
      <c r="I91">
        <v>11</v>
      </c>
      <c r="J91">
        <v>148</v>
      </c>
      <c r="K91">
        <v>59</v>
      </c>
      <c r="L91" t="s">
        <v>136</v>
      </c>
      <c r="M91" t="s">
        <v>138</v>
      </c>
      <c r="N91" t="s">
        <v>263</v>
      </c>
      <c r="O91">
        <v>33000</v>
      </c>
      <c r="P91" t="s">
        <v>263</v>
      </c>
      <c r="Q91">
        <v>22000</v>
      </c>
      <c r="R91">
        <v>11000</v>
      </c>
      <c r="S91" s="2">
        <v>0.66666666666666663</v>
      </c>
      <c r="T91">
        <v>32000</v>
      </c>
      <c r="U91" s="2">
        <v>3.125E-2</v>
      </c>
      <c r="V91">
        <v>19500</v>
      </c>
      <c r="W91" s="2">
        <v>1.6923076923076921</v>
      </c>
      <c r="X91">
        <v>82</v>
      </c>
      <c r="Y91">
        <v>89</v>
      </c>
      <c r="Z91">
        <v>-7</v>
      </c>
      <c r="AA91" t="s">
        <v>198</v>
      </c>
    </row>
    <row r="92" spans="1:27" x14ac:dyDescent="0.3">
      <c r="A92" s="3">
        <v>90</v>
      </c>
      <c r="B92">
        <v>1975</v>
      </c>
      <c r="C92" t="s">
        <v>26</v>
      </c>
      <c r="D92" t="s">
        <v>27</v>
      </c>
      <c r="E92" t="s">
        <v>29</v>
      </c>
      <c r="F92" t="s">
        <v>110</v>
      </c>
      <c r="G92" s="1" t="str">
        <f>HYPERLINK("https://new.land.naver.com/complexes/1975", "클릭")</f>
        <v>클릭</v>
      </c>
      <c r="H92">
        <v>1996</v>
      </c>
      <c r="I92">
        <v>2</v>
      </c>
      <c r="J92">
        <v>46</v>
      </c>
      <c r="K92">
        <v>57</v>
      </c>
      <c r="L92" t="s">
        <v>135</v>
      </c>
      <c r="M92" t="s">
        <v>138</v>
      </c>
      <c r="N92" t="s">
        <v>279</v>
      </c>
      <c r="O92">
        <v>32000</v>
      </c>
      <c r="T92">
        <v>35500</v>
      </c>
      <c r="U92" s="2">
        <v>-9.8591549295774641E-2</v>
      </c>
      <c r="V92">
        <v>22500</v>
      </c>
      <c r="W92" s="2">
        <v>1.4222222222222221</v>
      </c>
      <c r="X92">
        <v>77</v>
      </c>
      <c r="Y92">
        <v>91</v>
      </c>
      <c r="Z92">
        <v>-14</v>
      </c>
      <c r="AA92" t="s">
        <v>198</v>
      </c>
    </row>
    <row r="93" spans="1:27" x14ac:dyDescent="0.3">
      <c r="A93" s="3">
        <v>91</v>
      </c>
      <c r="B93">
        <v>125237</v>
      </c>
      <c r="C93" t="s">
        <v>26</v>
      </c>
      <c r="D93" t="s">
        <v>27</v>
      </c>
      <c r="E93" t="s">
        <v>28</v>
      </c>
      <c r="F93" t="s">
        <v>234</v>
      </c>
      <c r="G93" s="1" t="str">
        <f>HYPERLINK("https://new.land.naver.com/complexes/125237", "클릭")</f>
        <v>클릭</v>
      </c>
      <c r="H93">
        <v>2019</v>
      </c>
      <c r="I93">
        <v>2</v>
      </c>
      <c r="J93">
        <v>41</v>
      </c>
      <c r="K93">
        <v>58</v>
      </c>
      <c r="L93" t="s">
        <v>135</v>
      </c>
      <c r="M93" t="s">
        <v>137</v>
      </c>
      <c r="N93" t="s">
        <v>280</v>
      </c>
      <c r="O93">
        <v>32000</v>
      </c>
      <c r="P93" t="s">
        <v>280</v>
      </c>
      <c r="Q93">
        <v>22000</v>
      </c>
      <c r="R93">
        <v>10000</v>
      </c>
      <c r="S93" s="2">
        <v>0.6875</v>
      </c>
      <c r="Y93">
        <v>91</v>
      </c>
      <c r="AA93" t="s">
        <v>198</v>
      </c>
    </row>
    <row r="94" spans="1:27" x14ac:dyDescent="0.3">
      <c r="A94" s="3">
        <v>92</v>
      </c>
      <c r="B94">
        <v>2046</v>
      </c>
      <c r="C94" t="s">
        <v>26</v>
      </c>
      <c r="D94" t="s">
        <v>27</v>
      </c>
      <c r="E94" t="s">
        <v>28</v>
      </c>
      <c r="F94" t="s">
        <v>121</v>
      </c>
      <c r="G94" s="1" t="str">
        <f>HYPERLINK("https://new.land.naver.com/complexes/2046", "클릭")</f>
        <v>클릭</v>
      </c>
      <c r="H94">
        <v>1996</v>
      </c>
      <c r="I94">
        <v>10</v>
      </c>
      <c r="J94">
        <v>261</v>
      </c>
      <c r="K94">
        <v>59</v>
      </c>
      <c r="L94" t="s">
        <v>135</v>
      </c>
      <c r="M94" t="s">
        <v>235</v>
      </c>
      <c r="N94" t="s">
        <v>263</v>
      </c>
      <c r="O94">
        <v>31000</v>
      </c>
      <c r="P94" t="s">
        <v>263</v>
      </c>
      <c r="Q94">
        <v>24000</v>
      </c>
      <c r="R94">
        <v>7000</v>
      </c>
      <c r="S94" s="2">
        <v>0.77419354838709675</v>
      </c>
      <c r="T94">
        <v>37500</v>
      </c>
      <c r="U94" s="2">
        <v>-0.17333333333333331</v>
      </c>
      <c r="V94">
        <v>18500</v>
      </c>
      <c r="W94" s="2">
        <v>1.6756756756756761</v>
      </c>
      <c r="X94">
        <v>76</v>
      </c>
      <c r="Y94">
        <v>93</v>
      </c>
      <c r="Z94">
        <v>-17</v>
      </c>
      <c r="AA94" t="s">
        <v>198</v>
      </c>
    </row>
    <row r="95" spans="1:27" x14ac:dyDescent="0.3">
      <c r="A95" s="3">
        <v>93</v>
      </c>
      <c r="B95">
        <v>120224</v>
      </c>
      <c r="C95" t="s">
        <v>26</v>
      </c>
      <c r="D95" t="s">
        <v>27</v>
      </c>
      <c r="E95" t="s">
        <v>28</v>
      </c>
      <c r="F95" t="s">
        <v>229</v>
      </c>
      <c r="G95" s="1" t="str">
        <f>HYPERLINK("https://new.land.naver.com/complexes/120224", "클릭")</f>
        <v>클릭</v>
      </c>
      <c r="H95">
        <v>2017</v>
      </c>
      <c r="I95">
        <v>1</v>
      </c>
      <c r="J95">
        <v>24</v>
      </c>
      <c r="K95">
        <v>57</v>
      </c>
      <c r="P95" t="s">
        <v>279</v>
      </c>
      <c r="Q95">
        <v>28000</v>
      </c>
      <c r="T95">
        <v>38000</v>
      </c>
      <c r="X95">
        <v>73</v>
      </c>
    </row>
    <row r="96" spans="1:27" x14ac:dyDescent="0.3">
      <c r="A96" s="3">
        <v>94</v>
      </c>
      <c r="B96">
        <v>128689</v>
      </c>
      <c r="C96" t="s">
        <v>26</v>
      </c>
      <c r="D96" t="s">
        <v>27</v>
      </c>
      <c r="E96" t="s">
        <v>28</v>
      </c>
      <c r="F96" t="s">
        <v>230</v>
      </c>
      <c r="G96" s="1" t="str">
        <f>HYPERLINK("https://new.land.naver.com/complexes/128689", "클릭")</f>
        <v>클릭</v>
      </c>
      <c r="H96">
        <v>2019</v>
      </c>
      <c r="I96">
        <v>7</v>
      </c>
      <c r="J96">
        <v>42</v>
      </c>
      <c r="K96">
        <v>57</v>
      </c>
      <c r="P96" t="s">
        <v>286</v>
      </c>
      <c r="Q96">
        <v>30000</v>
      </c>
      <c r="T96">
        <v>35500</v>
      </c>
      <c r="X96">
        <v>77</v>
      </c>
    </row>
  </sheetData>
  <phoneticPr fontId="4" type="noConversion"/>
  <conditionalFormatting sqref="H2:H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96">
    <cfRule type="containsBlanks" dxfId="23" priority="4">
      <formula>LEN(TRIM(R2))=0</formula>
    </cfRule>
    <cfRule type="cellIs" dxfId="22" priority="5" operator="lessThanOrEqual">
      <formula>10000</formula>
    </cfRule>
  </conditionalFormatting>
  <conditionalFormatting sqref="S2:S96">
    <cfRule type="cellIs" dxfId="21" priority="1" operator="greaterThanOrEqual">
      <formula>0.7</formula>
    </cfRule>
  </conditionalFormatting>
  <conditionalFormatting sqref="U2:U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60"/>
  <sheetViews>
    <sheetView workbookViewId="0"/>
  </sheetViews>
  <sheetFormatPr defaultRowHeight="16.5" x14ac:dyDescent="0.3"/>
  <cols>
    <col min="1" max="1" width="4" bestFit="1" customWidth="1"/>
    <col min="2" max="2" width="7" bestFit="1" customWidth="1"/>
    <col min="3" max="3" width="4.375" bestFit="1" customWidth="1"/>
    <col min="4" max="4" width="8.25" bestFit="1" customWidth="1"/>
    <col min="5" max="5" width="4.375" bestFit="1" customWidth="1"/>
    <col min="6" max="6" width="16.125" bestFit="1" customWidth="1"/>
    <col min="7" max="7" width="7.875" style="1" bestFit="1" customWidth="1"/>
    <col min="8" max="8" width="5.625" bestFit="1" customWidth="1"/>
    <col min="9" max="9" width="4.375" bestFit="1" customWidth="1"/>
    <col min="10" max="10" width="5" bestFit="1" customWidth="1"/>
    <col min="11" max="12" width="5.625" bestFit="1" customWidth="1"/>
    <col min="13" max="13" width="9" bestFit="1" customWidth="1"/>
    <col min="14" max="14" width="5.625" bestFit="1" customWidth="1"/>
    <col min="15" max="15" width="9" bestFit="1" customWidth="1"/>
    <col min="16" max="16" width="5.625" bestFit="1" customWidth="1"/>
    <col min="17" max="18" width="8" bestFit="1" customWidth="1"/>
    <col min="19" max="19" width="20" style="2" bestFit="1" customWidth="1"/>
    <col min="20" max="20" width="4.375" bestFit="1" customWidth="1"/>
    <col min="21" max="21" width="7.125" style="2" bestFit="1" customWidth="1"/>
    <col min="22" max="22" width="8" bestFit="1" customWidth="1"/>
    <col min="23" max="23" width="19" style="2" bestFit="1" customWidth="1"/>
    <col min="24" max="25" width="7.125" bestFit="1" customWidth="1"/>
    <col min="26" max="26" width="5.625" bestFit="1" customWidth="1"/>
    <col min="27" max="27" width="10.75" bestFit="1" customWidth="1"/>
  </cols>
  <sheetData>
    <row r="1" spans="1:27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3">
        <v>0</v>
      </c>
      <c r="B2">
        <v>142558</v>
      </c>
      <c r="C2" t="s">
        <v>26</v>
      </c>
      <c r="D2" t="s">
        <v>27</v>
      </c>
      <c r="E2" t="s">
        <v>28</v>
      </c>
      <c r="F2" t="s">
        <v>34</v>
      </c>
      <c r="G2" s="1" t="str">
        <f>HYPERLINK("https://new.land.naver.com/complexes/142558", "클릭")</f>
        <v>클릭</v>
      </c>
      <c r="H2">
        <v>2024</v>
      </c>
      <c r="I2">
        <v>8</v>
      </c>
      <c r="J2">
        <v>2417</v>
      </c>
      <c r="K2">
        <v>74</v>
      </c>
      <c r="L2" t="s">
        <v>135</v>
      </c>
      <c r="M2" t="s">
        <v>137</v>
      </c>
      <c r="N2" t="s">
        <v>171</v>
      </c>
      <c r="O2">
        <v>110000</v>
      </c>
      <c r="P2" t="s">
        <v>171</v>
      </c>
      <c r="Q2">
        <v>58000</v>
      </c>
      <c r="R2">
        <v>52000</v>
      </c>
      <c r="S2" s="2">
        <v>0.52727272727272723</v>
      </c>
      <c r="AA2" t="s">
        <v>198</v>
      </c>
    </row>
    <row r="3" spans="1:27" x14ac:dyDescent="0.3">
      <c r="A3" s="3">
        <v>1</v>
      </c>
      <c r="B3">
        <v>8626</v>
      </c>
      <c r="C3" t="s">
        <v>26</v>
      </c>
      <c r="D3" t="s">
        <v>27</v>
      </c>
      <c r="E3" t="s">
        <v>30</v>
      </c>
      <c r="F3" t="s">
        <v>292</v>
      </c>
      <c r="G3" s="1" t="str">
        <f>HYPERLINK("https://new.land.naver.com/complexes/8626", "클릭")</f>
        <v>클릭</v>
      </c>
      <c r="H3">
        <v>2002</v>
      </c>
      <c r="I3">
        <v>6</v>
      </c>
      <c r="J3">
        <v>967</v>
      </c>
      <c r="K3">
        <v>80</v>
      </c>
      <c r="L3" t="s">
        <v>135</v>
      </c>
      <c r="M3" t="s">
        <v>137</v>
      </c>
      <c r="N3" t="s">
        <v>163</v>
      </c>
      <c r="O3">
        <v>109000</v>
      </c>
      <c r="P3" t="s">
        <v>163</v>
      </c>
      <c r="Q3">
        <v>64000</v>
      </c>
      <c r="R3">
        <v>45000</v>
      </c>
      <c r="S3" s="2">
        <v>0.58715596330275233</v>
      </c>
      <c r="V3">
        <v>69700</v>
      </c>
      <c r="W3" s="2">
        <v>1.5638450502152079</v>
      </c>
      <c r="AA3" t="s">
        <v>198</v>
      </c>
    </row>
    <row r="4" spans="1:27" x14ac:dyDescent="0.3">
      <c r="A4" s="3">
        <v>2</v>
      </c>
      <c r="B4">
        <v>8981</v>
      </c>
      <c r="C4" t="s">
        <v>26</v>
      </c>
      <c r="D4" t="s">
        <v>27</v>
      </c>
      <c r="E4" t="s">
        <v>28</v>
      </c>
      <c r="F4" t="s">
        <v>210</v>
      </c>
      <c r="G4" s="1" t="str">
        <f>HYPERLINK("https://new.land.naver.com/complexes/8981", "클릭")</f>
        <v>클릭</v>
      </c>
      <c r="H4">
        <v>1983</v>
      </c>
      <c r="I4">
        <v>9</v>
      </c>
      <c r="J4">
        <v>100</v>
      </c>
      <c r="K4">
        <v>61</v>
      </c>
      <c r="L4" t="s">
        <v>135</v>
      </c>
      <c r="M4" t="s">
        <v>138</v>
      </c>
      <c r="N4" t="s">
        <v>339</v>
      </c>
      <c r="O4">
        <v>106000</v>
      </c>
      <c r="P4" t="s">
        <v>339</v>
      </c>
      <c r="Q4">
        <v>55000</v>
      </c>
      <c r="R4">
        <v>51000</v>
      </c>
      <c r="S4" s="2">
        <v>0.51886792452830188</v>
      </c>
      <c r="V4">
        <v>38000</v>
      </c>
      <c r="W4" s="2">
        <v>2.7894736842105261</v>
      </c>
      <c r="AA4" t="s">
        <v>198</v>
      </c>
    </row>
    <row r="5" spans="1:27" x14ac:dyDescent="0.3">
      <c r="A5" s="3">
        <v>3</v>
      </c>
      <c r="B5">
        <v>2037</v>
      </c>
      <c r="C5" t="s">
        <v>26</v>
      </c>
      <c r="D5" t="s">
        <v>27</v>
      </c>
      <c r="E5" t="s">
        <v>28</v>
      </c>
      <c r="F5" t="s">
        <v>293</v>
      </c>
      <c r="G5" s="1" t="str">
        <f>HYPERLINK("https://new.land.naver.com/complexes/2037", "클릭")</f>
        <v>클릭</v>
      </c>
      <c r="H5">
        <v>1981</v>
      </c>
      <c r="I5">
        <v>6</v>
      </c>
      <c r="J5">
        <v>49</v>
      </c>
      <c r="K5">
        <v>65</v>
      </c>
      <c r="L5" t="s">
        <v>136</v>
      </c>
      <c r="M5" t="s">
        <v>138</v>
      </c>
      <c r="N5" t="s">
        <v>340</v>
      </c>
      <c r="O5">
        <v>106000</v>
      </c>
      <c r="P5" t="s">
        <v>340</v>
      </c>
      <c r="Q5">
        <v>33000</v>
      </c>
      <c r="R5">
        <v>73000</v>
      </c>
      <c r="S5" s="2">
        <v>0.31132075471698112</v>
      </c>
      <c r="V5">
        <v>40500</v>
      </c>
      <c r="W5" s="2">
        <v>2.617283950617284</v>
      </c>
      <c r="AA5" t="s">
        <v>198</v>
      </c>
    </row>
    <row r="6" spans="1:27" x14ac:dyDescent="0.3">
      <c r="A6" s="3">
        <v>4</v>
      </c>
      <c r="B6">
        <v>8626</v>
      </c>
      <c r="C6" t="s">
        <v>26</v>
      </c>
      <c r="D6" t="s">
        <v>27</v>
      </c>
      <c r="E6" t="s">
        <v>30</v>
      </c>
      <c r="F6" t="s">
        <v>292</v>
      </c>
      <c r="G6" s="1" t="str">
        <f>HYPERLINK("https://new.land.naver.com/complexes/8626", "클릭")</f>
        <v>클릭</v>
      </c>
      <c r="H6">
        <v>2002</v>
      </c>
      <c r="I6">
        <v>6</v>
      </c>
      <c r="J6">
        <v>967</v>
      </c>
      <c r="K6">
        <v>65</v>
      </c>
      <c r="L6" t="s">
        <v>135</v>
      </c>
      <c r="M6" t="s">
        <v>137</v>
      </c>
      <c r="N6" t="s">
        <v>341</v>
      </c>
      <c r="O6">
        <v>106000</v>
      </c>
      <c r="P6" t="s">
        <v>341</v>
      </c>
      <c r="Q6">
        <v>65000</v>
      </c>
      <c r="R6">
        <v>41000</v>
      </c>
      <c r="S6" s="2">
        <v>0.6132075471698113</v>
      </c>
      <c r="V6">
        <v>56000</v>
      </c>
      <c r="W6" s="2">
        <v>1.892857142857143</v>
      </c>
      <c r="AA6" t="s">
        <v>198</v>
      </c>
    </row>
    <row r="7" spans="1:27" x14ac:dyDescent="0.3">
      <c r="A7" s="3">
        <v>5</v>
      </c>
      <c r="B7">
        <v>144023</v>
      </c>
      <c r="C7" t="s">
        <v>26</v>
      </c>
      <c r="D7" t="s">
        <v>27</v>
      </c>
      <c r="E7" t="s">
        <v>31</v>
      </c>
      <c r="F7" t="s">
        <v>40</v>
      </c>
      <c r="G7" s="1" t="str">
        <f>HYPERLINK("https://new.land.naver.com/complexes/144023", "클릭")</f>
        <v>클릭</v>
      </c>
      <c r="H7">
        <v>2024</v>
      </c>
      <c r="I7">
        <v>6</v>
      </c>
      <c r="J7">
        <v>2739</v>
      </c>
      <c r="K7">
        <v>74</v>
      </c>
      <c r="L7" t="s">
        <v>135</v>
      </c>
      <c r="M7" t="s">
        <v>137</v>
      </c>
      <c r="N7" t="s">
        <v>169</v>
      </c>
      <c r="O7">
        <v>105000</v>
      </c>
      <c r="P7" t="s">
        <v>169</v>
      </c>
      <c r="Q7">
        <v>51000</v>
      </c>
      <c r="R7">
        <v>54000</v>
      </c>
      <c r="S7" s="2">
        <v>0.48571428571428571</v>
      </c>
      <c r="AA7" t="s">
        <v>204</v>
      </c>
    </row>
    <row r="8" spans="1:27" x14ac:dyDescent="0.3">
      <c r="A8" s="3">
        <v>6</v>
      </c>
      <c r="B8">
        <v>154917</v>
      </c>
      <c r="C8" t="s">
        <v>26</v>
      </c>
      <c r="D8" t="s">
        <v>27</v>
      </c>
      <c r="E8" t="s">
        <v>28</v>
      </c>
      <c r="F8" t="s">
        <v>32</v>
      </c>
      <c r="G8" s="1" t="str">
        <f>HYPERLINK("https://new.land.naver.com/complexes/154917", "클릭")</f>
        <v>클릭</v>
      </c>
      <c r="H8">
        <v>2023</v>
      </c>
      <c r="I8">
        <v>11</v>
      </c>
      <c r="J8">
        <v>2886</v>
      </c>
      <c r="K8">
        <v>72</v>
      </c>
      <c r="L8" t="s">
        <v>135</v>
      </c>
      <c r="M8" t="s">
        <v>137</v>
      </c>
      <c r="N8" t="s">
        <v>342</v>
      </c>
      <c r="O8">
        <v>105000</v>
      </c>
      <c r="P8" t="s">
        <v>342</v>
      </c>
      <c r="Q8">
        <v>66000</v>
      </c>
      <c r="R8">
        <v>39000</v>
      </c>
      <c r="S8" s="2">
        <v>0.62857142857142856</v>
      </c>
      <c r="AA8" t="s">
        <v>205</v>
      </c>
    </row>
    <row r="9" spans="1:27" x14ac:dyDescent="0.3">
      <c r="A9" s="3">
        <v>7</v>
      </c>
      <c r="B9">
        <v>113297</v>
      </c>
      <c r="C9" t="s">
        <v>26</v>
      </c>
      <c r="D9" t="s">
        <v>27</v>
      </c>
      <c r="E9" t="s">
        <v>28</v>
      </c>
      <c r="F9" t="s">
        <v>37</v>
      </c>
      <c r="G9" s="1" t="str">
        <f>HYPERLINK("https://new.land.naver.com/complexes/113297", "클릭")</f>
        <v>클릭</v>
      </c>
      <c r="H9">
        <v>2019</v>
      </c>
      <c r="I9">
        <v>3</v>
      </c>
      <c r="J9">
        <v>1174</v>
      </c>
      <c r="K9">
        <v>74</v>
      </c>
      <c r="L9" t="s">
        <v>135</v>
      </c>
      <c r="M9" t="s">
        <v>137</v>
      </c>
      <c r="N9" t="s">
        <v>181</v>
      </c>
      <c r="O9">
        <v>104000</v>
      </c>
      <c r="P9" t="s">
        <v>181</v>
      </c>
      <c r="Q9">
        <v>58000</v>
      </c>
      <c r="R9">
        <v>46000</v>
      </c>
      <c r="S9" s="2">
        <v>0.55769230769230771</v>
      </c>
      <c r="V9">
        <v>55200</v>
      </c>
      <c r="W9" s="2">
        <v>1.8840579710144929</v>
      </c>
      <c r="AA9" t="s">
        <v>198</v>
      </c>
    </row>
    <row r="10" spans="1:27" x14ac:dyDescent="0.3">
      <c r="A10" s="3">
        <v>8</v>
      </c>
      <c r="B10">
        <v>111921</v>
      </c>
      <c r="C10" t="s">
        <v>26</v>
      </c>
      <c r="D10" t="s">
        <v>27</v>
      </c>
      <c r="E10" t="s">
        <v>28</v>
      </c>
      <c r="F10" t="s">
        <v>213</v>
      </c>
      <c r="G10" s="1" t="str">
        <f>HYPERLINK("https://new.land.naver.com/complexes/111921", "클릭")</f>
        <v>클릭</v>
      </c>
      <c r="H10">
        <v>2018</v>
      </c>
      <c r="I10">
        <v>3</v>
      </c>
      <c r="J10">
        <v>200</v>
      </c>
      <c r="K10">
        <v>73</v>
      </c>
      <c r="L10" t="s">
        <v>135</v>
      </c>
      <c r="M10" t="s">
        <v>137</v>
      </c>
      <c r="N10" t="s">
        <v>343</v>
      </c>
      <c r="O10">
        <v>100000</v>
      </c>
      <c r="P10" t="s">
        <v>343</v>
      </c>
      <c r="Q10">
        <v>53000</v>
      </c>
      <c r="R10">
        <v>47000</v>
      </c>
      <c r="S10" s="2">
        <v>0.53</v>
      </c>
      <c r="V10">
        <v>49100</v>
      </c>
      <c r="W10" s="2">
        <v>2.0366598778004068</v>
      </c>
      <c r="AA10" t="s">
        <v>387</v>
      </c>
    </row>
    <row r="11" spans="1:27" x14ac:dyDescent="0.3">
      <c r="A11" s="3">
        <v>9</v>
      </c>
      <c r="B11">
        <v>111921</v>
      </c>
      <c r="C11" t="s">
        <v>26</v>
      </c>
      <c r="D11" t="s">
        <v>27</v>
      </c>
      <c r="E11" t="s">
        <v>28</v>
      </c>
      <c r="F11" t="s">
        <v>213</v>
      </c>
      <c r="G11" s="1" t="str">
        <f>HYPERLINK("https://new.land.naver.com/complexes/111921", "클릭")</f>
        <v>클릭</v>
      </c>
      <c r="H11">
        <v>2018</v>
      </c>
      <c r="I11">
        <v>3</v>
      </c>
      <c r="J11">
        <v>200</v>
      </c>
      <c r="K11">
        <v>82</v>
      </c>
      <c r="L11" t="s">
        <v>135</v>
      </c>
      <c r="M11" t="s">
        <v>137</v>
      </c>
      <c r="N11" t="s">
        <v>168</v>
      </c>
      <c r="O11">
        <v>96000</v>
      </c>
      <c r="P11" t="s">
        <v>168</v>
      </c>
      <c r="Q11">
        <v>53000</v>
      </c>
      <c r="R11">
        <v>43000</v>
      </c>
      <c r="S11" s="2">
        <v>0.55208333333333337</v>
      </c>
      <c r="V11">
        <v>53800</v>
      </c>
      <c r="W11" s="2">
        <v>1.7843866171003719</v>
      </c>
      <c r="AA11" t="s">
        <v>198</v>
      </c>
    </row>
    <row r="12" spans="1:27" x14ac:dyDescent="0.3">
      <c r="A12" s="3">
        <v>10</v>
      </c>
      <c r="B12">
        <v>122682</v>
      </c>
      <c r="C12" t="s">
        <v>26</v>
      </c>
      <c r="D12" t="s">
        <v>27</v>
      </c>
      <c r="E12" t="s">
        <v>28</v>
      </c>
      <c r="F12" t="s">
        <v>46</v>
      </c>
      <c r="G12" s="1" t="str">
        <f>HYPERLINK("https://new.land.naver.com/complexes/122682", "클릭")</f>
        <v>클릭</v>
      </c>
      <c r="H12">
        <v>2021</v>
      </c>
      <c r="I12">
        <v>4</v>
      </c>
      <c r="J12">
        <v>3850</v>
      </c>
      <c r="K12">
        <v>74</v>
      </c>
      <c r="L12" t="s">
        <v>135</v>
      </c>
      <c r="M12" t="s">
        <v>137</v>
      </c>
      <c r="N12" t="s">
        <v>171</v>
      </c>
      <c r="O12">
        <v>93000</v>
      </c>
      <c r="P12" t="s">
        <v>171</v>
      </c>
      <c r="Q12">
        <v>53000</v>
      </c>
      <c r="R12">
        <v>40000</v>
      </c>
      <c r="S12" s="2">
        <v>0.56989247311827962</v>
      </c>
      <c r="V12">
        <v>56300</v>
      </c>
      <c r="W12" s="2">
        <v>1.651865008880995</v>
      </c>
      <c r="AA12" t="s">
        <v>198</v>
      </c>
    </row>
    <row r="13" spans="1:27" x14ac:dyDescent="0.3">
      <c r="A13" s="3">
        <v>11</v>
      </c>
      <c r="B13">
        <v>102312</v>
      </c>
      <c r="C13" t="s">
        <v>26</v>
      </c>
      <c r="D13" t="s">
        <v>27</v>
      </c>
      <c r="E13" t="s">
        <v>29</v>
      </c>
      <c r="F13" t="s">
        <v>47</v>
      </c>
      <c r="G13" s="1" t="str">
        <f>HYPERLINK("https://new.land.naver.com/complexes/102312", "클릭")</f>
        <v>클릭</v>
      </c>
      <c r="H13">
        <v>2012</v>
      </c>
      <c r="I13">
        <v>4</v>
      </c>
      <c r="J13">
        <v>1042</v>
      </c>
      <c r="K13">
        <v>74</v>
      </c>
      <c r="L13" t="s">
        <v>135</v>
      </c>
      <c r="M13" t="s">
        <v>137</v>
      </c>
      <c r="N13" t="s">
        <v>344</v>
      </c>
      <c r="O13">
        <v>92000</v>
      </c>
      <c r="P13" t="s">
        <v>344</v>
      </c>
      <c r="Q13">
        <v>48000</v>
      </c>
      <c r="R13">
        <v>44000</v>
      </c>
      <c r="S13" s="2">
        <v>0.52173913043478259</v>
      </c>
      <c r="V13">
        <v>53700</v>
      </c>
      <c r="W13" s="2">
        <v>1.7132216014897581</v>
      </c>
      <c r="AA13" t="s">
        <v>198</v>
      </c>
    </row>
    <row r="14" spans="1:27" x14ac:dyDescent="0.3">
      <c r="A14" s="3">
        <v>12</v>
      </c>
      <c r="B14">
        <v>13922</v>
      </c>
      <c r="C14" t="s">
        <v>26</v>
      </c>
      <c r="D14" t="s">
        <v>27</v>
      </c>
      <c r="E14" t="s">
        <v>31</v>
      </c>
      <c r="F14" t="s">
        <v>51</v>
      </c>
      <c r="G14" s="1" t="str">
        <f>HYPERLINK("https://new.land.naver.com/complexes/13922", "클릭")</f>
        <v>클릭</v>
      </c>
      <c r="H14">
        <v>1981</v>
      </c>
      <c r="I14">
        <v>9</v>
      </c>
      <c r="J14">
        <v>912</v>
      </c>
      <c r="K14">
        <v>71</v>
      </c>
      <c r="L14" t="s">
        <v>136</v>
      </c>
      <c r="M14" t="s">
        <v>138</v>
      </c>
      <c r="N14" t="s">
        <v>345</v>
      </c>
      <c r="O14">
        <v>92000</v>
      </c>
      <c r="V14">
        <v>37000</v>
      </c>
      <c r="W14" s="2">
        <v>2.486486486486486</v>
      </c>
      <c r="AA14" t="s">
        <v>198</v>
      </c>
    </row>
    <row r="15" spans="1:27" x14ac:dyDescent="0.3">
      <c r="A15" s="3">
        <v>13</v>
      </c>
      <c r="B15">
        <v>126060</v>
      </c>
      <c r="C15" t="s">
        <v>26</v>
      </c>
      <c r="D15" t="s">
        <v>27</v>
      </c>
      <c r="E15" t="s">
        <v>31</v>
      </c>
      <c r="F15" t="s">
        <v>38</v>
      </c>
      <c r="G15" s="1" t="str">
        <f>HYPERLINK("https://new.land.naver.com/complexes/126060", "클릭")</f>
        <v>클릭</v>
      </c>
      <c r="H15">
        <v>2022</v>
      </c>
      <c r="I15">
        <v>3</v>
      </c>
      <c r="J15">
        <v>1199</v>
      </c>
      <c r="K15">
        <v>68</v>
      </c>
      <c r="L15" t="s">
        <v>135</v>
      </c>
      <c r="M15" t="s">
        <v>137</v>
      </c>
      <c r="N15" t="s">
        <v>346</v>
      </c>
      <c r="O15">
        <v>91000</v>
      </c>
      <c r="P15" t="s">
        <v>346</v>
      </c>
      <c r="Q15">
        <v>55000</v>
      </c>
      <c r="R15">
        <v>36000</v>
      </c>
      <c r="S15" s="2">
        <v>0.60439560439560436</v>
      </c>
      <c r="V15">
        <v>51800</v>
      </c>
      <c r="W15" s="2">
        <v>1.756756756756757</v>
      </c>
      <c r="AA15" t="s">
        <v>198</v>
      </c>
    </row>
    <row r="16" spans="1:27" x14ac:dyDescent="0.3">
      <c r="A16" s="3">
        <v>14</v>
      </c>
      <c r="B16">
        <v>111921</v>
      </c>
      <c r="C16" t="s">
        <v>26</v>
      </c>
      <c r="D16" t="s">
        <v>27</v>
      </c>
      <c r="E16" t="s">
        <v>28</v>
      </c>
      <c r="F16" t="s">
        <v>213</v>
      </c>
      <c r="G16" s="1" t="str">
        <f>HYPERLINK("https://new.land.naver.com/complexes/111921", "클릭")</f>
        <v>클릭</v>
      </c>
      <c r="H16">
        <v>2018</v>
      </c>
      <c r="I16">
        <v>3</v>
      </c>
      <c r="J16">
        <v>200</v>
      </c>
      <c r="K16">
        <v>81</v>
      </c>
      <c r="L16" t="s">
        <v>135</v>
      </c>
      <c r="M16" t="s">
        <v>137</v>
      </c>
      <c r="N16" t="s">
        <v>184</v>
      </c>
      <c r="O16">
        <v>89000</v>
      </c>
      <c r="P16" t="s">
        <v>184</v>
      </c>
      <c r="Q16">
        <v>50000</v>
      </c>
      <c r="R16">
        <v>39000</v>
      </c>
      <c r="S16" s="2">
        <v>0.5617977528089888</v>
      </c>
      <c r="V16">
        <v>53500</v>
      </c>
      <c r="W16" s="2">
        <v>1.6635514018691591</v>
      </c>
      <c r="AA16" t="s">
        <v>198</v>
      </c>
    </row>
    <row r="17" spans="1:27" x14ac:dyDescent="0.3">
      <c r="A17" s="3">
        <v>15</v>
      </c>
      <c r="B17">
        <v>13922</v>
      </c>
      <c r="C17" t="s">
        <v>26</v>
      </c>
      <c r="D17" t="s">
        <v>27</v>
      </c>
      <c r="E17" t="s">
        <v>31</v>
      </c>
      <c r="F17" t="s">
        <v>51</v>
      </c>
      <c r="G17" s="1" t="str">
        <f>HYPERLINK("https://new.land.naver.com/complexes/13922", "클릭")</f>
        <v>클릭</v>
      </c>
      <c r="H17">
        <v>1981</v>
      </c>
      <c r="I17">
        <v>9</v>
      </c>
      <c r="J17">
        <v>912</v>
      </c>
      <c r="K17">
        <v>75</v>
      </c>
      <c r="L17" t="s">
        <v>136</v>
      </c>
      <c r="M17" t="s">
        <v>137</v>
      </c>
      <c r="N17" t="s">
        <v>347</v>
      </c>
      <c r="O17">
        <v>88000</v>
      </c>
      <c r="V17">
        <v>42700</v>
      </c>
      <c r="W17" s="2">
        <v>2.0608899297423888</v>
      </c>
      <c r="AA17" t="s">
        <v>388</v>
      </c>
    </row>
    <row r="18" spans="1:27" x14ac:dyDescent="0.3">
      <c r="A18" s="3">
        <v>16</v>
      </c>
      <c r="B18">
        <v>1467</v>
      </c>
      <c r="C18" t="s">
        <v>26</v>
      </c>
      <c r="D18" t="s">
        <v>27</v>
      </c>
      <c r="E18" t="s">
        <v>31</v>
      </c>
      <c r="F18" t="s">
        <v>53</v>
      </c>
      <c r="G18" s="1" t="str">
        <f>HYPERLINK("https://new.land.naver.com/complexes/1467", "클릭")</f>
        <v>클릭</v>
      </c>
      <c r="H18">
        <v>1992</v>
      </c>
      <c r="I18">
        <v>5</v>
      </c>
      <c r="J18">
        <v>620</v>
      </c>
      <c r="K18">
        <v>76</v>
      </c>
      <c r="L18" t="s">
        <v>135</v>
      </c>
      <c r="M18" t="s">
        <v>138</v>
      </c>
      <c r="N18" t="s">
        <v>348</v>
      </c>
      <c r="O18">
        <v>87000</v>
      </c>
      <c r="P18" t="s">
        <v>348</v>
      </c>
      <c r="Q18">
        <v>42000</v>
      </c>
      <c r="R18">
        <v>45000</v>
      </c>
      <c r="S18" s="2">
        <v>0.48275862068965519</v>
      </c>
      <c r="V18">
        <v>51200</v>
      </c>
      <c r="W18" s="2">
        <v>1.69921875</v>
      </c>
      <c r="AA18" t="s">
        <v>198</v>
      </c>
    </row>
    <row r="19" spans="1:27" x14ac:dyDescent="0.3">
      <c r="A19" s="3">
        <v>17</v>
      </c>
      <c r="B19">
        <v>124780</v>
      </c>
      <c r="C19" t="s">
        <v>26</v>
      </c>
      <c r="D19" t="s">
        <v>27</v>
      </c>
      <c r="E19" t="s">
        <v>31</v>
      </c>
      <c r="F19" t="s">
        <v>45</v>
      </c>
      <c r="G19" s="1" t="str">
        <f>HYPERLINK("https://new.land.naver.com/complexes/124780", "클릭")</f>
        <v>클릭</v>
      </c>
      <c r="H19">
        <v>2021</v>
      </c>
      <c r="I19">
        <v>12</v>
      </c>
      <c r="J19">
        <v>2737</v>
      </c>
      <c r="K19">
        <v>75</v>
      </c>
      <c r="L19" t="s">
        <v>135</v>
      </c>
      <c r="M19" t="s">
        <v>137</v>
      </c>
      <c r="N19" t="s">
        <v>349</v>
      </c>
      <c r="O19">
        <v>87000</v>
      </c>
      <c r="P19" t="s">
        <v>349</v>
      </c>
      <c r="Q19">
        <v>55000</v>
      </c>
      <c r="R19">
        <v>32000</v>
      </c>
      <c r="S19" s="2">
        <v>0.63218390804597702</v>
      </c>
      <c r="V19">
        <v>48700</v>
      </c>
      <c r="W19" s="2">
        <v>1.786447638603696</v>
      </c>
      <c r="AA19" t="s">
        <v>198</v>
      </c>
    </row>
    <row r="20" spans="1:27" x14ac:dyDescent="0.3">
      <c r="A20" s="3">
        <v>18</v>
      </c>
      <c r="B20">
        <v>13922</v>
      </c>
      <c r="C20" t="s">
        <v>26</v>
      </c>
      <c r="D20" t="s">
        <v>27</v>
      </c>
      <c r="E20" t="s">
        <v>31</v>
      </c>
      <c r="F20" t="s">
        <v>51</v>
      </c>
      <c r="G20" s="1" t="str">
        <f>HYPERLINK("https://new.land.naver.com/complexes/13922", "클릭")</f>
        <v>클릭</v>
      </c>
      <c r="H20">
        <v>1981</v>
      </c>
      <c r="I20">
        <v>9</v>
      </c>
      <c r="J20">
        <v>912</v>
      </c>
      <c r="K20">
        <v>65</v>
      </c>
      <c r="L20" t="s">
        <v>136</v>
      </c>
      <c r="M20" t="s">
        <v>138</v>
      </c>
      <c r="N20" t="s">
        <v>350</v>
      </c>
      <c r="O20">
        <v>86000</v>
      </c>
      <c r="V20">
        <v>45300</v>
      </c>
      <c r="W20" s="2">
        <v>1.898454746136865</v>
      </c>
      <c r="AA20" t="s">
        <v>205</v>
      </c>
    </row>
    <row r="21" spans="1:27" x14ac:dyDescent="0.3">
      <c r="A21" s="3">
        <v>19</v>
      </c>
      <c r="B21">
        <v>13924</v>
      </c>
      <c r="C21" t="s">
        <v>26</v>
      </c>
      <c r="D21" t="s">
        <v>27</v>
      </c>
      <c r="E21" t="s">
        <v>31</v>
      </c>
      <c r="F21" t="s">
        <v>44</v>
      </c>
      <c r="G21" s="1" t="str">
        <f>HYPERLINK("https://new.land.naver.com/complexes/13924", "클릭")</f>
        <v>클릭</v>
      </c>
      <c r="H21">
        <v>1985</v>
      </c>
      <c r="I21">
        <v>8</v>
      </c>
      <c r="J21">
        <v>474</v>
      </c>
      <c r="K21">
        <v>66</v>
      </c>
      <c r="L21" t="s">
        <v>136</v>
      </c>
      <c r="M21" t="s">
        <v>235</v>
      </c>
      <c r="N21" t="s">
        <v>267</v>
      </c>
      <c r="O21">
        <v>86000</v>
      </c>
      <c r="V21">
        <v>48800</v>
      </c>
      <c r="W21" s="2">
        <v>1.762295081967213</v>
      </c>
      <c r="AA21" t="s">
        <v>199</v>
      </c>
    </row>
    <row r="22" spans="1:27" x14ac:dyDescent="0.3">
      <c r="A22" s="3">
        <v>20</v>
      </c>
      <c r="B22">
        <v>13922</v>
      </c>
      <c r="C22" t="s">
        <v>26</v>
      </c>
      <c r="D22" t="s">
        <v>27</v>
      </c>
      <c r="E22" t="s">
        <v>31</v>
      </c>
      <c r="F22" t="s">
        <v>51</v>
      </c>
      <c r="G22" s="1" t="str">
        <f>HYPERLINK("https://new.land.naver.com/complexes/13922", "클릭")</f>
        <v>클릭</v>
      </c>
      <c r="H22">
        <v>1981</v>
      </c>
      <c r="I22">
        <v>9</v>
      </c>
      <c r="J22">
        <v>912</v>
      </c>
      <c r="K22">
        <v>72</v>
      </c>
      <c r="L22" t="s">
        <v>136</v>
      </c>
      <c r="M22" t="s">
        <v>137</v>
      </c>
      <c r="N22" t="s">
        <v>351</v>
      </c>
      <c r="O22">
        <v>85300</v>
      </c>
      <c r="V22">
        <v>40200</v>
      </c>
      <c r="W22" s="2">
        <v>2.121890547263682</v>
      </c>
      <c r="AA22" t="s">
        <v>287</v>
      </c>
    </row>
    <row r="23" spans="1:27" x14ac:dyDescent="0.3">
      <c r="A23" s="3">
        <v>21</v>
      </c>
      <c r="B23">
        <v>13922</v>
      </c>
      <c r="C23" t="s">
        <v>26</v>
      </c>
      <c r="D23" t="s">
        <v>27</v>
      </c>
      <c r="E23" t="s">
        <v>31</v>
      </c>
      <c r="F23" t="s">
        <v>51</v>
      </c>
      <c r="G23" s="1" t="str">
        <f>HYPERLINK("https://new.land.naver.com/complexes/13922", "클릭")</f>
        <v>클릭</v>
      </c>
      <c r="H23">
        <v>1981</v>
      </c>
      <c r="I23">
        <v>9</v>
      </c>
      <c r="J23">
        <v>912</v>
      </c>
      <c r="K23">
        <v>62</v>
      </c>
      <c r="L23" t="s">
        <v>136</v>
      </c>
      <c r="M23" t="s">
        <v>235</v>
      </c>
      <c r="N23" t="s">
        <v>352</v>
      </c>
      <c r="O23">
        <v>85000</v>
      </c>
      <c r="V23">
        <v>32100</v>
      </c>
      <c r="W23" s="2">
        <v>2.64797507788162</v>
      </c>
      <c r="AA23" t="s">
        <v>205</v>
      </c>
    </row>
    <row r="24" spans="1:27" x14ac:dyDescent="0.3">
      <c r="A24" s="3">
        <v>22</v>
      </c>
      <c r="B24">
        <v>26320</v>
      </c>
      <c r="C24" t="s">
        <v>26</v>
      </c>
      <c r="D24" t="s">
        <v>27</v>
      </c>
      <c r="E24" t="s">
        <v>31</v>
      </c>
      <c r="F24" t="s">
        <v>67</v>
      </c>
      <c r="G24" s="1" t="str">
        <f>HYPERLINK("https://new.land.naver.com/complexes/26320", "클릭")</f>
        <v>클릭</v>
      </c>
      <c r="H24">
        <v>2008</v>
      </c>
      <c r="I24">
        <v>10</v>
      </c>
      <c r="J24">
        <v>486</v>
      </c>
      <c r="K24">
        <v>63</v>
      </c>
      <c r="L24" t="s">
        <v>135</v>
      </c>
      <c r="M24" t="s">
        <v>137</v>
      </c>
      <c r="N24" t="s">
        <v>271</v>
      </c>
      <c r="O24">
        <v>85000</v>
      </c>
      <c r="P24" t="s">
        <v>271</v>
      </c>
      <c r="Q24">
        <v>45000</v>
      </c>
      <c r="R24">
        <v>40000</v>
      </c>
      <c r="S24" s="2">
        <v>0.52941176470588236</v>
      </c>
      <c r="V24">
        <v>40800</v>
      </c>
      <c r="W24" s="2">
        <v>2.083333333333333</v>
      </c>
      <c r="AA24" t="s">
        <v>198</v>
      </c>
    </row>
    <row r="25" spans="1:27" x14ac:dyDescent="0.3">
      <c r="A25" s="3">
        <v>23</v>
      </c>
      <c r="B25">
        <v>23569</v>
      </c>
      <c r="C25" t="s">
        <v>26</v>
      </c>
      <c r="D25" t="s">
        <v>27</v>
      </c>
      <c r="E25" t="s">
        <v>31</v>
      </c>
      <c r="F25" t="s">
        <v>294</v>
      </c>
      <c r="G25" s="1" t="str">
        <f>HYPERLINK("https://new.land.naver.com/complexes/23569", "클릭")</f>
        <v>클릭</v>
      </c>
      <c r="H25">
        <v>2002</v>
      </c>
      <c r="I25">
        <v>12</v>
      </c>
      <c r="J25">
        <v>19</v>
      </c>
      <c r="K25">
        <v>68</v>
      </c>
      <c r="N25" t="s">
        <v>150</v>
      </c>
      <c r="O25">
        <v>80000</v>
      </c>
      <c r="AA25" t="s">
        <v>208</v>
      </c>
    </row>
    <row r="26" spans="1:27" x14ac:dyDescent="0.3">
      <c r="A26" s="3">
        <v>24</v>
      </c>
      <c r="B26">
        <v>23137</v>
      </c>
      <c r="C26" t="s">
        <v>26</v>
      </c>
      <c r="D26" t="s">
        <v>27</v>
      </c>
      <c r="E26" t="s">
        <v>29</v>
      </c>
      <c r="F26" t="s">
        <v>133</v>
      </c>
      <c r="G26" s="1" t="str">
        <f>HYPERLINK("https://new.land.naver.com/complexes/23137", "클릭")</f>
        <v>클릭</v>
      </c>
      <c r="H26">
        <v>2002</v>
      </c>
      <c r="I26">
        <v>5</v>
      </c>
      <c r="J26">
        <v>19</v>
      </c>
      <c r="K26">
        <v>82</v>
      </c>
      <c r="L26" t="s">
        <v>135</v>
      </c>
      <c r="M26" t="s">
        <v>137</v>
      </c>
      <c r="N26" t="s">
        <v>353</v>
      </c>
      <c r="O26">
        <v>80000</v>
      </c>
      <c r="P26" t="s">
        <v>353</v>
      </c>
      <c r="Q26">
        <v>36000</v>
      </c>
      <c r="R26">
        <v>44000</v>
      </c>
      <c r="S26" s="2">
        <v>0.45</v>
      </c>
      <c r="V26">
        <v>32400</v>
      </c>
      <c r="W26" s="2">
        <v>2.4691358024691361</v>
      </c>
      <c r="AA26" t="s">
        <v>389</v>
      </c>
    </row>
    <row r="27" spans="1:27" x14ac:dyDescent="0.3">
      <c r="A27" s="3">
        <v>25</v>
      </c>
      <c r="B27">
        <v>107639</v>
      </c>
      <c r="C27" t="s">
        <v>26</v>
      </c>
      <c r="D27" t="s">
        <v>27</v>
      </c>
      <c r="E27" t="s">
        <v>28</v>
      </c>
      <c r="F27" t="s">
        <v>70</v>
      </c>
      <c r="G27" s="1" t="str">
        <f>HYPERLINK("https://new.land.naver.com/complexes/107639", "클릭")</f>
        <v>클릭</v>
      </c>
      <c r="H27">
        <v>2015</v>
      </c>
      <c r="I27">
        <v>8</v>
      </c>
      <c r="J27">
        <v>410</v>
      </c>
      <c r="K27">
        <v>79</v>
      </c>
      <c r="L27" t="s">
        <v>135</v>
      </c>
      <c r="M27" t="s">
        <v>137</v>
      </c>
      <c r="N27" t="s">
        <v>171</v>
      </c>
      <c r="O27">
        <v>80000</v>
      </c>
      <c r="V27">
        <v>41100</v>
      </c>
      <c r="W27" s="2">
        <v>1.94647201946472</v>
      </c>
      <c r="AA27" t="s">
        <v>198</v>
      </c>
    </row>
    <row r="28" spans="1:27" x14ac:dyDescent="0.3">
      <c r="A28" s="3">
        <v>26</v>
      </c>
      <c r="B28">
        <v>127903</v>
      </c>
      <c r="C28" t="s">
        <v>26</v>
      </c>
      <c r="D28" t="s">
        <v>27</v>
      </c>
      <c r="E28" t="s">
        <v>31</v>
      </c>
      <c r="F28" t="s">
        <v>215</v>
      </c>
      <c r="G28" s="1" t="str">
        <f>HYPERLINK("https://new.land.naver.com/complexes/127903", "클릭")</f>
        <v>클릭</v>
      </c>
      <c r="H28">
        <v>2022</v>
      </c>
      <c r="I28">
        <v>4</v>
      </c>
      <c r="J28">
        <v>303</v>
      </c>
      <c r="K28">
        <v>76</v>
      </c>
      <c r="L28" t="s">
        <v>135</v>
      </c>
      <c r="M28" t="s">
        <v>137</v>
      </c>
      <c r="N28" t="s">
        <v>149</v>
      </c>
      <c r="O28">
        <v>77000</v>
      </c>
      <c r="P28" t="s">
        <v>149</v>
      </c>
      <c r="Q28">
        <v>51000</v>
      </c>
      <c r="R28">
        <v>26000</v>
      </c>
      <c r="S28" s="2">
        <v>0.66233766233766234</v>
      </c>
      <c r="V28">
        <v>45000</v>
      </c>
      <c r="W28" s="2">
        <v>1.711111111111111</v>
      </c>
      <c r="AA28" t="s">
        <v>198</v>
      </c>
    </row>
    <row r="29" spans="1:27" x14ac:dyDescent="0.3">
      <c r="A29" s="3">
        <v>27</v>
      </c>
      <c r="B29">
        <v>1472</v>
      </c>
      <c r="C29" t="s">
        <v>26</v>
      </c>
      <c r="D29" t="s">
        <v>27</v>
      </c>
      <c r="E29" t="s">
        <v>28</v>
      </c>
      <c r="F29" t="s">
        <v>52</v>
      </c>
      <c r="G29" s="1" t="str">
        <f>HYPERLINK("https://new.land.naver.com/complexes/1472", "클릭")</f>
        <v>클릭</v>
      </c>
      <c r="H29">
        <v>1992</v>
      </c>
      <c r="I29">
        <v>8</v>
      </c>
      <c r="J29">
        <v>438</v>
      </c>
      <c r="K29">
        <v>72</v>
      </c>
      <c r="L29" t="s">
        <v>135</v>
      </c>
      <c r="M29" t="s">
        <v>137</v>
      </c>
      <c r="N29" t="s">
        <v>259</v>
      </c>
      <c r="O29">
        <v>76000</v>
      </c>
      <c r="P29" t="s">
        <v>259</v>
      </c>
      <c r="Q29">
        <v>46000</v>
      </c>
      <c r="R29">
        <v>30000</v>
      </c>
      <c r="S29" s="2">
        <v>0.60526315789473684</v>
      </c>
      <c r="V29">
        <v>42100</v>
      </c>
      <c r="W29" s="2">
        <v>1.8052256532066511</v>
      </c>
      <c r="AA29" t="s">
        <v>198</v>
      </c>
    </row>
    <row r="30" spans="1:27" x14ac:dyDescent="0.3">
      <c r="A30" s="3">
        <v>28</v>
      </c>
      <c r="B30">
        <v>13918</v>
      </c>
      <c r="C30" t="s">
        <v>26</v>
      </c>
      <c r="D30" t="s">
        <v>27</v>
      </c>
      <c r="E30" t="s">
        <v>31</v>
      </c>
      <c r="F30" t="s">
        <v>295</v>
      </c>
      <c r="G30" s="1" t="str">
        <f>HYPERLINK("https://new.land.naver.com/complexes/13918", "클릭")</f>
        <v>클릭</v>
      </c>
      <c r="H30">
        <v>1988</v>
      </c>
      <c r="I30">
        <v>6</v>
      </c>
      <c r="J30">
        <v>126</v>
      </c>
      <c r="K30">
        <v>75</v>
      </c>
      <c r="N30" t="s">
        <v>346</v>
      </c>
      <c r="O30">
        <v>76000</v>
      </c>
      <c r="AA30" t="s">
        <v>390</v>
      </c>
    </row>
    <row r="31" spans="1:27" x14ac:dyDescent="0.3">
      <c r="A31" s="3">
        <v>29</v>
      </c>
      <c r="B31">
        <v>3081</v>
      </c>
      <c r="C31" t="s">
        <v>26</v>
      </c>
      <c r="D31" t="s">
        <v>27</v>
      </c>
      <c r="E31" t="s">
        <v>28</v>
      </c>
      <c r="F31" t="s">
        <v>72</v>
      </c>
      <c r="G31" s="1" t="str">
        <f>HYPERLINK("https://new.land.naver.com/complexes/3081", "클릭")</f>
        <v>클릭</v>
      </c>
      <c r="H31">
        <v>2002</v>
      </c>
      <c r="I31">
        <v>11</v>
      </c>
      <c r="J31">
        <v>604</v>
      </c>
      <c r="K31">
        <v>74</v>
      </c>
      <c r="L31" t="s">
        <v>135</v>
      </c>
      <c r="M31" t="s">
        <v>137</v>
      </c>
      <c r="N31" t="s">
        <v>354</v>
      </c>
      <c r="O31">
        <v>75000</v>
      </c>
      <c r="V31">
        <v>46500</v>
      </c>
      <c r="W31" s="2">
        <v>1.612903225806452</v>
      </c>
      <c r="AA31" t="s">
        <v>198</v>
      </c>
    </row>
    <row r="32" spans="1:27" x14ac:dyDescent="0.3">
      <c r="A32" s="3">
        <v>30</v>
      </c>
      <c r="B32">
        <v>1462</v>
      </c>
      <c r="C32" t="s">
        <v>26</v>
      </c>
      <c r="D32" t="s">
        <v>27</v>
      </c>
      <c r="E32" t="s">
        <v>29</v>
      </c>
      <c r="F32" t="s">
        <v>219</v>
      </c>
      <c r="G32" s="1" t="str">
        <f>HYPERLINK("https://new.land.naver.com/complexes/1462", "클릭")</f>
        <v>클릭</v>
      </c>
      <c r="H32">
        <v>1993</v>
      </c>
      <c r="I32">
        <v>2</v>
      </c>
      <c r="J32">
        <v>750</v>
      </c>
      <c r="K32">
        <v>79</v>
      </c>
      <c r="L32" t="s">
        <v>135</v>
      </c>
      <c r="M32" t="s">
        <v>137</v>
      </c>
      <c r="N32" t="s">
        <v>169</v>
      </c>
      <c r="O32">
        <v>73000</v>
      </c>
      <c r="P32" t="s">
        <v>169</v>
      </c>
      <c r="Q32">
        <v>44000</v>
      </c>
      <c r="R32">
        <v>29000</v>
      </c>
      <c r="S32" s="2">
        <v>0.60273972602739723</v>
      </c>
      <c r="V32">
        <v>44400</v>
      </c>
      <c r="W32" s="2">
        <v>1.644144144144144</v>
      </c>
      <c r="AA32" t="s">
        <v>198</v>
      </c>
    </row>
    <row r="33" spans="1:27" x14ac:dyDescent="0.3">
      <c r="A33" s="3">
        <v>31</v>
      </c>
      <c r="B33">
        <v>13922</v>
      </c>
      <c r="C33" t="s">
        <v>26</v>
      </c>
      <c r="D33" t="s">
        <v>27</v>
      </c>
      <c r="E33" t="s">
        <v>31</v>
      </c>
      <c r="F33" t="s">
        <v>51</v>
      </c>
      <c r="G33" s="1" t="str">
        <f>HYPERLINK("https://new.land.naver.com/complexes/13922", "클릭")</f>
        <v>클릭</v>
      </c>
      <c r="H33">
        <v>1981</v>
      </c>
      <c r="I33">
        <v>9</v>
      </c>
      <c r="J33">
        <v>912</v>
      </c>
      <c r="K33">
        <v>70</v>
      </c>
      <c r="L33" t="s">
        <v>136</v>
      </c>
      <c r="M33" t="s">
        <v>138</v>
      </c>
      <c r="N33" t="s">
        <v>355</v>
      </c>
      <c r="O33">
        <v>72600</v>
      </c>
      <c r="V33">
        <v>40200</v>
      </c>
      <c r="W33" s="2">
        <v>1.805970149253731</v>
      </c>
      <c r="AA33" t="s">
        <v>198</v>
      </c>
    </row>
    <row r="34" spans="1:27" x14ac:dyDescent="0.3">
      <c r="A34" s="3">
        <v>32</v>
      </c>
      <c r="B34">
        <v>8205</v>
      </c>
      <c r="C34" t="s">
        <v>26</v>
      </c>
      <c r="D34" t="s">
        <v>27</v>
      </c>
      <c r="E34" t="s">
        <v>30</v>
      </c>
      <c r="F34" t="s">
        <v>59</v>
      </c>
      <c r="G34" s="1" t="str">
        <f>HYPERLINK("https://new.land.naver.com/complexes/8205", "클릭")</f>
        <v>클릭</v>
      </c>
      <c r="H34">
        <v>2001</v>
      </c>
      <c r="I34">
        <v>4</v>
      </c>
      <c r="J34">
        <v>1996</v>
      </c>
      <c r="K34">
        <v>60</v>
      </c>
      <c r="L34" t="s">
        <v>135</v>
      </c>
      <c r="M34" t="s">
        <v>235</v>
      </c>
      <c r="N34" t="s">
        <v>239</v>
      </c>
      <c r="O34">
        <v>72000</v>
      </c>
      <c r="P34" t="s">
        <v>239</v>
      </c>
      <c r="Q34">
        <v>37000</v>
      </c>
      <c r="R34">
        <v>35000</v>
      </c>
      <c r="S34" s="2">
        <v>0.51388888888888884</v>
      </c>
      <c r="V34">
        <v>41400</v>
      </c>
      <c r="W34" s="2">
        <v>1.7391304347826091</v>
      </c>
      <c r="AA34" t="s">
        <v>198</v>
      </c>
    </row>
    <row r="35" spans="1:27" x14ac:dyDescent="0.3">
      <c r="A35" s="3">
        <v>33</v>
      </c>
      <c r="B35">
        <v>141825</v>
      </c>
      <c r="C35" t="s">
        <v>26</v>
      </c>
      <c r="D35" t="s">
        <v>27</v>
      </c>
      <c r="E35" t="s">
        <v>31</v>
      </c>
      <c r="F35" t="s">
        <v>296</v>
      </c>
      <c r="G35" s="1" t="str">
        <f>HYPERLINK("https://new.land.naver.com/complexes/141825", "클릭")</f>
        <v>클릭</v>
      </c>
      <c r="H35">
        <v>2023</v>
      </c>
      <c r="I35">
        <v>5</v>
      </c>
      <c r="J35">
        <v>230</v>
      </c>
      <c r="K35">
        <v>71</v>
      </c>
      <c r="L35" t="s">
        <v>135</v>
      </c>
      <c r="M35" t="s">
        <v>137</v>
      </c>
      <c r="N35" t="s">
        <v>341</v>
      </c>
      <c r="O35">
        <v>72000</v>
      </c>
      <c r="P35" t="s">
        <v>341</v>
      </c>
      <c r="Q35">
        <v>44000</v>
      </c>
      <c r="R35">
        <v>28000</v>
      </c>
      <c r="S35" s="2">
        <v>0.61111111111111116</v>
      </c>
      <c r="AA35" t="s">
        <v>198</v>
      </c>
    </row>
    <row r="36" spans="1:27" x14ac:dyDescent="0.3">
      <c r="A36" s="3">
        <v>34</v>
      </c>
      <c r="B36">
        <v>8481</v>
      </c>
      <c r="C36" t="s">
        <v>26</v>
      </c>
      <c r="D36" t="s">
        <v>27</v>
      </c>
      <c r="E36" t="s">
        <v>30</v>
      </c>
      <c r="F36" t="s">
        <v>64</v>
      </c>
      <c r="G36" s="1" t="str">
        <f>HYPERLINK("https://new.land.naver.com/complexes/8481", "클릭")</f>
        <v>클릭</v>
      </c>
      <c r="H36">
        <v>1993</v>
      </c>
      <c r="I36">
        <v>11</v>
      </c>
      <c r="J36">
        <v>870</v>
      </c>
      <c r="K36">
        <v>79</v>
      </c>
      <c r="L36" t="s">
        <v>135</v>
      </c>
      <c r="M36" t="s">
        <v>137</v>
      </c>
      <c r="N36" t="s">
        <v>342</v>
      </c>
      <c r="O36">
        <v>72000</v>
      </c>
      <c r="V36">
        <v>39000</v>
      </c>
      <c r="W36" s="2">
        <v>1.846153846153846</v>
      </c>
      <c r="AA36" t="s">
        <v>199</v>
      </c>
    </row>
    <row r="37" spans="1:27" x14ac:dyDescent="0.3">
      <c r="A37" s="3">
        <v>35</v>
      </c>
      <c r="B37">
        <v>13922</v>
      </c>
      <c r="C37" t="s">
        <v>26</v>
      </c>
      <c r="D37" t="s">
        <v>27</v>
      </c>
      <c r="E37" t="s">
        <v>31</v>
      </c>
      <c r="F37" t="s">
        <v>51</v>
      </c>
      <c r="G37" s="1" t="str">
        <f>HYPERLINK("https://new.land.naver.com/complexes/13922", "클릭")</f>
        <v>클릭</v>
      </c>
      <c r="H37">
        <v>1981</v>
      </c>
      <c r="I37">
        <v>9</v>
      </c>
      <c r="J37">
        <v>912</v>
      </c>
      <c r="K37">
        <v>69</v>
      </c>
      <c r="L37" t="s">
        <v>136</v>
      </c>
      <c r="M37" t="s">
        <v>235</v>
      </c>
      <c r="N37" t="s">
        <v>356</v>
      </c>
      <c r="O37">
        <v>70500</v>
      </c>
      <c r="V37">
        <v>40200</v>
      </c>
      <c r="W37" s="2">
        <v>1.7537313432835819</v>
      </c>
      <c r="AA37" t="s">
        <v>198</v>
      </c>
    </row>
    <row r="38" spans="1:27" x14ac:dyDescent="0.3">
      <c r="A38" s="3">
        <v>36</v>
      </c>
      <c r="B38">
        <v>2595</v>
      </c>
      <c r="C38" t="s">
        <v>26</v>
      </c>
      <c r="D38" t="s">
        <v>27</v>
      </c>
      <c r="E38" t="s">
        <v>30</v>
      </c>
      <c r="F38" t="s">
        <v>297</v>
      </c>
      <c r="G38" s="1" t="str">
        <f>HYPERLINK("https://new.land.naver.com/complexes/2595", "클릭")</f>
        <v>클릭</v>
      </c>
      <c r="H38">
        <v>1992</v>
      </c>
      <c r="I38">
        <v>10</v>
      </c>
      <c r="J38">
        <v>1743</v>
      </c>
      <c r="K38">
        <v>60</v>
      </c>
      <c r="L38" t="s">
        <v>136</v>
      </c>
      <c r="M38" t="s">
        <v>138</v>
      </c>
      <c r="N38" t="s">
        <v>263</v>
      </c>
      <c r="O38">
        <v>70000</v>
      </c>
      <c r="P38" t="s">
        <v>263</v>
      </c>
      <c r="Q38">
        <v>32000</v>
      </c>
      <c r="R38">
        <v>38000</v>
      </c>
      <c r="S38" s="2">
        <v>0.45714285714285707</v>
      </c>
      <c r="V38">
        <v>41700</v>
      </c>
      <c r="W38" s="2">
        <v>1.678657074340528</v>
      </c>
      <c r="AA38" t="s">
        <v>198</v>
      </c>
    </row>
    <row r="39" spans="1:27" x14ac:dyDescent="0.3">
      <c r="A39" s="3">
        <v>37</v>
      </c>
      <c r="B39">
        <v>3023</v>
      </c>
      <c r="C39" t="s">
        <v>26</v>
      </c>
      <c r="D39" t="s">
        <v>27</v>
      </c>
      <c r="E39" t="s">
        <v>28</v>
      </c>
      <c r="F39" t="s">
        <v>212</v>
      </c>
      <c r="G39" s="1" t="str">
        <f>HYPERLINK("https://new.land.naver.com/complexes/3023", "클릭")</f>
        <v>클릭</v>
      </c>
      <c r="H39">
        <v>1993</v>
      </c>
      <c r="I39">
        <v>3</v>
      </c>
      <c r="J39">
        <v>683</v>
      </c>
      <c r="K39">
        <v>60</v>
      </c>
      <c r="L39" t="s">
        <v>136</v>
      </c>
      <c r="M39" t="s">
        <v>235</v>
      </c>
      <c r="N39" t="s">
        <v>247</v>
      </c>
      <c r="O39">
        <v>70000</v>
      </c>
      <c r="P39" t="s">
        <v>247</v>
      </c>
      <c r="Q39">
        <v>30000</v>
      </c>
      <c r="R39">
        <v>40000</v>
      </c>
      <c r="S39" s="2">
        <v>0.42857142857142849</v>
      </c>
      <c r="V39">
        <v>40800</v>
      </c>
      <c r="W39" s="2">
        <v>1.715686274509804</v>
      </c>
      <c r="AA39" t="s">
        <v>198</v>
      </c>
    </row>
    <row r="40" spans="1:27" x14ac:dyDescent="0.3">
      <c r="A40" s="3">
        <v>38</v>
      </c>
      <c r="B40">
        <v>123900</v>
      </c>
      <c r="C40" t="s">
        <v>26</v>
      </c>
      <c r="D40" t="s">
        <v>27</v>
      </c>
      <c r="E40" t="s">
        <v>28</v>
      </c>
      <c r="F40" t="s">
        <v>69</v>
      </c>
      <c r="G40" s="1" t="str">
        <f>HYPERLINK("https://new.land.naver.com/complexes/123900", "클릭")</f>
        <v>클릭</v>
      </c>
      <c r="H40">
        <v>2022</v>
      </c>
      <c r="I40">
        <v>5</v>
      </c>
      <c r="J40">
        <v>855</v>
      </c>
      <c r="K40">
        <v>70</v>
      </c>
      <c r="L40" t="s">
        <v>135</v>
      </c>
      <c r="M40" t="s">
        <v>337</v>
      </c>
      <c r="N40" t="s">
        <v>357</v>
      </c>
      <c r="O40">
        <v>70000</v>
      </c>
      <c r="P40" t="s">
        <v>377</v>
      </c>
      <c r="Q40">
        <v>41000</v>
      </c>
      <c r="R40">
        <v>29000</v>
      </c>
      <c r="S40" s="2">
        <v>0.58571428571428574</v>
      </c>
      <c r="V40">
        <v>45900</v>
      </c>
      <c r="W40" s="2">
        <v>1.5250544662309371</v>
      </c>
      <c r="AA40" t="s">
        <v>198</v>
      </c>
    </row>
    <row r="41" spans="1:27" x14ac:dyDescent="0.3">
      <c r="A41" s="3">
        <v>39</v>
      </c>
      <c r="B41">
        <v>107639</v>
      </c>
      <c r="C41" t="s">
        <v>26</v>
      </c>
      <c r="D41" t="s">
        <v>27</v>
      </c>
      <c r="E41" t="s">
        <v>28</v>
      </c>
      <c r="F41" t="s">
        <v>70</v>
      </c>
      <c r="G41" s="1" t="str">
        <f>HYPERLINK("https://new.land.naver.com/complexes/107639", "클릭")</f>
        <v>클릭</v>
      </c>
      <c r="H41">
        <v>2015</v>
      </c>
      <c r="I41">
        <v>8</v>
      </c>
      <c r="J41">
        <v>410</v>
      </c>
      <c r="K41">
        <v>74</v>
      </c>
      <c r="L41" t="s">
        <v>135</v>
      </c>
      <c r="M41" t="s">
        <v>137</v>
      </c>
      <c r="N41" t="s">
        <v>349</v>
      </c>
      <c r="O41">
        <v>70000</v>
      </c>
      <c r="P41" t="s">
        <v>349</v>
      </c>
      <c r="Q41">
        <v>45000</v>
      </c>
      <c r="R41">
        <v>25000</v>
      </c>
      <c r="S41" s="2">
        <v>0.6428571428571429</v>
      </c>
      <c r="V41">
        <v>40000</v>
      </c>
      <c r="W41" s="2">
        <v>1.75</v>
      </c>
      <c r="AA41" t="s">
        <v>198</v>
      </c>
    </row>
    <row r="42" spans="1:27" x14ac:dyDescent="0.3">
      <c r="A42" s="3">
        <v>40</v>
      </c>
      <c r="B42">
        <v>3075</v>
      </c>
      <c r="C42" t="s">
        <v>26</v>
      </c>
      <c r="D42" t="s">
        <v>27</v>
      </c>
      <c r="E42" t="s">
        <v>31</v>
      </c>
      <c r="F42" t="s">
        <v>55</v>
      </c>
      <c r="G42" s="1" t="str">
        <f>HYPERLINK("https://new.land.naver.com/complexes/3075", "클릭")</f>
        <v>클릭</v>
      </c>
      <c r="H42">
        <v>1992</v>
      </c>
      <c r="I42">
        <v>6</v>
      </c>
      <c r="J42">
        <v>502</v>
      </c>
      <c r="K42">
        <v>64</v>
      </c>
      <c r="L42" t="s">
        <v>136</v>
      </c>
      <c r="M42" t="s">
        <v>138</v>
      </c>
      <c r="N42" t="s">
        <v>358</v>
      </c>
      <c r="O42">
        <v>68000</v>
      </c>
      <c r="P42" t="s">
        <v>358</v>
      </c>
      <c r="Q42">
        <v>37000</v>
      </c>
      <c r="R42">
        <v>31000</v>
      </c>
      <c r="S42" s="2">
        <v>0.54411764705882348</v>
      </c>
      <c r="V42">
        <v>37600</v>
      </c>
      <c r="W42" s="2">
        <v>1.808510638297872</v>
      </c>
      <c r="AA42" t="s">
        <v>198</v>
      </c>
    </row>
    <row r="43" spans="1:27" x14ac:dyDescent="0.3">
      <c r="A43" s="3">
        <v>41</v>
      </c>
      <c r="B43">
        <v>23128</v>
      </c>
      <c r="C43" t="s">
        <v>26</v>
      </c>
      <c r="D43" t="s">
        <v>27</v>
      </c>
      <c r="E43" t="s">
        <v>29</v>
      </c>
      <c r="F43" t="s">
        <v>298</v>
      </c>
      <c r="G43" s="1" t="str">
        <f>HYPERLINK("https://new.land.naver.com/complexes/23128", "클릭")</f>
        <v>클릭</v>
      </c>
      <c r="H43">
        <v>1979</v>
      </c>
      <c r="I43">
        <v>11</v>
      </c>
      <c r="J43">
        <v>48</v>
      </c>
      <c r="K43">
        <v>82</v>
      </c>
      <c r="L43" t="s">
        <v>135</v>
      </c>
      <c r="M43" t="s">
        <v>137</v>
      </c>
      <c r="N43" t="s">
        <v>359</v>
      </c>
      <c r="O43">
        <v>68000</v>
      </c>
      <c r="P43" t="s">
        <v>359</v>
      </c>
      <c r="Q43">
        <v>25000</v>
      </c>
      <c r="R43">
        <v>43000</v>
      </c>
      <c r="S43" s="2">
        <v>0.36764705882352938</v>
      </c>
      <c r="AA43" t="s">
        <v>391</v>
      </c>
    </row>
    <row r="44" spans="1:27" x14ac:dyDescent="0.3">
      <c r="A44" s="3">
        <v>42</v>
      </c>
      <c r="B44">
        <v>153038</v>
      </c>
      <c r="C44" t="s">
        <v>26</v>
      </c>
      <c r="D44" t="s">
        <v>27</v>
      </c>
      <c r="E44" t="s">
        <v>29</v>
      </c>
      <c r="F44" t="s">
        <v>218</v>
      </c>
      <c r="G44" s="1" t="str">
        <f>HYPERLINK("https://new.land.naver.com/complexes/153038", "클릭")</f>
        <v>클릭</v>
      </c>
      <c r="H44">
        <v>2022</v>
      </c>
      <c r="I44">
        <v>10</v>
      </c>
      <c r="J44">
        <v>15</v>
      </c>
      <c r="K44">
        <v>61</v>
      </c>
      <c r="L44" t="s">
        <v>135</v>
      </c>
      <c r="M44" t="s">
        <v>137</v>
      </c>
      <c r="N44" t="s">
        <v>340</v>
      </c>
      <c r="O44">
        <v>67900</v>
      </c>
      <c r="P44" t="s">
        <v>340</v>
      </c>
      <c r="Q44">
        <v>42000</v>
      </c>
      <c r="R44">
        <v>25900</v>
      </c>
      <c r="S44" s="2">
        <v>0.61855670103092786</v>
      </c>
      <c r="AA44" t="s">
        <v>198</v>
      </c>
    </row>
    <row r="45" spans="1:27" x14ac:dyDescent="0.3">
      <c r="A45" s="3">
        <v>43</v>
      </c>
      <c r="B45">
        <v>19492</v>
      </c>
      <c r="C45" t="s">
        <v>26</v>
      </c>
      <c r="D45" t="s">
        <v>27</v>
      </c>
      <c r="E45" t="s">
        <v>28</v>
      </c>
      <c r="F45" t="s">
        <v>65</v>
      </c>
      <c r="G45" s="1" t="str">
        <f>HYPERLINK("https://new.land.naver.com/complexes/19492", "클릭")</f>
        <v>클릭</v>
      </c>
      <c r="H45">
        <v>1992</v>
      </c>
      <c r="I45">
        <v>12</v>
      </c>
      <c r="J45">
        <v>800</v>
      </c>
      <c r="K45">
        <v>79</v>
      </c>
      <c r="L45" t="s">
        <v>135</v>
      </c>
      <c r="M45" t="s">
        <v>137</v>
      </c>
      <c r="N45" t="s">
        <v>181</v>
      </c>
      <c r="O45">
        <v>67000</v>
      </c>
      <c r="P45" t="s">
        <v>181</v>
      </c>
      <c r="Q45">
        <v>45000</v>
      </c>
      <c r="R45">
        <v>22000</v>
      </c>
      <c r="S45" s="2">
        <v>0.67164179104477617</v>
      </c>
      <c r="V45">
        <v>40800</v>
      </c>
      <c r="W45" s="2">
        <v>1.642156862745098</v>
      </c>
      <c r="AA45" t="s">
        <v>392</v>
      </c>
    </row>
    <row r="46" spans="1:27" x14ac:dyDescent="0.3">
      <c r="A46" s="3">
        <v>44</v>
      </c>
      <c r="B46">
        <v>153342</v>
      </c>
      <c r="C46" t="s">
        <v>26</v>
      </c>
      <c r="D46" t="s">
        <v>27</v>
      </c>
      <c r="E46" t="s">
        <v>29</v>
      </c>
      <c r="F46" t="s">
        <v>299</v>
      </c>
      <c r="G46" s="1" t="str">
        <f>HYPERLINK("https://new.land.naver.com/complexes/153342", "클릭")</f>
        <v>클릭</v>
      </c>
      <c r="H46">
        <v>2022</v>
      </c>
      <c r="I46">
        <v>10</v>
      </c>
      <c r="J46">
        <v>18</v>
      </c>
      <c r="K46">
        <v>81</v>
      </c>
      <c r="L46" t="s">
        <v>135</v>
      </c>
      <c r="M46" t="s">
        <v>137</v>
      </c>
      <c r="N46" t="s">
        <v>360</v>
      </c>
      <c r="O46">
        <v>66000</v>
      </c>
      <c r="P46" t="s">
        <v>360</v>
      </c>
      <c r="Q46">
        <v>38000</v>
      </c>
      <c r="R46">
        <v>28000</v>
      </c>
      <c r="S46" s="2">
        <v>0.5757575757575758</v>
      </c>
      <c r="V46">
        <v>32000</v>
      </c>
      <c r="W46" s="2">
        <v>2.0625</v>
      </c>
      <c r="AA46" t="s">
        <v>393</v>
      </c>
    </row>
    <row r="47" spans="1:27" x14ac:dyDescent="0.3">
      <c r="A47" s="3">
        <v>45</v>
      </c>
      <c r="B47">
        <v>1474</v>
      </c>
      <c r="C47" t="s">
        <v>26</v>
      </c>
      <c r="D47" t="s">
        <v>27</v>
      </c>
      <c r="E47" t="s">
        <v>28</v>
      </c>
      <c r="F47" t="s">
        <v>79</v>
      </c>
      <c r="G47" s="1" t="str">
        <f>HYPERLINK("https://new.land.naver.com/complexes/1474", "클릭")</f>
        <v>클릭</v>
      </c>
      <c r="H47">
        <v>1992</v>
      </c>
      <c r="I47">
        <v>9</v>
      </c>
      <c r="J47">
        <v>458</v>
      </c>
      <c r="K47">
        <v>76</v>
      </c>
      <c r="L47" t="s">
        <v>135</v>
      </c>
      <c r="M47" t="s">
        <v>137</v>
      </c>
      <c r="N47" t="s">
        <v>361</v>
      </c>
      <c r="O47">
        <v>65000</v>
      </c>
      <c r="P47" t="s">
        <v>361</v>
      </c>
      <c r="Q47">
        <v>38000</v>
      </c>
      <c r="R47">
        <v>27000</v>
      </c>
      <c r="S47" s="2">
        <v>0.58461538461538465</v>
      </c>
      <c r="V47">
        <v>38700</v>
      </c>
      <c r="W47" s="2">
        <v>1.679586563307494</v>
      </c>
      <c r="AA47" t="s">
        <v>198</v>
      </c>
    </row>
    <row r="48" spans="1:27" x14ac:dyDescent="0.3">
      <c r="A48" s="3">
        <v>46</v>
      </c>
      <c r="B48">
        <v>1470</v>
      </c>
      <c r="C48" t="s">
        <v>26</v>
      </c>
      <c r="D48" t="s">
        <v>27</v>
      </c>
      <c r="E48" t="s">
        <v>28</v>
      </c>
      <c r="F48" t="s">
        <v>85</v>
      </c>
      <c r="G48" s="1" t="str">
        <f>HYPERLINK("https://new.land.naver.com/complexes/1470", "클릭")</f>
        <v>클릭</v>
      </c>
      <c r="H48">
        <v>1992</v>
      </c>
      <c r="I48">
        <v>9</v>
      </c>
      <c r="J48">
        <v>468</v>
      </c>
      <c r="K48">
        <v>76</v>
      </c>
      <c r="L48" t="s">
        <v>135</v>
      </c>
      <c r="M48" t="s">
        <v>137</v>
      </c>
      <c r="N48" t="s">
        <v>348</v>
      </c>
      <c r="O48">
        <v>65000</v>
      </c>
      <c r="P48" t="s">
        <v>348</v>
      </c>
      <c r="Q48">
        <v>38000</v>
      </c>
      <c r="R48">
        <v>27000</v>
      </c>
      <c r="S48" s="2">
        <v>0.58461538461538465</v>
      </c>
      <c r="V48">
        <v>38100</v>
      </c>
      <c r="W48" s="2">
        <v>1.7060367454068239</v>
      </c>
      <c r="AA48" t="s">
        <v>198</v>
      </c>
    </row>
    <row r="49" spans="1:27" x14ac:dyDescent="0.3">
      <c r="A49" s="3">
        <v>47</v>
      </c>
      <c r="B49">
        <v>13227</v>
      </c>
      <c r="C49" t="s">
        <v>26</v>
      </c>
      <c r="D49" t="s">
        <v>27</v>
      </c>
      <c r="E49" t="s">
        <v>29</v>
      </c>
      <c r="F49" t="s">
        <v>300</v>
      </c>
      <c r="G49" s="1" t="str">
        <f>HYPERLINK("https://new.land.naver.com/complexes/13227", "클릭")</f>
        <v>클릭</v>
      </c>
      <c r="H49">
        <v>1984</v>
      </c>
      <c r="I49">
        <v>10</v>
      </c>
      <c r="J49">
        <v>72</v>
      </c>
      <c r="K49">
        <v>62</v>
      </c>
      <c r="L49" t="s">
        <v>135</v>
      </c>
      <c r="M49" t="s">
        <v>138</v>
      </c>
      <c r="N49" t="s">
        <v>272</v>
      </c>
      <c r="O49">
        <v>65000</v>
      </c>
      <c r="P49" t="s">
        <v>272</v>
      </c>
      <c r="Q49">
        <v>25000</v>
      </c>
      <c r="R49">
        <v>40000</v>
      </c>
      <c r="S49" s="2">
        <v>0.38461538461538458</v>
      </c>
      <c r="V49">
        <v>38100</v>
      </c>
      <c r="W49" s="2">
        <v>1.7060367454068239</v>
      </c>
      <c r="AA49" t="s">
        <v>392</v>
      </c>
    </row>
    <row r="50" spans="1:27" x14ac:dyDescent="0.3">
      <c r="A50" s="3">
        <v>48</v>
      </c>
      <c r="B50">
        <v>3078</v>
      </c>
      <c r="C50" t="s">
        <v>26</v>
      </c>
      <c r="D50" t="s">
        <v>27</v>
      </c>
      <c r="E50" t="s">
        <v>31</v>
      </c>
      <c r="F50" t="s">
        <v>301</v>
      </c>
      <c r="G50" s="1" t="str">
        <f>HYPERLINK("https://new.land.naver.com/complexes/3078", "클릭")</f>
        <v>클릭</v>
      </c>
      <c r="H50">
        <v>2003</v>
      </c>
      <c r="I50">
        <v>9</v>
      </c>
      <c r="J50">
        <v>955</v>
      </c>
      <c r="K50">
        <v>82</v>
      </c>
      <c r="L50" t="s">
        <v>135</v>
      </c>
      <c r="M50" t="s">
        <v>137</v>
      </c>
      <c r="N50" t="s">
        <v>155</v>
      </c>
      <c r="O50">
        <v>63000</v>
      </c>
      <c r="P50" t="s">
        <v>155</v>
      </c>
      <c r="Q50">
        <v>38800</v>
      </c>
      <c r="R50">
        <v>24200</v>
      </c>
      <c r="S50" s="2">
        <v>0.61587301587301591</v>
      </c>
      <c r="V50">
        <v>41500</v>
      </c>
      <c r="W50" s="2">
        <v>1.518072289156627</v>
      </c>
      <c r="AA50" t="s">
        <v>198</v>
      </c>
    </row>
    <row r="51" spans="1:27" x14ac:dyDescent="0.3">
      <c r="A51" s="3">
        <v>49</v>
      </c>
      <c r="B51">
        <v>13571</v>
      </c>
      <c r="C51" t="s">
        <v>26</v>
      </c>
      <c r="D51" t="s">
        <v>27</v>
      </c>
      <c r="E51" t="s">
        <v>31</v>
      </c>
      <c r="F51" t="s">
        <v>223</v>
      </c>
      <c r="G51" s="1" t="str">
        <f>HYPERLINK("https://new.land.naver.com/complexes/13571", "클릭")</f>
        <v>클릭</v>
      </c>
      <c r="H51">
        <v>2005</v>
      </c>
      <c r="I51">
        <v>11</v>
      </c>
      <c r="J51">
        <v>551</v>
      </c>
      <c r="K51">
        <v>82</v>
      </c>
      <c r="L51" t="s">
        <v>135</v>
      </c>
      <c r="M51" t="s">
        <v>137</v>
      </c>
      <c r="N51" t="s">
        <v>155</v>
      </c>
      <c r="O51">
        <v>63000</v>
      </c>
      <c r="P51" t="s">
        <v>155</v>
      </c>
      <c r="Q51">
        <v>37000</v>
      </c>
      <c r="R51">
        <v>26000</v>
      </c>
      <c r="S51" s="2">
        <v>0.58730158730158732</v>
      </c>
      <c r="V51">
        <v>38900</v>
      </c>
      <c r="W51" s="2">
        <v>1.6195372750642669</v>
      </c>
      <c r="AA51" t="s">
        <v>198</v>
      </c>
    </row>
    <row r="52" spans="1:27" x14ac:dyDescent="0.3">
      <c r="A52" s="3">
        <v>50</v>
      </c>
      <c r="B52">
        <v>108656</v>
      </c>
      <c r="C52" t="s">
        <v>26</v>
      </c>
      <c r="D52" t="s">
        <v>27</v>
      </c>
      <c r="E52" t="s">
        <v>31</v>
      </c>
      <c r="F52" t="s">
        <v>111</v>
      </c>
      <c r="G52" s="1" t="str">
        <f>HYPERLINK("https://new.land.naver.com/complexes/108656", "클릭")</f>
        <v>클릭</v>
      </c>
      <c r="H52">
        <v>2014</v>
      </c>
      <c r="I52">
        <v>10</v>
      </c>
      <c r="J52">
        <v>191</v>
      </c>
      <c r="K52">
        <v>67</v>
      </c>
      <c r="N52" t="s">
        <v>362</v>
      </c>
      <c r="O52">
        <v>62000</v>
      </c>
      <c r="AA52" t="s">
        <v>394</v>
      </c>
    </row>
    <row r="53" spans="1:27" x14ac:dyDescent="0.3">
      <c r="A53" s="3">
        <v>51</v>
      </c>
      <c r="B53">
        <v>3083</v>
      </c>
      <c r="C53" t="s">
        <v>26</v>
      </c>
      <c r="D53" t="s">
        <v>27</v>
      </c>
      <c r="E53" t="s">
        <v>28</v>
      </c>
      <c r="F53" t="s">
        <v>302</v>
      </c>
      <c r="G53" s="1" t="str">
        <f>HYPERLINK("https://new.land.naver.com/complexes/3083", "클릭")</f>
        <v>클릭</v>
      </c>
      <c r="H53">
        <v>2003</v>
      </c>
      <c r="I53">
        <v>4</v>
      </c>
      <c r="J53">
        <v>426</v>
      </c>
      <c r="K53">
        <v>79</v>
      </c>
      <c r="L53" t="s">
        <v>135</v>
      </c>
      <c r="M53" t="s">
        <v>137</v>
      </c>
      <c r="N53" t="s">
        <v>189</v>
      </c>
      <c r="O53">
        <v>60000</v>
      </c>
      <c r="P53" t="s">
        <v>189</v>
      </c>
      <c r="Q53">
        <v>41000</v>
      </c>
      <c r="R53">
        <v>19000</v>
      </c>
      <c r="S53" s="2">
        <v>0.68333333333333335</v>
      </c>
      <c r="AA53" t="s">
        <v>198</v>
      </c>
    </row>
    <row r="54" spans="1:27" x14ac:dyDescent="0.3">
      <c r="A54" s="3">
        <v>52</v>
      </c>
      <c r="B54">
        <v>1476</v>
      </c>
      <c r="C54" t="s">
        <v>26</v>
      </c>
      <c r="D54" t="s">
        <v>27</v>
      </c>
      <c r="E54" t="s">
        <v>28</v>
      </c>
      <c r="F54" t="s">
        <v>89</v>
      </c>
      <c r="G54" s="1" t="str">
        <f>HYPERLINK("https://new.land.naver.com/complexes/1476", "클릭")</f>
        <v>클릭</v>
      </c>
      <c r="H54">
        <v>1992</v>
      </c>
      <c r="I54">
        <v>8</v>
      </c>
      <c r="J54">
        <v>654</v>
      </c>
      <c r="K54">
        <v>76</v>
      </c>
      <c r="L54" t="s">
        <v>135</v>
      </c>
      <c r="M54" t="s">
        <v>138</v>
      </c>
      <c r="N54" t="s">
        <v>361</v>
      </c>
      <c r="O54">
        <v>60000</v>
      </c>
      <c r="P54" t="s">
        <v>361</v>
      </c>
      <c r="Q54">
        <v>35000</v>
      </c>
      <c r="R54">
        <v>25000</v>
      </c>
      <c r="S54" s="2">
        <v>0.58333333333333337</v>
      </c>
      <c r="V54">
        <v>32500</v>
      </c>
      <c r="W54" s="2">
        <v>1.846153846153846</v>
      </c>
      <c r="AA54" t="s">
        <v>198</v>
      </c>
    </row>
    <row r="55" spans="1:27" x14ac:dyDescent="0.3">
      <c r="A55" s="3">
        <v>53</v>
      </c>
      <c r="B55">
        <v>3076</v>
      </c>
      <c r="C55" t="s">
        <v>26</v>
      </c>
      <c r="D55" t="s">
        <v>27</v>
      </c>
      <c r="E55" t="s">
        <v>31</v>
      </c>
      <c r="F55" t="s">
        <v>80</v>
      </c>
      <c r="G55" s="1" t="str">
        <f>HYPERLINK("https://new.land.naver.com/complexes/3076", "클릭")</f>
        <v>클릭</v>
      </c>
      <c r="H55">
        <v>1992</v>
      </c>
      <c r="I55">
        <v>11</v>
      </c>
      <c r="J55">
        <v>1800</v>
      </c>
      <c r="K55">
        <v>71</v>
      </c>
      <c r="L55" t="s">
        <v>135</v>
      </c>
      <c r="M55" t="s">
        <v>138</v>
      </c>
      <c r="N55" t="s">
        <v>259</v>
      </c>
      <c r="O55">
        <v>60000</v>
      </c>
      <c r="P55" t="s">
        <v>259</v>
      </c>
      <c r="Q55">
        <v>39000</v>
      </c>
      <c r="R55">
        <v>21000</v>
      </c>
      <c r="S55" s="2">
        <v>0.65</v>
      </c>
      <c r="V55">
        <v>39900</v>
      </c>
      <c r="W55" s="2">
        <v>1.503759398496241</v>
      </c>
      <c r="AA55" t="s">
        <v>198</v>
      </c>
    </row>
    <row r="56" spans="1:27" x14ac:dyDescent="0.3">
      <c r="A56" s="3">
        <v>54</v>
      </c>
      <c r="B56">
        <v>139912</v>
      </c>
      <c r="C56" t="s">
        <v>26</v>
      </c>
      <c r="D56" t="s">
        <v>27</v>
      </c>
      <c r="E56" t="s">
        <v>28</v>
      </c>
      <c r="F56" t="s">
        <v>303</v>
      </c>
      <c r="G56" s="1" t="str">
        <f>HYPERLINK("https://new.land.naver.com/complexes/139912", "클릭")</f>
        <v>클릭</v>
      </c>
      <c r="H56">
        <v>2022</v>
      </c>
      <c r="I56">
        <v>7</v>
      </c>
      <c r="J56">
        <v>25</v>
      </c>
      <c r="K56">
        <v>60</v>
      </c>
      <c r="L56" t="s">
        <v>135</v>
      </c>
      <c r="M56" t="s">
        <v>137</v>
      </c>
      <c r="N56" t="s">
        <v>240</v>
      </c>
      <c r="O56">
        <v>60000</v>
      </c>
      <c r="P56" t="s">
        <v>240</v>
      </c>
      <c r="Q56">
        <v>37000</v>
      </c>
      <c r="R56">
        <v>23000</v>
      </c>
      <c r="S56" s="2">
        <v>0.6166666666666667</v>
      </c>
      <c r="AA56" t="s">
        <v>198</v>
      </c>
    </row>
    <row r="57" spans="1:27" x14ac:dyDescent="0.3">
      <c r="A57" s="3">
        <v>55</v>
      </c>
      <c r="B57">
        <v>139912</v>
      </c>
      <c r="C57" t="s">
        <v>26</v>
      </c>
      <c r="D57" t="s">
        <v>27</v>
      </c>
      <c r="E57" t="s">
        <v>28</v>
      </c>
      <c r="F57" t="s">
        <v>303</v>
      </c>
      <c r="G57" s="1" t="str">
        <f>HYPERLINK("https://new.land.naver.com/complexes/139912", "클릭")</f>
        <v>클릭</v>
      </c>
      <c r="H57">
        <v>2022</v>
      </c>
      <c r="I57">
        <v>7</v>
      </c>
      <c r="J57">
        <v>25</v>
      </c>
      <c r="K57">
        <v>62</v>
      </c>
      <c r="L57" t="s">
        <v>135</v>
      </c>
      <c r="M57" t="s">
        <v>137</v>
      </c>
      <c r="N57" t="s">
        <v>256</v>
      </c>
      <c r="O57">
        <v>60000</v>
      </c>
      <c r="P57" t="s">
        <v>256</v>
      </c>
      <c r="Q57">
        <v>37000</v>
      </c>
      <c r="R57">
        <v>23000</v>
      </c>
      <c r="S57" s="2">
        <v>0.6166666666666667</v>
      </c>
      <c r="AA57" t="s">
        <v>198</v>
      </c>
    </row>
    <row r="58" spans="1:27" x14ac:dyDescent="0.3">
      <c r="A58" s="3">
        <v>56</v>
      </c>
      <c r="B58">
        <v>139912</v>
      </c>
      <c r="C58" t="s">
        <v>26</v>
      </c>
      <c r="D58" t="s">
        <v>27</v>
      </c>
      <c r="E58" t="s">
        <v>28</v>
      </c>
      <c r="F58" t="s">
        <v>303</v>
      </c>
      <c r="G58" s="1" t="str">
        <f>HYPERLINK("https://new.land.naver.com/complexes/139912", "클릭")</f>
        <v>클릭</v>
      </c>
      <c r="H58">
        <v>2022</v>
      </c>
      <c r="I58">
        <v>7</v>
      </c>
      <c r="J58">
        <v>25</v>
      </c>
      <c r="K58">
        <v>63</v>
      </c>
      <c r="L58" t="s">
        <v>135</v>
      </c>
      <c r="M58" t="s">
        <v>137</v>
      </c>
      <c r="N58" t="s">
        <v>363</v>
      </c>
      <c r="O58">
        <v>60000</v>
      </c>
      <c r="P58" t="s">
        <v>378</v>
      </c>
      <c r="Q58">
        <v>37000</v>
      </c>
      <c r="R58">
        <v>23000</v>
      </c>
      <c r="S58" s="2">
        <v>0.6166666666666667</v>
      </c>
      <c r="AA58" t="s">
        <v>198</v>
      </c>
    </row>
    <row r="59" spans="1:27" x14ac:dyDescent="0.3">
      <c r="A59" s="3">
        <v>57</v>
      </c>
      <c r="B59">
        <v>1463</v>
      </c>
      <c r="C59" t="s">
        <v>26</v>
      </c>
      <c r="D59" t="s">
        <v>27</v>
      </c>
      <c r="E59" t="s">
        <v>29</v>
      </c>
      <c r="F59" t="s">
        <v>304</v>
      </c>
      <c r="G59" s="1" t="str">
        <f>HYPERLINK("https://new.land.naver.com/complexes/1463", "클릭")</f>
        <v>클릭</v>
      </c>
      <c r="H59">
        <v>1993</v>
      </c>
      <c r="I59">
        <v>3</v>
      </c>
      <c r="J59">
        <v>1710</v>
      </c>
      <c r="K59">
        <v>60</v>
      </c>
      <c r="L59" t="s">
        <v>136</v>
      </c>
      <c r="M59" t="s">
        <v>138</v>
      </c>
      <c r="N59" t="s">
        <v>266</v>
      </c>
      <c r="O59">
        <v>59000</v>
      </c>
      <c r="P59" t="s">
        <v>266</v>
      </c>
      <c r="Q59">
        <v>31000</v>
      </c>
      <c r="R59">
        <v>28000</v>
      </c>
      <c r="S59" s="2">
        <v>0.52542372881355937</v>
      </c>
      <c r="V59">
        <v>36900</v>
      </c>
      <c r="W59" s="2">
        <v>1.5989159891598921</v>
      </c>
      <c r="AA59" t="s">
        <v>198</v>
      </c>
    </row>
    <row r="60" spans="1:27" x14ac:dyDescent="0.3">
      <c r="A60" s="3">
        <v>58</v>
      </c>
      <c r="B60">
        <v>141825</v>
      </c>
      <c r="C60" t="s">
        <v>26</v>
      </c>
      <c r="D60" t="s">
        <v>27</v>
      </c>
      <c r="E60" t="s">
        <v>31</v>
      </c>
      <c r="F60" t="s">
        <v>296</v>
      </c>
      <c r="G60" s="1" t="str">
        <f>HYPERLINK("https://new.land.naver.com/complexes/141825", "클릭")</f>
        <v>클릭</v>
      </c>
      <c r="H60">
        <v>2023</v>
      </c>
      <c r="I60">
        <v>5</v>
      </c>
      <c r="J60">
        <v>230</v>
      </c>
      <c r="K60">
        <v>62</v>
      </c>
      <c r="L60" t="s">
        <v>135</v>
      </c>
      <c r="M60" t="s">
        <v>137</v>
      </c>
      <c r="N60" t="s">
        <v>364</v>
      </c>
      <c r="O60">
        <v>59000</v>
      </c>
      <c r="P60" t="s">
        <v>364</v>
      </c>
      <c r="Q60">
        <v>40000</v>
      </c>
      <c r="R60">
        <v>19000</v>
      </c>
      <c r="S60" s="2">
        <v>0.67796610169491522</v>
      </c>
      <c r="AA60" t="s">
        <v>198</v>
      </c>
    </row>
    <row r="61" spans="1:27" x14ac:dyDescent="0.3">
      <c r="A61" s="3">
        <v>59</v>
      </c>
      <c r="B61">
        <v>153721</v>
      </c>
      <c r="C61" t="s">
        <v>26</v>
      </c>
      <c r="D61" t="s">
        <v>27</v>
      </c>
      <c r="E61" t="s">
        <v>29</v>
      </c>
      <c r="F61" t="s">
        <v>305</v>
      </c>
      <c r="G61" s="1" t="str">
        <f>HYPERLINK("https://new.land.naver.com/complexes/153721", "클릭")</f>
        <v>클릭</v>
      </c>
      <c r="H61">
        <v>2022</v>
      </c>
      <c r="I61">
        <v>10</v>
      </c>
      <c r="J61">
        <v>18</v>
      </c>
      <c r="K61">
        <v>69</v>
      </c>
      <c r="L61" t="s">
        <v>135</v>
      </c>
      <c r="M61" t="s">
        <v>137</v>
      </c>
      <c r="N61" t="s">
        <v>266</v>
      </c>
      <c r="O61">
        <v>58200</v>
      </c>
      <c r="P61" t="s">
        <v>266</v>
      </c>
      <c r="Q61">
        <v>36000</v>
      </c>
      <c r="R61">
        <v>22200</v>
      </c>
      <c r="S61" s="2">
        <v>0.61855670103092786</v>
      </c>
      <c r="AA61" t="s">
        <v>395</v>
      </c>
    </row>
    <row r="62" spans="1:27" x14ac:dyDescent="0.3">
      <c r="A62" s="3">
        <v>60</v>
      </c>
      <c r="B62">
        <v>123203</v>
      </c>
      <c r="C62" t="s">
        <v>26</v>
      </c>
      <c r="D62" t="s">
        <v>27</v>
      </c>
      <c r="E62" t="s">
        <v>29</v>
      </c>
      <c r="F62" t="s">
        <v>306</v>
      </c>
      <c r="G62" s="1" t="str">
        <f>HYPERLINK("https://new.land.naver.com/complexes/123203", "클릭")</f>
        <v>클릭</v>
      </c>
      <c r="H62">
        <v>2018</v>
      </c>
      <c r="I62">
        <v>12</v>
      </c>
      <c r="J62">
        <v>9</v>
      </c>
      <c r="K62">
        <v>70</v>
      </c>
      <c r="L62" t="s">
        <v>135</v>
      </c>
      <c r="M62" t="s">
        <v>137</v>
      </c>
      <c r="N62" t="s">
        <v>251</v>
      </c>
      <c r="O62">
        <v>58000</v>
      </c>
      <c r="P62" t="s">
        <v>251</v>
      </c>
      <c r="Q62">
        <v>37000</v>
      </c>
      <c r="R62">
        <v>21000</v>
      </c>
      <c r="S62" s="2">
        <v>0.63793103448275867</v>
      </c>
      <c r="AA62" t="s">
        <v>198</v>
      </c>
    </row>
    <row r="63" spans="1:27" x14ac:dyDescent="0.3">
      <c r="A63" s="3">
        <v>61</v>
      </c>
      <c r="B63">
        <v>24045</v>
      </c>
      <c r="C63" t="s">
        <v>26</v>
      </c>
      <c r="D63" t="s">
        <v>27</v>
      </c>
      <c r="E63" t="s">
        <v>28</v>
      </c>
      <c r="F63" t="s">
        <v>95</v>
      </c>
      <c r="G63" s="1" t="str">
        <f>HYPERLINK("https://new.land.naver.com/complexes/24045", "클릭")</f>
        <v>클릭</v>
      </c>
      <c r="H63">
        <v>2007</v>
      </c>
      <c r="I63">
        <v>7</v>
      </c>
      <c r="J63">
        <v>149</v>
      </c>
      <c r="K63">
        <v>80</v>
      </c>
      <c r="L63" t="s">
        <v>135</v>
      </c>
      <c r="M63" t="s">
        <v>137</v>
      </c>
      <c r="N63" t="s">
        <v>365</v>
      </c>
      <c r="O63">
        <v>58000</v>
      </c>
      <c r="P63" t="s">
        <v>365</v>
      </c>
      <c r="Q63">
        <v>39000</v>
      </c>
      <c r="R63">
        <v>19000</v>
      </c>
      <c r="S63" s="2">
        <v>0.67241379310344829</v>
      </c>
      <c r="V63">
        <v>35000</v>
      </c>
      <c r="W63" s="2">
        <v>1.657142857142857</v>
      </c>
      <c r="AA63" t="s">
        <v>198</v>
      </c>
    </row>
    <row r="64" spans="1:27" x14ac:dyDescent="0.3">
      <c r="A64" s="3">
        <v>62</v>
      </c>
      <c r="B64">
        <v>132112</v>
      </c>
      <c r="C64" t="s">
        <v>26</v>
      </c>
      <c r="D64" t="s">
        <v>27</v>
      </c>
      <c r="E64" t="s">
        <v>28</v>
      </c>
      <c r="F64" t="s">
        <v>307</v>
      </c>
      <c r="G64" s="1" t="str">
        <f>HYPERLINK("https://new.land.naver.com/complexes/132112", "클릭")</f>
        <v>클릭</v>
      </c>
      <c r="H64">
        <v>2022</v>
      </c>
      <c r="I64">
        <v>3</v>
      </c>
      <c r="J64">
        <v>144</v>
      </c>
      <c r="K64">
        <v>75</v>
      </c>
      <c r="L64" t="s">
        <v>135</v>
      </c>
      <c r="M64" t="s">
        <v>137</v>
      </c>
      <c r="N64" t="s">
        <v>366</v>
      </c>
      <c r="O64">
        <v>58000</v>
      </c>
      <c r="P64" t="s">
        <v>366</v>
      </c>
      <c r="Q64">
        <v>40000</v>
      </c>
      <c r="R64">
        <v>18000</v>
      </c>
      <c r="S64" s="2">
        <v>0.68965517241379315</v>
      </c>
      <c r="AA64" t="s">
        <v>198</v>
      </c>
    </row>
    <row r="65" spans="1:27" x14ac:dyDescent="0.3">
      <c r="A65" s="3">
        <v>63</v>
      </c>
      <c r="B65">
        <v>135882</v>
      </c>
      <c r="C65" t="s">
        <v>26</v>
      </c>
      <c r="D65" t="s">
        <v>27</v>
      </c>
      <c r="E65" t="s">
        <v>29</v>
      </c>
      <c r="F65" t="s">
        <v>308</v>
      </c>
      <c r="G65" s="1" t="str">
        <f>HYPERLINK("https://new.land.naver.com/complexes/135882", "클릭")</f>
        <v>클릭</v>
      </c>
      <c r="H65">
        <v>2020</v>
      </c>
      <c r="I65">
        <v>10</v>
      </c>
      <c r="J65">
        <v>12</v>
      </c>
      <c r="K65">
        <v>68</v>
      </c>
      <c r="N65" t="s">
        <v>258</v>
      </c>
      <c r="O65">
        <v>58000</v>
      </c>
      <c r="P65" t="s">
        <v>258</v>
      </c>
      <c r="Q65">
        <v>36000</v>
      </c>
      <c r="R65">
        <v>22000</v>
      </c>
      <c r="S65" s="2">
        <v>0.62068965517241381</v>
      </c>
      <c r="AA65" t="s">
        <v>396</v>
      </c>
    </row>
    <row r="66" spans="1:27" x14ac:dyDescent="0.3">
      <c r="A66" s="3">
        <v>64</v>
      </c>
      <c r="B66">
        <v>10281</v>
      </c>
      <c r="C66" t="s">
        <v>26</v>
      </c>
      <c r="D66" t="s">
        <v>27</v>
      </c>
      <c r="E66" t="s">
        <v>29</v>
      </c>
      <c r="F66" t="s">
        <v>75</v>
      </c>
      <c r="G66" s="1" t="str">
        <f>HYPERLINK("https://new.land.naver.com/complexes/10281", "클릭")</f>
        <v>클릭</v>
      </c>
      <c r="H66">
        <v>2000</v>
      </c>
      <c r="I66">
        <v>10</v>
      </c>
      <c r="J66">
        <v>160</v>
      </c>
      <c r="K66">
        <v>67</v>
      </c>
      <c r="L66" t="s">
        <v>136</v>
      </c>
      <c r="M66" t="s">
        <v>338</v>
      </c>
      <c r="N66" t="s">
        <v>341</v>
      </c>
      <c r="O66">
        <v>55000</v>
      </c>
      <c r="P66" t="s">
        <v>341</v>
      </c>
      <c r="Q66">
        <v>32000</v>
      </c>
      <c r="R66">
        <v>23000</v>
      </c>
      <c r="S66" s="2">
        <v>0.58181818181818179</v>
      </c>
      <c r="V66">
        <v>35600</v>
      </c>
      <c r="W66" s="2">
        <v>1.544943820224719</v>
      </c>
      <c r="AA66" t="s">
        <v>198</v>
      </c>
    </row>
    <row r="67" spans="1:27" x14ac:dyDescent="0.3">
      <c r="A67" s="3">
        <v>65</v>
      </c>
      <c r="B67">
        <v>10509</v>
      </c>
      <c r="C67" t="s">
        <v>26</v>
      </c>
      <c r="D67" t="s">
        <v>27</v>
      </c>
      <c r="E67" t="s">
        <v>28</v>
      </c>
      <c r="F67" t="s">
        <v>98</v>
      </c>
      <c r="G67" s="1" t="str">
        <f>HYPERLINK("https://new.land.naver.com/complexes/10509", "클릭")</f>
        <v>클릭</v>
      </c>
      <c r="H67">
        <v>2004</v>
      </c>
      <c r="I67">
        <v>12</v>
      </c>
      <c r="J67">
        <v>361</v>
      </c>
      <c r="K67">
        <v>75</v>
      </c>
      <c r="L67" t="s">
        <v>135</v>
      </c>
      <c r="M67" t="s">
        <v>137</v>
      </c>
      <c r="N67" t="s">
        <v>348</v>
      </c>
      <c r="O67">
        <v>55000</v>
      </c>
      <c r="P67" t="s">
        <v>348</v>
      </c>
      <c r="Q67">
        <v>39900</v>
      </c>
      <c r="R67">
        <v>15100</v>
      </c>
      <c r="S67" s="2">
        <v>0.72545454545454546</v>
      </c>
      <c r="V67">
        <v>33300</v>
      </c>
      <c r="W67" s="2">
        <v>1.651651651651652</v>
      </c>
      <c r="AA67" t="s">
        <v>198</v>
      </c>
    </row>
    <row r="68" spans="1:27" x14ac:dyDescent="0.3">
      <c r="A68" s="3">
        <v>66</v>
      </c>
      <c r="B68">
        <v>153342</v>
      </c>
      <c r="C68" t="s">
        <v>26</v>
      </c>
      <c r="D68" t="s">
        <v>27</v>
      </c>
      <c r="E68" t="s">
        <v>29</v>
      </c>
      <c r="F68" t="s">
        <v>299</v>
      </c>
      <c r="G68" s="1" t="str">
        <f>HYPERLINK("https://new.land.naver.com/complexes/153342", "클릭")</f>
        <v>클릭</v>
      </c>
      <c r="H68">
        <v>2022</v>
      </c>
      <c r="I68">
        <v>10</v>
      </c>
      <c r="J68">
        <v>18</v>
      </c>
      <c r="K68">
        <v>79</v>
      </c>
      <c r="M68" t="s">
        <v>137</v>
      </c>
      <c r="N68" t="s">
        <v>367</v>
      </c>
      <c r="O68">
        <v>55000</v>
      </c>
      <c r="P68" t="s">
        <v>367</v>
      </c>
      <c r="Q68">
        <v>35000</v>
      </c>
      <c r="R68">
        <v>20000</v>
      </c>
      <c r="S68" s="2">
        <v>0.63636363636363635</v>
      </c>
      <c r="AA68" t="s">
        <v>397</v>
      </c>
    </row>
    <row r="69" spans="1:27" x14ac:dyDescent="0.3">
      <c r="A69" s="3">
        <v>67</v>
      </c>
      <c r="B69">
        <v>25744</v>
      </c>
      <c r="C69" t="s">
        <v>26</v>
      </c>
      <c r="D69" t="s">
        <v>27</v>
      </c>
      <c r="E69" t="s">
        <v>31</v>
      </c>
      <c r="F69" t="s">
        <v>309</v>
      </c>
      <c r="G69" s="1" t="str">
        <f>HYPERLINK("https://new.land.naver.com/complexes/25744", "클릭")</f>
        <v>클릭</v>
      </c>
      <c r="H69">
        <v>1988</v>
      </c>
      <c r="I69">
        <v>4</v>
      </c>
      <c r="J69">
        <v>40</v>
      </c>
      <c r="K69">
        <v>64</v>
      </c>
      <c r="L69" t="s">
        <v>135</v>
      </c>
      <c r="M69" t="s">
        <v>137</v>
      </c>
      <c r="N69" t="s">
        <v>270</v>
      </c>
      <c r="O69">
        <v>55000</v>
      </c>
      <c r="P69" t="s">
        <v>270</v>
      </c>
      <c r="Q69">
        <v>19000</v>
      </c>
      <c r="R69">
        <v>36000</v>
      </c>
      <c r="S69" s="2">
        <v>0.34545454545454551</v>
      </c>
      <c r="AA69" t="s">
        <v>398</v>
      </c>
    </row>
    <row r="70" spans="1:27" x14ac:dyDescent="0.3">
      <c r="A70" s="3">
        <v>68</v>
      </c>
      <c r="B70">
        <v>25592</v>
      </c>
      <c r="C70" t="s">
        <v>26</v>
      </c>
      <c r="D70" t="s">
        <v>27</v>
      </c>
      <c r="E70" t="s">
        <v>29</v>
      </c>
      <c r="F70" t="s">
        <v>310</v>
      </c>
      <c r="G70" s="1" t="str">
        <f>HYPERLINK("https://new.land.naver.com/complexes/25592", "클릭")</f>
        <v>클릭</v>
      </c>
      <c r="H70">
        <v>2001</v>
      </c>
      <c r="I70">
        <v>5</v>
      </c>
      <c r="J70">
        <v>14</v>
      </c>
      <c r="K70">
        <v>73</v>
      </c>
      <c r="L70" t="s">
        <v>135</v>
      </c>
      <c r="M70" t="s">
        <v>137</v>
      </c>
      <c r="N70" t="s">
        <v>270</v>
      </c>
      <c r="O70">
        <v>55000</v>
      </c>
      <c r="P70" t="s">
        <v>270</v>
      </c>
      <c r="Q70">
        <v>27000</v>
      </c>
      <c r="R70">
        <v>28000</v>
      </c>
      <c r="S70" s="2">
        <v>0.49090909090909091</v>
      </c>
      <c r="V70">
        <v>24000</v>
      </c>
      <c r="W70" s="2">
        <v>2.291666666666667</v>
      </c>
      <c r="AA70" t="s">
        <v>198</v>
      </c>
    </row>
    <row r="71" spans="1:27" x14ac:dyDescent="0.3">
      <c r="A71" s="3">
        <v>69</v>
      </c>
      <c r="B71">
        <v>102646</v>
      </c>
      <c r="C71" t="s">
        <v>26</v>
      </c>
      <c r="D71" t="s">
        <v>27</v>
      </c>
      <c r="E71" t="s">
        <v>29</v>
      </c>
      <c r="F71" t="s">
        <v>311</v>
      </c>
      <c r="G71" s="1" t="str">
        <f>HYPERLINK("https://new.land.naver.com/complexes/102646", "클릭")</f>
        <v>클릭</v>
      </c>
      <c r="H71">
        <v>2010</v>
      </c>
      <c r="I71">
        <v>3</v>
      </c>
      <c r="J71">
        <v>52</v>
      </c>
      <c r="K71">
        <v>77</v>
      </c>
      <c r="L71" t="s">
        <v>135</v>
      </c>
      <c r="M71" t="s">
        <v>137</v>
      </c>
      <c r="N71" t="s">
        <v>348</v>
      </c>
      <c r="O71">
        <v>55000</v>
      </c>
      <c r="P71" t="s">
        <v>348</v>
      </c>
      <c r="Q71">
        <v>45000</v>
      </c>
      <c r="R71">
        <v>10000</v>
      </c>
      <c r="S71" s="2">
        <v>0.81818181818181823</v>
      </c>
      <c r="V71">
        <v>31400</v>
      </c>
      <c r="W71" s="2">
        <v>1.7515923566878979</v>
      </c>
      <c r="AA71" t="s">
        <v>198</v>
      </c>
    </row>
    <row r="72" spans="1:27" x14ac:dyDescent="0.3">
      <c r="A72" s="3">
        <v>70</v>
      </c>
      <c r="B72">
        <v>135882</v>
      </c>
      <c r="C72" t="s">
        <v>26</v>
      </c>
      <c r="D72" t="s">
        <v>27</v>
      </c>
      <c r="E72" t="s">
        <v>29</v>
      </c>
      <c r="F72" t="s">
        <v>308</v>
      </c>
      <c r="G72" s="1" t="str">
        <f>HYPERLINK("https://new.land.naver.com/complexes/135882", "클릭")</f>
        <v>클릭</v>
      </c>
      <c r="H72">
        <v>2020</v>
      </c>
      <c r="I72">
        <v>10</v>
      </c>
      <c r="J72">
        <v>12</v>
      </c>
      <c r="K72">
        <v>66</v>
      </c>
      <c r="N72" t="s">
        <v>340</v>
      </c>
      <c r="O72">
        <v>55000</v>
      </c>
      <c r="P72" t="s">
        <v>340</v>
      </c>
      <c r="Q72">
        <v>35000</v>
      </c>
      <c r="R72">
        <v>20000</v>
      </c>
      <c r="S72" s="2">
        <v>0.63636363636363635</v>
      </c>
      <c r="AA72" t="s">
        <v>291</v>
      </c>
    </row>
    <row r="73" spans="1:27" x14ac:dyDescent="0.3">
      <c r="A73" s="3">
        <v>71</v>
      </c>
      <c r="B73">
        <v>105771</v>
      </c>
      <c r="C73" t="s">
        <v>26</v>
      </c>
      <c r="D73" t="s">
        <v>27</v>
      </c>
      <c r="E73" t="s">
        <v>31</v>
      </c>
      <c r="F73" t="s">
        <v>78</v>
      </c>
      <c r="G73" s="1" t="str">
        <f>HYPERLINK("https://new.land.naver.com/complexes/105771", "클릭")</f>
        <v>클릭</v>
      </c>
      <c r="H73">
        <v>2003</v>
      </c>
      <c r="I73">
        <v>3</v>
      </c>
      <c r="J73">
        <v>12</v>
      </c>
      <c r="K73">
        <v>66</v>
      </c>
      <c r="L73" t="s">
        <v>135</v>
      </c>
      <c r="M73" t="s">
        <v>138</v>
      </c>
      <c r="N73" t="s">
        <v>254</v>
      </c>
      <c r="O73">
        <v>55000</v>
      </c>
      <c r="AA73" t="s">
        <v>399</v>
      </c>
    </row>
    <row r="74" spans="1:27" x14ac:dyDescent="0.3">
      <c r="A74" s="3">
        <v>72</v>
      </c>
      <c r="B74">
        <v>23128</v>
      </c>
      <c r="C74" t="s">
        <v>26</v>
      </c>
      <c r="D74" t="s">
        <v>27</v>
      </c>
      <c r="E74" t="s">
        <v>29</v>
      </c>
      <c r="F74" t="s">
        <v>298</v>
      </c>
      <c r="G74" s="1" t="str">
        <f>HYPERLINK("https://new.land.naver.com/complexes/23128", "클릭")</f>
        <v>클릭</v>
      </c>
      <c r="H74">
        <v>1979</v>
      </c>
      <c r="I74">
        <v>11</v>
      </c>
      <c r="J74">
        <v>48</v>
      </c>
      <c r="K74">
        <v>67</v>
      </c>
      <c r="L74" t="s">
        <v>135</v>
      </c>
      <c r="M74" t="s">
        <v>137</v>
      </c>
      <c r="N74" t="s">
        <v>340</v>
      </c>
      <c r="O74">
        <v>54500</v>
      </c>
      <c r="P74" t="s">
        <v>340</v>
      </c>
      <c r="Q74">
        <v>24000</v>
      </c>
      <c r="R74">
        <v>30500</v>
      </c>
      <c r="S74" s="2">
        <v>0.44036697247706419</v>
      </c>
      <c r="AA74" t="s">
        <v>400</v>
      </c>
    </row>
    <row r="75" spans="1:27" x14ac:dyDescent="0.3">
      <c r="A75" s="3">
        <v>73</v>
      </c>
      <c r="B75">
        <v>110631</v>
      </c>
      <c r="C75" t="s">
        <v>26</v>
      </c>
      <c r="D75" t="s">
        <v>27</v>
      </c>
      <c r="E75" t="s">
        <v>31</v>
      </c>
      <c r="F75" t="s">
        <v>99</v>
      </c>
      <c r="G75" s="1" t="str">
        <f>HYPERLINK("https://new.land.naver.com/complexes/110631", "클릭")</f>
        <v>클릭</v>
      </c>
      <c r="H75">
        <v>2017</v>
      </c>
      <c r="I75">
        <v>1</v>
      </c>
      <c r="J75">
        <v>219</v>
      </c>
      <c r="K75">
        <v>74</v>
      </c>
      <c r="L75" t="s">
        <v>135</v>
      </c>
      <c r="M75" t="s">
        <v>137</v>
      </c>
      <c r="N75" t="s">
        <v>181</v>
      </c>
      <c r="O75">
        <v>53000</v>
      </c>
      <c r="P75" t="s">
        <v>181</v>
      </c>
      <c r="Q75">
        <v>39000</v>
      </c>
      <c r="R75">
        <v>14000</v>
      </c>
      <c r="S75" s="2">
        <v>0.73584905660377353</v>
      </c>
      <c r="V75">
        <v>34700</v>
      </c>
      <c r="W75" s="2">
        <v>1.527377521613833</v>
      </c>
      <c r="AA75" t="s">
        <v>198</v>
      </c>
    </row>
    <row r="76" spans="1:27" x14ac:dyDescent="0.3">
      <c r="A76" s="3">
        <v>74</v>
      </c>
      <c r="B76">
        <v>153721</v>
      </c>
      <c r="C76" t="s">
        <v>26</v>
      </c>
      <c r="D76" t="s">
        <v>27</v>
      </c>
      <c r="E76" t="s">
        <v>29</v>
      </c>
      <c r="F76" t="s">
        <v>305</v>
      </c>
      <c r="G76" s="1" t="str">
        <f>HYPERLINK("https://new.land.naver.com/complexes/153721", "클릭")</f>
        <v>클릭</v>
      </c>
      <c r="H76">
        <v>2022</v>
      </c>
      <c r="I76">
        <v>10</v>
      </c>
      <c r="J76">
        <v>18</v>
      </c>
      <c r="K76">
        <v>62</v>
      </c>
      <c r="L76" t="s">
        <v>135</v>
      </c>
      <c r="M76" t="s">
        <v>138</v>
      </c>
      <c r="N76" t="s">
        <v>368</v>
      </c>
      <c r="O76">
        <v>53000</v>
      </c>
      <c r="AA76" t="s">
        <v>198</v>
      </c>
    </row>
    <row r="77" spans="1:27" x14ac:dyDescent="0.3">
      <c r="A77" s="3">
        <v>75</v>
      </c>
      <c r="B77">
        <v>153721</v>
      </c>
      <c r="C77" t="s">
        <v>26</v>
      </c>
      <c r="D77" t="s">
        <v>27</v>
      </c>
      <c r="E77" t="s">
        <v>29</v>
      </c>
      <c r="F77" t="s">
        <v>305</v>
      </c>
      <c r="G77" s="1" t="str">
        <f>HYPERLINK("https://new.land.naver.com/complexes/153721", "클릭")</f>
        <v>클릭</v>
      </c>
      <c r="H77">
        <v>2022</v>
      </c>
      <c r="I77">
        <v>10</v>
      </c>
      <c r="J77">
        <v>18</v>
      </c>
      <c r="K77">
        <v>65</v>
      </c>
      <c r="L77" t="s">
        <v>135</v>
      </c>
      <c r="M77" t="s">
        <v>138</v>
      </c>
      <c r="N77" t="s">
        <v>258</v>
      </c>
      <c r="O77">
        <v>53000</v>
      </c>
      <c r="P77" t="s">
        <v>258</v>
      </c>
      <c r="Q77">
        <v>38000</v>
      </c>
      <c r="R77">
        <v>15000</v>
      </c>
      <c r="S77" s="2">
        <v>0.71698113207547165</v>
      </c>
      <c r="AA77" t="s">
        <v>198</v>
      </c>
    </row>
    <row r="78" spans="1:27" x14ac:dyDescent="0.3">
      <c r="A78" s="3">
        <v>76</v>
      </c>
      <c r="B78">
        <v>118693</v>
      </c>
      <c r="C78" t="s">
        <v>26</v>
      </c>
      <c r="D78" t="s">
        <v>27</v>
      </c>
      <c r="E78" t="s">
        <v>29</v>
      </c>
      <c r="F78" t="s">
        <v>312</v>
      </c>
      <c r="G78" s="1" t="str">
        <f>HYPERLINK("https://new.land.naver.com/complexes/118693", "클릭")</f>
        <v>클릭</v>
      </c>
      <c r="H78">
        <v>2017</v>
      </c>
      <c r="I78">
        <v>11</v>
      </c>
      <c r="J78">
        <v>29</v>
      </c>
      <c r="K78">
        <v>68</v>
      </c>
      <c r="L78" t="s">
        <v>135</v>
      </c>
      <c r="M78" t="s">
        <v>137</v>
      </c>
      <c r="N78" t="s">
        <v>367</v>
      </c>
      <c r="O78">
        <v>53000</v>
      </c>
      <c r="P78" t="s">
        <v>367</v>
      </c>
      <c r="Q78">
        <v>30000</v>
      </c>
      <c r="R78">
        <v>23000</v>
      </c>
      <c r="S78" s="2">
        <v>0.56603773584905659</v>
      </c>
      <c r="V78">
        <v>27100</v>
      </c>
      <c r="W78" s="2">
        <v>1.9557195571955719</v>
      </c>
      <c r="AA78" t="s">
        <v>198</v>
      </c>
    </row>
    <row r="79" spans="1:27" x14ac:dyDescent="0.3">
      <c r="A79" s="3">
        <v>77</v>
      </c>
      <c r="B79">
        <v>24035</v>
      </c>
      <c r="C79" t="s">
        <v>26</v>
      </c>
      <c r="D79" t="s">
        <v>27</v>
      </c>
      <c r="E79" t="s">
        <v>30</v>
      </c>
      <c r="F79" t="s">
        <v>104</v>
      </c>
      <c r="G79" s="1" t="str">
        <f>HYPERLINK("https://new.land.naver.com/complexes/24035", "클릭")</f>
        <v>클릭</v>
      </c>
      <c r="H79">
        <v>2003</v>
      </c>
      <c r="I79">
        <v>3</v>
      </c>
      <c r="J79">
        <v>64</v>
      </c>
      <c r="K79">
        <v>82</v>
      </c>
      <c r="N79" t="s">
        <v>369</v>
      </c>
      <c r="O79">
        <v>52000</v>
      </c>
      <c r="P79" t="s">
        <v>369</v>
      </c>
      <c r="Q79">
        <v>45000</v>
      </c>
      <c r="R79">
        <v>7000</v>
      </c>
      <c r="S79" s="2">
        <v>0.86538461538461542</v>
      </c>
      <c r="AA79" t="s">
        <v>401</v>
      </c>
    </row>
    <row r="80" spans="1:27" x14ac:dyDescent="0.3">
      <c r="A80" s="3">
        <v>78</v>
      </c>
      <c r="B80">
        <v>25197</v>
      </c>
      <c r="C80" t="s">
        <v>26</v>
      </c>
      <c r="D80" t="s">
        <v>27</v>
      </c>
      <c r="E80" t="s">
        <v>29</v>
      </c>
      <c r="F80" t="s">
        <v>313</v>
      </c>
      <c r="G80" s="1" t="str">
        <f>HYPERLINK("https://new.land.naver.com/complexes/25197", "클릭")</f>
        <v>클릭</v>
      </c>
      <c r="H80">
        <v>1984</v>
      </c>
      <c r="I80">
        <v>12</v>
      </c>
      <c r="J80">
        <v>36</v>
      </c>
      <c r="K80">
        <v>72</v>
      </c>
      <c r="L80" t="s">
        <v>135</v>
      </c>
      <c r="M80" t="s">
        <v>138</v>
      </c>
      <c r="N80" t="s">
        <v>359</v>
      </c>
      <c r="O80">
        <v>52000</v>
      </c>
      <c r="P80" t="s">
        <v>359</v>
      </c>
      <c r="Q80">
        <v>25000</v>
      </c>
      <c r="R80">
        <v>27000</v>
      </c>
      <c r="S80" s="2">
        <v>0.48076923076923078</v>
      </c>
      <c r="V80">
        <v>30700</v>
      </c>
      <c r="W80" s="2">
        <v>1.6938110749185671</v>
      </c>
      <c r="AA80" t="s">
        <v>198</v>
      </c>
    </row>
    <row r="81" spans="1:27" x14ac:dyDescent="0.3">
      <c r="A81" s="3">
        <v>79</v>
      </c>
      <c r="B81">
        <v>23128</v>
      </c>
      <c r="C81" t="s">
        <v>26</v>
      </c>
      <c r="D81" t="s">
        <v>27</v>
      </c>
      <c r="E81" t="s">
        <v>29</v>
      </c>
      <c r="F81" t="s">
        <v>298</v>
      </c>
      <c r="G81" s="1" t="str">
        <f>HYPERLINK("https://new.land.naver.com/complexes/23128", "클릭")</f>
        <v>클릭</v>
      </c>
      <c r="H81">
        <v>1979</v>
      </c>
      <c r="I81">
        <v>11</v>
      </c>
      <c r="J81">
        <v>48</v>
      </c>
      <c r="K81">
        <v>66</v>
      </c>
      <c r="M81" t="s">
        <v>138</v>
      </c>
      <c r="N81" t="s">
        <v>355</v>
      </c>
      <c r="O81">
        <v>52000</v>
      </c>
      <c r="AA81" t="s">
        <v>290</v>
      </c>
    </row>
    <row r="82" spans="1:27" x14ac:dyDescent="0.3">
      <c r="A82" s="3">
        <v>80</v>
      </c>
      <c r="B82">
        <v>153721</v>
      </c>
      <c r="C82" t="s">
        <v>26</v>
      </c>
      <c r="D82" t="s">
        <v>27</v>
      </c>
      <c r="E82" t="s">
        <v>29</v>
      </c>
      <c r="F82" t="s">
        <v>305</v>
      </c>
      <c r="G82" s="1" t="str">
        <f>HYPERLINK("https://new.land.naver.com/complexes/153721", "클릭")</f>
        <v>클릭</v>
      </c>
      <c r="H82">
        <v>2022</v>
      </c>
      <c r="I82">
        <v>10</v>
      </c>
      <c r="J82">
        <v>18</v>
      </c>
      <c r="K82">
        <v>60</v>
      </c>
      <c r="L82" t="s">
        <v>135</v>
      </c>
      <c r="M82" t="s">
        <v>138</v>
      </c>
      <c r="N82" t="s">
        <v>370</v>
      </c>
      <c r="O82">
        <v>52000</v>
      </c>
      <c r="AA82" t="s">
        <v>198</v>
      </c>
    </row>
    <row r="83" spans="1:27" x14ac:dyDescent="0.3">
      <c r="A83" s="3">
        <v>81</v>
      </c>
      <c r="B83">
        <v>3032</v>
      </c>
      <c r="C83" t="s">
        <v>26</v>
      </c>
      <c r="D83" t="s">
        <v>27</v>
      </c>
      <c r="E83" t="s">
        <v>28</v>
      </c>
      <c r="F83" t="s">
        <v>124</v>
      </c>
      <c r="G83" s="1" t="str">
        <f>HYPERLINK("https://new.land.naver.com/complexes/3032", "클릭")</f>
        <v>클릭</v>
      </c>
      <c r="H83">
        <v>1999</v>
      </c>
      <c r="I83">
        <v>12</v>
      </c>
      <c r="J83">
        <v>212</v>
      </c>
      <c r="K83">
        <v>74</v>
      </c>
      <c r="N83" t="s">
        <v>342</v>
      </c>
      <c r="O83">
        <v>51000</v>
      </c>
      <c r="AA83" t="s">
        <v>289</v>
      </c>
    </row>
    <row r="84" spans="1:27" x14ac:dyDescent="0.3">
      <c r="A84" s="3">
        <v>82</v>
      </c>
      <c r="B84">
        <v>8353</v>
      </c>
      <c r="C84" t="s">
        <v>26</v>
      </c>
      <c r="D84" t="s">
        <v>27</v>
      </c>
      <c r="E84" t="s">
        <v>28</v>
      </c>
      <c r="F84" t="s">
        <v>314</v>
      </c>
      <c r="G84" s="1" t="str">
        <f>HYPERLINK("https://new.land.naver.com/complexes/8353", "클릭")</f>
        <v>클릭</v>
      </c>
      <c r="H84">
        <v>1986</v>
      </c>
      <c r="I84">
        <v>8</v>
      </c>
      <c r="J84">
        <v>30</v>
      </c>
      <c r="K84">
        <v>70</v>
      </c>
      <c r="L84" t="s">
        <v>135</v>
      </c>
      <c r="M84" t="s">
        <v>138</v>
      </c>
      <c r="N84" t="s">
        <v>358</v>
      </c>
      <c r="O84">
        <v>50000</v>
      </c>
      <c r="P84" t="s">
        <v>358</v>
      </c>
      <c r="Q84">
        <v>19000</v>
      </c>
      <c r="R84">
        <v>31000</v>
      </c>
      <c r="S84" s="2">
        <v>0.38</v>
      </c>
      <c r="V84">
        <v>24900</v>
      </c>
      <c r="W84" s="2">
        <v>2.0080321285140559</v>
      </c>
      <c r="AA84" t="s">
        <v>198</v>
      </c>
    </row>
    <row r="85" spans="1:27" x14ac:dyDescent="0.3">
      <c r="A85" s="3">
        <v>83</v>
      </c>
      <c r="B85">
        <v>25078</v>
      </c>
      <c r="C85" t="s">
        <v>26</v>
      </c>
      <c r="D85" t="s">
        <v>27</v>
      </c>
      <c r="E85" t="s">
        <v>30</v>
      </c>
      <c r="F85" t="s">
        <v>87</v>
      </c>
      <c r="G85" s="1" t="str">
        <f>HYPERLINK("https://new.land.naver.com/complexes/25078", "클릭")</f>
        <v>클릭</v>
      </c>
      <c r="H85">
        <v>2000</v>
      </c>
      <c r="I85">
        <v>10</v>
      </c>
      <c r="J85">
        <v>180</v>
      </c>
      <c r="K85">
        <v>60</v>
      </c>
      <c r="L85" t="s">
        <v>135</v>
      </c>
      <c r="M85" t="s">
        <v>235</v>
      </c>
      <c r="N85" t="s">
        <v>364</v>
      </c>
      <c r="O85">
        <v>50000</v>
      </c>
      <c r="P85" t="s">
        <v>364</v>
      </c>
      <c r="Q85">
        <v>32000</v>
      </c>
      <c r="R85">
        <v>18000</v>
      </c>
      <c r="S85" s="2">
        <v>0.64</v>
      </c>
      <c r="V85">
        <v>30000</v>
      </c>
      <c r="W85" s="2">
        <v>1.666666666666667</v>
      </c>
      <c r="AA85" t="s">
        <v>198</v>
      </c>
    </row>
    <row r="86" spans="1:27" x14ac:dyDescent="0.3">
      <c r="A86" s="3">
        <v>84</v>
      </c>
      <c r="B86">
        <v>25883</v>
      </c>
      <c r="C86" t="s">
        <v>26</v>
      </c>
      <c r="D86" t="s">
        <v>27</v>
      </c>
      <c r="E86" t="s">
        <v>29</v>
      </c>
      <c r="F86" t="s">
        <v>83</v>
      </c>
      <c r="G86" s="1" t="str">
        <f>HYPERLINK("https://new.land.naver.com/complexes/25883", "클릭")</f>
        <v>클릭</v>
      </c>
      <c r="H86">
        <v>2007</v>
      </c>
      <c r="I86">
        <v>5</v>
      </c>
      <c r="J86">
        <v>80</v>
      </c>
      <c r="K86">
        <v>77</v>
      </c>
      <c r="N86" t="s">
        <v>343</v>
      </c>
      <c r="O86">
        <v>50000</v>
      </c>
      <c r="AA86" t="s">
        <v>402</v>
      </c>
    </row>
    <row r="87" spans="1:27" x14ac:dyDescent="0.3">
      <c r="A87" s="3">
        <v>85</v>
      </c>
      <c r="B87">
        <v>26181</v>
      </c>
      <c r="C87" t="s">
        <v>26</v>
      </c>
      <c r="D87" t="s">
        <v>27</v>
      </c>
      <c r="E87" t="s">
        <v>29</v>
      </c>
      <c r="F87" t="s">
        <v>315</v>
      </c>
      <c r="G87" s="1" t="str">
        <f>HYPERLINK("https://new.land.naver.com/complexes/26181", "클릭")</f>
        <v>클릭</v>
      </c>
      <c r="H87">
        <v>2007</v>
      </c>
      <c r="I87">
        <v>10</v>
      </c>
      <c r="J87">
        <v>30</v>
      </c>
      <c r="K87">
        <v>67</v>
      </c>
      <c r="L87" t="s">
        <v>336</v>
      </c>
      <c r="M87" t="s">
        <v>138</v>
      </c>
      <c r="N87" t="s">
        <v>237</v>
      </c>
      <c r="O87">
        <v>50000</v>
      </c>
      <c r="P87" t="s">
        <v>237</v>
      </c>
      <c r="Q87">
        <v>32000</v>
      </c>
      <c r="R87">
        <v>18000</v>
      </c>
      <c r="S87" s="2">
        <v>0.64</v>
      </c>
      <c r="AA87" t="s">
        <v>403</v>
      </c>
    </row>
    <row r="88" spans="1:27" x14ac:dyDescent="0.3">
      <c r="A88" s="3">
        <v>86</v>
      </c>
      <c r="B88">
        <v>13383</v>
      </c>
      <c r="C88" t="s">
        <v>26</v>
      </c>
      <c r="D88" t="s">
        <v>27</v>
      </c>
      <c r="E88" t="s">
        <v>28</v>
      </c>
      <c r="F88" t="s">
        <v>106</v>
      </c>
      <c r="G88" s="1" t="str">
        <f>HYPERLINK("https://new.land.naver.com/complexes/13383", "클릭")</f>
        <v>클릭</v>
      </c>
      <c r="H88">
        <v>2005</v>
      </c>
      <c r="I88">
        <v>12</v>
      </c>
      <c r="J88">
        <v>148</v>
      </c>
      <c r="K88">
        <v>72</v>
      </c>
      <c r="L88" t="s">
        <v>135</v>
      </c>
      <c r="M88" t="s">
        <v>137</v>
      </c>
      <c r="N88" t="s">
        <v>341</v>
      </c>
      <c r="O88">
        <v>50000</v>
      </c>
      <c r="P88" t="s">
        <v>341</v>
      </c>
      <c r="Q88">
        <v>35000</v>
      </c>
      <c r="R88">
        <v>15000</v>
      </c>
      <c r="S88" s="2">
        <v>0.7</v>
      </c>
      <c r="V88">
        <v>29800</v>
      </c>
      <c r="W88" s="2">
        <v>1.6778523489932891</v>
      </c>
      <c r="AA88" t="s">
        <v>198</v>
      </c>
    </row>
    <row r="89" spans="1:27" x14ac:dyDescent="0.3">
      <c r="A89" s="3">
        <v>87</v>
      </c>
      <c r="B89">
        <v>102646</v>
      </c>
      <c r="C89" t="s">
        <v>26</v>
      </c>
      <c r="D89" t="s">
        <v>27</v>
      </c>
      <c r="E89" t="s">
        <v>29</v>
      </c>
      <c r="F89" t="s">
        <v>311</v>
      </c>
      <c r="G89" s="1" t="str">
        <f>HYPERLINK("https://new.land.naver.com/complexes/102646", "클릭")</f>
        <v>클릭</v>
      </c>
      <c r="H89">
        <v>2010</v>
      </c>
      <c r="I89">
        <v>3</v>
      </c>
      <c r="J89">
        <v>52</v>
      </c>
      <c r="K89">
        <v>64</v>
      </c>
      <c r="N89" t="s">
        <v>271</v>
      </c>
      <c r="O89">
        <v>50000</v>
      </c>
      <c r="AA89" t="s">
        <v>404</v>
      </c>
    </row>
    <row r="90" spans="1:27" x14ac:dyDescent="0.3">
      <c r="A90" s="3">
        <v>88</v>
      </c>
      <c r="B90">
        <v>19128</v>
      </c>
      <c r="C90" t="s">
        <v>26</v>
      </c>
      <c r="D90" t="s">
        <v>27</v>
      </c>
      <c r="E90" t="s">
        <v>28</v>
      </c>
      <c r="F90" t="s">
        <v>107</v>
      </c>
      <c r="G90" s="1" t="str">
        <f>HYPERLINK("https://new.land.naver.com/complexes/19128", "클릭")</f>
        <v>클릭</v>
      </c>
      <c r="H90">
        <v>2005</v>
      </c>
      <c r="I90">
        <v>9</v>
      </c>
      <c r="J90">
        <v>83</v>
      </c>
      <c r="K90">
        <v>70</v>
      </c>
      <c r="L90" t="s">
        <v>135</v>
      </c>
      <c r="M90" t="s">
        <v>137</v>
      </c>
      <c r="N90" t="s">
        <v>359</v>
      </c>
      <c r="O90">
        <v>50000</v>
      </c>
      <c r="P90" t="s">
        <v>359</v>
      </c>
      <c r="Q90">
        <v>35000</v>
      </c>
      <c r="R90">
        <v>15000</v>
      </c>
      <c r="S90" s="2">
        <v>0.7</v>
      </c>
      <c r="V90">
        <v>30100</v>
      </c>
      <c r="W90" s="2">
        <v>1.6611295681063121</v>
      </c>
      <c r="AA90" t="s">
        <v>203</v>
      </c>
    </row>
    <row r="91" spans="1:27" x14ac:dyDescent="0.3">
      <c r="A91" s="3">
        <v>89</v>
      </c>
      <c r="B91">
        <v>132112</v>
      </c>
      <c r="C91" t="s">
        <v>26</v>
      </c>
      <c r="D91" t="s">
        <v>27</v>
      </c>
      <c r="E91" t="s">
        <v>28</v>
      </c>
      <c r="F91" t="s">
        <v>307</v>
      </c>
      <c r="G91" s="1" t="str">
        <f>HYPERLINK("https://new.land.naver.com/complexes/132112", "클릭")</f>
        <v>클릭</v>
      </c>
      <c r="H91">
        <v>2022</v>
      </c>
      <c r="I91">
        <v>3</v>
      </c>
      <c r="J91">
        <v>144</v>
      </c>
      <c r="K91">
        <v>61</v>
      </c>
      <c r="L91" t="s">
        <v>135</v>
      </c>
      <c r="M91" t="s">
        <v>137</v>
      </c>
      <c r="N91" t="s">
        <v>269</v>
      </c>
      <c r="O91">
        <v>49000</v>
      </c>
      <c r="P91" t="s">
        <v>269</v>
      </c>
      <c r="Q91">
        <v>36000</v>
      </c>
      <c r="R91">
        <v>13000</v>
      </c>
      <c r="S91" s="2">
        <v>0.73469387755102045</v>
      </c>
      <c r="AA91" t="s">
        <v>198</v>
      </c>
    </row>
    <row r="92" spans="1:27" x14ac:dyDescent="0.3">
      <c r="A92" s="3">
        <v>90</v>
      </c>
      <c r="B92">
        <v>8711</v>
      </c>
      <c r="C92" t="s">
        <v>26</v>
      </c>
      <c r="D92" t="s">
        <v>27</v>
      </c>
      <c r="E92" t="s">
        <v>30</v>
      </c>
      <c r="F92" t="s">
        <v>113</v>
      </c>
      <c r="G92" s="1" t="str">
        <f>HYPERLINK("https://new.land.naver.com/complexes/8711", "클릭")</f>
        <v>클릭</v>
      </c>
      <c r="H92">
        <v>1999</v>
      </c>
      <c r="I92">
        <v>7</v>
      </c>
      <c r="J92">
        <v>49</v>
      </c>
      <c r="K92">
        <v>82</v>
      </c>
      <c r="L92" t="s">
        <v>135</v>
      </c>
      <c r="M92" t="s">
        <v>137</v>
      </c>
      <c r="N92" t="s">
        <v>163</v>
      </c>
      <c r="O92">
        <v>49000</v>
      </c>
      <c r="P92" t="s">
        <v>163</v>
      </c>
      <c r="Q92">
        <v>35000</v>
      </c>
      <c r="R92">
        <v>14000</v>
      </c>
      <c r="S92" s="2">
        <v>0.7142857142857143</v>
      </c>
      <c r="V92">
        <v>31700</v>
      </c>
      <c r="W92" s="2">
        <v>1.545741324921136</v>
      </c>
      <c r="AA92" t="s">
        <v>198</v>
      </c>
    </row>
    <row r="93" spans="1:27" x14ac:dyDescent="0.3">
      <c r="A93" s="3">
        <v>91</v>
      </c>
      <c r="B93">
        <v>103511</v>
      </c>
      <c r="C93" t="s">
        <v>26</v>
      </c>
      <c r="D93" t="s">
        <v>27</v>
      </c>
      <c r="E93" t="s">
        <v>28</v>
      </c>
      <c r="F93" t="s">
        <v>109</v>
      </c>
      <c r="G93" s="1" t="str">
        <f>HYPERLINK("https://new.land.naver.com/complexes/103511", "클릭")</f>
        <v>클릭</v>
      </c>
      <c r="H93">
        <v>2012</v>
      </c>
      <c r="I93">
        <v>12</v>
      </c>
      <c r="J93">
        <v>136</v>
      </c>
      <c r="K93">
        <v>71</v>
      </c>
      <c r="L93" t="s">
        <v>135</v>
      </c>
      <c r="M93" t="s">
        <v>137</v>
      </c>
      <c r="N93" t="s">
        <v>359</v>
      </c>
      <c r="O93">
        <v>48000</v>
      </c>
      <c r="P93" t="s">
        <v>359</v>
      </c>
      <c r="Q93">
        <v>32000</v>
      </c>
      <c r="R93">
        <v>16000</v>
      </c>
      <c r="S93" s="2">
        <v>0.66666666666666663</v>
      </c>
      <c r="V93">
        <v>28300</v>
      </c>
      <c r="W93" s="2">
        <v>1.6961130742049471</v>
      </c>
      <c r="AA93" t="s">
        <v>198</v>
      </c>
    </row>
    <row r="94" spans="1:27" x14ac:dyDescent="0.3">
      <c r="A94" s="3">
        <v>92</v>
      </c>
      <c r="B94">
        <v>103511</v>
      </c>
      <c r="C94" t="s">
        <v>26</v>
      </c>
      <c r="D94" t="s">
        <v>27</v>
      </c>
      <c r="E94" t="s">
        <v>28</v>
      </c>
      <c r="F94" t="s">
        <v>109</v>
      </c>
      <c r="G94" s="1" t="str">
        <f>HYPERLINK("https://new.land.naver.com/complexes/103511", "클릭")</f>
        <v>클릭</v>
      </c>
      <c r="H94">
        <v>2012</v>
      </c>
      <c r="I94">
        <v>12</v>
      </c>
      <c r="J94">
        <v>136</v>
      </c>
      <c r="K94">
        <v>70</v>
      </c>
      <c r="L94" t="s">
        <v>135</v>
      </c>
      <c r="M94" t="s">
        <v>137</v>
      </c>
      <c r="N94" t="s">
        <v>362</v>
      </c>
      <c r="O94">
        <v>47000</v>
      </c>
      <c r="P94" t="s">
        <v>362</v>
      </c>
      <c r="Q94">
        <v>33000</v>
      </c>
      <c r="R94">
        <v>14000</v>
      </c>
      <c r="S94" s="2">
        <v>0.7021276595744681</v>
      </c>
      <c r="V94">
        <v>28300</v>
      </c>
      <c r="W94" s="2">
        <v>1.6607773851590111</v>
      </c>
      <c r="AA94" t="s">
        <v>288</v>
      </c>
    </row>
    <row r="95" spans="1:27" x14ac:dyDescent="0.3">
      <c r="A95" s="3">
        <v>93</v>
      </c>
      <c r="B95">
        <v>108656</v>
      </c>
      <c r="C95" t="s">
        <v>26</v>
      </c>
      <c r="D95" t="s">
        <v>27</v>
      </c>
      <c r="E95" t="s">
        <v>31</v>
      </c>
      <c r="F95" t="s">
        <v>111</v>
      </c>
      <c r="G95" s="1" t="str">
        <f>HYPERLINK("https://new.land.naver.com/complexes/108656", "클릭")</f>
        <v>클릭</v>
      </c>
      <c r="H95">
        <v>2014</v>
      </c>
      <c r="I95">
        <v>10</v>
      </c>
      <c r="J95">
        <v>191</v>
      </c>
      <c r="K95">
        <v>72</v>
      </c>
      <c r="L95" t="s">
        <v>135</v>
      </c>
      <c r="M95" t="s">
        <v>235</v>
      </c>
      <c r="N95" t="s">
        <v>189</v>
      </c>
      <c r="O95">
        <v>47000</v>
      </c>
      <c r="P95" t="s">
        <v>189</v>
      </c>
      <c r="Q95">
        <v>35000</v>
      </c>
      <c r="R95">
        <v>12000</v>
      </c>
      <c r="S95" s="2">
        <v>0.74468085106382975</v>
      </c>
      <c r="AA95" t="s">
        <v>198</v>
      </c>
    </row>
    <row r="96" spans="1:27" x14ac:dyDescent="0.3">
      <c r="A96" s="3">
        <v>94</v>
      </c>
      <c r="B96">
        <v>128987</v>
      </c>
      <c r="C96" t="s">
        <v>26</v>
      </c>
      <c r="D96" t="s">
        <v>27</v>
      </c>
      <c r="E96" t="s">
        <v>29</v>
      </c>
      <c r="F96" t="s">
        <v>316</v>
      </c>
      <c r="G96" s="1" t="str">
        <f>HYPERLINK("https://new.land.naver.com/complexes/128987", "클릭")</f>
        <v>클릭</v>
      </c>
      <c r="H96">
        <v>2019</v>
      </c>
      <c r="I96">
        <v>8</v>
      </c>
      <c r="J96">
        <v>6</v>
      </c>
      <c r="K96">
        <v>67</v>
      </c>
      <c r="L96" t="s">
        <v>135</v>
      </c>
      <c r="M96" t="s">
        <v>137</v>
      </c>
      <c r="N96" t="s">
        <v>271</v>
      </c>
      <c r="O96">
        <v>47000</v>
      </c>
      <c r="AA96" t="s">
        <v>198</v>
      </c>
    </row>
    <row r="97" spans="1:27" x14ac:dyDescent="0.3">
      <c r="A97" s="3">
        <v>95</v>
      </c>
      <c r="B97">
        <v>1971</v>
      </c>
      <c r="C97" t="s">
        <v>26</v>
      </c>
      <c r="D97" t="s">
        <v>27</v>
      </c>
      <c r="E97" t="s">
        <v>29</v>
      </c>
      <c r="F97" t="s">
        <v>227</v>
      </c>
      <c r="G97" s="1" t="str">
        <f>HYPERLINK("https://new.land.naver.com/complexes/1971", "클릭")</f>
        <v>클릭</v>
      </c>
      <c r="H97">
        <v>1986</v>
      </c>
      <c r="I97">
        <v>6</v>
      </c>
      <c r="J97">
        <v>140</v>
      </c>
      <c r="K97">
        <v>63</v>
      </c>
      <c r="L97" t="s">
        <v>135</v>
      </c>
      <c r="M97" t="s">
        <v>138</v>
      </c>
      <c r="N97" t="s">
        <v>263</v>
      </c>
      <c r="O97">
        <v>46500</v>
      </c>
      <c r="P97" t="s">
        <v>263</v>
      </c>
      <c r="Q97">
        <v>20000</v>
      </c>
      <c r="R97">
        <v>26500</v>
      </c>
      <c r="S97" s="2">
        <v>0.43010752688172038</v>
      </c>
      <c r="V97">
        <v>25300</v>
      </c>
      <c r="W97" s="2">
        <v>1.837944664031621</v>
      </c>
      <c r="AA97" t="s">
        <v>198</v>
      </c>
    </row>
    <row r="98" spans="1:27" x14ac:dyDescent="0.3">
      <c r="A98" s="3">
        <v>96</v>
      </c>
      <c r="B98">
        <v>27012</v>
      </c>
      <c r="C98" t="s">
        <v>26</v>
      </c>
      <c r="D98" t="s">
        <v>27</v>
      </c>
      <c r="E98" t="s">
        <v>30</v>
      </c>
      <c r="F98" t="s">
        <v>317</v>
      </c>
      <c r="G98" s="1" t="str">
        <f>HYPERLINK("https://new.land.naver.com/complexes/27012", "클릭")</f>
        <v>클릭</v>
      </c>
      <c r="H98">
        <v>2008</v>
      </c>
      <c r="I98">
        <v>10</v>
      </c>
      <c r="J98">
        <v>41</v>
      </c>
      <c r="K98">
        <v>65</v>
      </c>
      <c r="L98" t="s">
        <v>135</v>
      </c>
      <c r="M98" t="s">
        <v>137</v>
      </c>
      <c r="N98" t="s">
        <v>267</v>
      </c>
      <c r="O98">
        <v>46000</v>
      </c>
      <c r="P98" t="s">
        <v>267</v>
      </c>
      <c r="Q98">
        <v>29000</v>
      </c>
      <c r="R98">
        <v>17000</v>
      </c>
      <c r="S98" s="2">
        <v>0.63043478260869568</v>
      </c>
      <c r="AA98" t="s">
        <v>391</v>
      </c>
    </row>
    <row r="99" spans="1:27" x14ac:dyDescent="0.3">
      <c r="A99" s="3">
        <v>97</v>
      </c>
      <c r="B99">
        <v>1971</v>
      </c>
      <c r="C99" t="s">
        <v>26</v>
      </c>
      <c r="D99" t="s">
        <v>27</v>
      </c>
      <c r="E99" t="s">
        <v>29</v>
      </c>
      <c r="F99" t="s">
        <v>227</v>
      </c>
      <c r="G99" s="1" t="str">
        <f>HYPERLINK("https://new.land.naver.com/complexes/1971", "클릭")</f>
        <v>클릭</v>
      </c>
      <c r="H99">
        <v>1986</v>
      </c>
      <c r="I99">
        <v>6</v>
      </c>
      <c r="J99">
        <v>140</v>
      </c>
      <c r="K99">
        <v>66</v>
      </c>
      <c r="L99" t="s">
        <v>135</v>
      </c>
      <c r="M99" t="s">
        <v>138</v>
      </c>
      <c r="N99" t="s">
        <v>237</v>
      </c>
      <c r="O99">
        <v>45500</v>
      </c>
      <c r="P99" t="s">
        <v>237</v>
      </c>
      <c r="Q99">
        <v>23000</v>
      </c>
      <c r="R99">
        <v>22500</v>
      </c>
      <c r="S99" s="2">
        <v>0.50549450549450547</v>
      </c>
      <c r="V99">
        <v>25100</v>
      </c>
      <c r="W99" s="2">
        <v>1.8127490039840639</v>
      </c>
      <c r="AA99" t="s">
        <v>405</v>
      </c>
    </row>
    <row r="100" spans="1:27" x14ac:dyDescent="0.3">
      <c r="A100" s="3">
        <v>98</v>
      </c>
      <c r="B100">
        <v>2040</v>
      </c>
      <c r="C100" t="s">
        <v>26</v>
      </c>
      <c r="D100" t="s">
        <v>27</v>
      </c>
      <c r="E100" t="s">
        <v>28</v>
      </c>
      <c r="F100" t="s">
        <v>318</v>
      </c>
      <c r="G100" s="1" t="str">
        <f>HYPERLINK("https://new.land.naver.com/complexes/2040", "클릭")</f>
        <v>클릭</v>
      </c>
      <c r="H100">
        <v>1984</v>
      </c>
      <c r="I100">
        <v>12</v>
      </c>
      <c r="J100">
        <v>190</v>
      </c>
      <c r="K100">
        <v>62</v>
      </c>
      <c r="L100" t="s">
        <v>135</v>
      </c>
      <c r="M100" t="s">
        <v>138</v>
      </c>
      <c r="N100" t="s">
        <v>339</v>
      </c>
      <c r="O100">
        <v>45000</v>
      </c>
      <c r="P100" t="s">
        <v>339</v>
      </c>
      <c r="Q100">
        <v>20000</v>
      </c>
      <c r="R100">
        <v>25000</v>
      </c>
      <c r="S100" s="2">
        <v>0.44444444444444442</v>
      </c>
      <c r="V100">
        <v>22500</v>
      </c>
      <c r="W100" s="2">
        <v>2</v>
      </c>
      <c r="AA100" t="s">
        <v>198</v>
      </c>
    </row>
    <row r="101" spans="1:27" x14ac:dyDescent="0.3">
      <c r="A101" s="3">
        <v>99</v>
      </c>
      <c r="B101">
        <v>1973</v>
      </c>
      <c r="C101" t="s">
        <v>26</v>
      </c>
      <c r="D101" t="s">
        <v>27</v>
      </c>
      <c r="E101" t="s">
        <v>29</v>
      </c>
      <c r="F101" t="s">
        <v>319</v>
      </c>
      <c r="G101" s="1" t="str">
        <f>HYPERLINK("https://new.land.naver.com/complexes/1973", "클릭")</f>
        <v>클릭</v>
      </c>
      <c r="H101">
        <v>1986</v>
      </c>
      <c r="I101">
        <v>6</v>
      </c>
      <c r="J101">
        <v>50</v>
      </c>
      <c r="K101">
        <v>62</v>
      </c>
      <c r="N101" t="s">
        <v>271</v>
      </c>
      <c r="O101">
        <v>45000</v>
      </c>
      <c r="P101" t="s">
        <v>271</v>
      </c>
      <c r="Q101">
        <v>18000</v>
      </c>
      <c r="R101">
        <v>27000</v>
      </c>
      <c r="S101" s="2">
        <v>0.4</v>
      </c>
      <c r="AA101" t="s">
        <v>406</v>
      </c>
    </row>
    <row r="102" spans="1:27" x14ac:dyDescent="0.3">
      <c r="A102" s="3">
        <v>100</v>
      </c>
      <c r="B102">
        <v>8353</v>
      </c>
      <c r="C102" t="s">
        <v>26</v>
      </c>
      <c r="D102" t="s">
        <v>27</v>
      </c>
      <c r="E102" t="s">
        <v>28</v>
      </c>
      <c r="F102" t="s">
        <v>314</v>
      </c>
      <c r="G102" s="1" t="str">
        <f>HYPERLINK("https://new.land.naver.com/complexes/8353", "클릭")</f>
        <v>클릭</v>
      </c>
      <c r="H102">
        <v>1986</v>
      </c>
      <c r="I102">
        <v>8</v>
      </c>
      <c r="J102">
        <v>30</v>
      </c>
      <c r="K102">
        <v>64</v>
      </c>
      <c r="L102" t="s">
        <v>135</v>
      </c>
      <c r="M102" t="s">
        <v>235</v>
      </c>
      <c r="N102" t="s">
        <v>263</v>
      </c>
      <c r="O102">
        <v>45000</v>
      </c>
      <c r="P102" t="s">
        <v>263</v>
      </c>
      <c r="Q102">
        <v>15000</v>
      </c>
      <c r="R102">
        <v>30000</v>
      </c>
      <c r="S102" s="2">
        <v>0.33333333333333331</v>
      </c>
      <c r="V102">
        <v>24000</v>
      </c>
      <c r="W102" s="2">
        <v>1.875</v>
      </c>
      <c r="AA102" t="s">
        <v>198</v>
      </c>
    </row>
    <row r="103" spans="1:27" x14ac:dyDescent="0.3">
      <c r="A103" s="3">
        <v>101</v>
      </c>
      <c r="B103">
        <v>122827</v>
      </c>
      <c r="C103" t="s">
        <v>26</v>
      </c>
      <c r="D103" t="s">
        <v>27</v>
      </c>
      <c r="E103" t="s">
        <v>31</v>
      </c>
      <c r="F103" t="s">
        <v>320</v>
      </c>
      <c r="G103" s="1" t="str">
        <f>HYPERLINK("https://new.land.naver.com/complexes/122827", "클릭")</f>
        <v>클릭</v>
      </c>
      <c r="H103">
        <v>2018</v>
      </c>
      <c r="I103">
        <v>6</v>
      </c>
      <c r="J103">
        <v>27</v>
      </c>
      <c r="K103">
        <v>67</v>
      </c>
      <c r="L103" t="s">
        <v>135</v>
      </c>
      <c r="M103" t="s">
        <v>137</v>
      </c>
      <c r="N103" t="s">
        <v>359</v>
      </c>
      <c r="O103">
        <v>45000</v>
      </c>
      <c r="AA103" t="s">
        <v>198</v>
      </c>
    </row>
    <row r="104" spans="1:27" x14ac:dyDescent="0.3">
      <c r="A104" s="3">
        <v>102</v>
      </c>
      <c r="B104">
        <v>9061</v>
      </c>
      <c r="C104" t="s">
        <v>26</v>
      </c>
      <c r="D104" t="s">
        <v>27</v>
      </c>
      <c r="E104" t="s">
        <v>28</v>
      </c>
      <c r="F104" t="s">
        <v>119</v>
      </c>
      <c r="G104" s="1" t="str">
        <f>HYPERLINK("https://new.land.naver.com/complexes/9061", "클릭")</f>
        <v>클릭</v>
      </c>
      <c r="H104">
        <v>1999</v>
      </c>
      <c r="I104">
        <v>1</v>
      </c>
      <c r="J104">
        <v>113</v>
      </c>
      <c r="K104">
        <v>81</v>
      </c>
      <c r="L104" t="s">
        <v>135</v>
      </c>
      <c r="M104" t="s">
        <v>137</v>
      </c>
      <c r="N104" t="s">
        <v>161</v>
      </c>
      <c r="O104">
        <v>45000</v>
      </c>
      <c r="AA104" t="s">
        <v>205</v>
      </c>
    </row>
    <row r="105" spans="1:27" x14ac:dyDescent="0.3">
      <c r="A105" s="3">
        <v>103</v>
      </c>
      <c r="B105">
        <v>26181</v>
      </c>
      <c r="C105" t="s">
        <v>26</v>
      </c>
      <c r="D105" t="s">
        <v>27</v>
      </c>
      <c r="E105" t="s">
        <v>29</v>
      </c>
      <c r="F105" t="s">
        <v>315</v>
      </c>
      <c r="G105" s="1" t="str">
        <f>HYPERLINK("https://new.land.naver.com/complexes/26181", "클릭")</f>
        <v>클릭</v>
      </c>
      <c r="H105">
        <v>2007</v>
      </c>
      <c r="I105">
        <v>10</v>
      </c>
      <c r="J105">
        <v>30</v>
      </c>
      <c r="K105">
        <v>71</v>
      </c>
      <c r="M105" t="s">
        <v>137</v>
      </c>
      <c r="N105" t="s">
        <v>362</v>
      </c>
      <c r="O105">
        <v>45000</v>
      </c>
      <c r="AA105" t="s">
        <v>290</v>
      </c>
    </row>
    <row r="106" spans="1:27" x14ac:dyDescent="0.3">
      <c r="A106" s="3">
        <v>104</v>
      </c>
      <c r="B106">
        <v>2034</v>
      </c>
      <c r="C106" t="s">
        <v>26</v>
      </c>
      <c r="D106" t="s">
        <v>27</v>
      </c>
      <c r="E106" t="s">
        <v>28</v>
      </c>
      <c r="F106" t="s">
        <v>114</v>
      </c>
      <c r="G106" s="1" t="str">
        <f>HYPERLINK("https://new.land.naver.com/complexes/2034", "클릭")</f>
        <v>클릭</v>
      </c>
      <c r="H106">
        <v>1999</v>
      </c>
      <c r="I106">
        <v>8</v>
      </c>
      <c r="J106">
        <v>195</v>
      </c>
      <c r="K106">
        <v>71</v>
      </c>
      <c r="L106" t="s">
        <v>136</v>
      </c>
      <c r="M106" t="s">
        <v>137</v>
      </c>
      <c r="N106" t="s">
        <v>361</v>
      </c>
      <c r="O106">
        <v>45000</v>
      </c>
      <c r="P106" t="s">
        <v>361</v>
      </c>
      <c r="Q106">
        <v>28000</v>
      </c>
      <c r="R106">
        <v>17000</v>
      </c>
      <c r="S106" s="2">
        <v>0.62222222222222223</v>
      </c>
      <c r="V106">
        <v>27000</v>
      </c>
      <c r="W106" s="2">
        <v>1.666666666666667</v>
      </c>
      <c r="AA106" t="s">
        <v>387</v>
      </c>
    </row>
    <row r="107" spans="1:27" x14ac:dyDescent="0.3">
      <c r="A107" s="3">
        <v>105</v>
      </c>
      <c r="B107">
        <v>2043</v>
      </c>
      <c r="C107" t="s">
        <v>26</v>
      </c>
      <c r="D107" t="s">
        <v>27</v>
      </c>
      <c r="E107" t="s">
        <v>28</v>
      </c>
      <c r="F107" t="s">
        <v>120</v>
      </c>
      <c r="G107" s="1" t="str">
        <f>HYPERLINK("https://new.land.naver.com/complexes/2043", "클릭")</f>
        <v>클릭</v>
      </c>
      <c r="H107">
        <v>1999</v>
      </c>
      <c r="I107">
        <v>12</v>
      </c>
      <c r="J107">
        <v>116</v>
      </c>
      <c r="K107">
        <v>79</v>
      </c>
      <c r="L107" t="s">
        <v>136</v>
      </c>
      <c r="M107" t="s">
        <v>137</v>
      </c>
      <c r="N107" t="s">
        <v>160</v>
      </c>
      <c r="O107">
        <v>45000</v>
      </c>
      <c r="V107">
        <v>24900</v>
      </c>
      <c r="W107" s="2">
        <v>1.8072289156626511</v>
      </c>
      <c r="AA107" t="s">
        <v>198</v>
      </c>
    </row>
    <row r="108" spans="1:27" x14ac:dyDescent="0.3">
      <c r="A108" s="3">
        <v>106</v>
      </c>
      <c r="B108">
        <v>15536</v>
      </c>
      <c r="C108" t="s">
        <v>26</v>
      </c>
      <c r="D108" t="s">
        <v>27</v>
      </c>
      <c r="E108" t="s">
        <v>28</v>
      </c>
      <c r="F108" t="s">
        <v>232</v>
      </c>
      <c r="G108" s="1" t="str">
        <f>HYPERLINK("https://new.land.naver.com/complexes/15536", "클릭")</f>
        <v>클릭</v>
      </c>
      <c r="H108">
        <v>2003</v>
      </c>
      <c r="I108">
        <v>11</v>
      </c>
      <c r="J108">
        <v>89</v>
      </c>
      <c r="K108">
        <v>71</v>
      </c>
      <c r="L108" t="s">
        <v>135</v>
      </c>
      <c r="M108" t="s">
        <v>137</v>
      </c>
      <c r="N108" t="s">
        <v>181</v>
      </c>
      <c r="O108">
        <v>45000</v>
      </c>
      <c r="P108" t="s">
        <v>181</v>
      </c>
      <c r="Q108">
        <v>27000</v>
      </c>
      <c r="R108">
        <v>18000</v>
      </c>
      <c r="S108" s="2">
        <v>0.6</v>
      </c>
      <c r="V108">
        <v>25700</v>
      </c>
      <c r="W108" s="2">
        <v>1.7509727626459139</v>
      </c>
      <c r="AA108" t="s">
        <v>198</v>
      </c>
    </row>
    <row r="109" spans="1:27" x14ac:dyDescent="0.3">
      <c r="A109" s="3">
        <v>107</v>
      </c>
      <c r="B109">
        <v>114535</v>
      </c>
      <c r="C109" t="s">
        <v>26</v>
      </c>
      <c r="D109" t="s">
        <v>27</v>
      </c>
      <c r="E109" t="s">
        <v>28</v>
      </c>
      <c r="F109" t="s">
        <v>321</v>
      </c>
      <c r="G109" s="1" t="str">
        <f>HYPERLINK("https://new.land.naver.com/complexes/114535", "클릭")</f>
        <v>클릭</v>
      </c>
      <c r="H109">
        <v>2016</v>
      </c>
      <c r="I109">
        <v>6</v>
      </c>
      <c r="J109">
        <v>36</v>
      </c>
      <c r="K109">
        <v>71</v>
      </c>
      <c r="L109" t="s">
        <v>135</v>
      </c>
      <c r="M109" t="s">
        <v>137</v>
      </c>
      <c r="N109" t="s">
        <v>237</v>
      </c>
      <c r="O109">
        <v>45000</v>
      </c>
      <c r="P109" t="s">
        <v>237</v>
      </c>
      <c r="Q109">
        <v>31000</v>
      </c>
      <c r="R109">
        <v>14000</v>
      </c>
      <c r="S109" s="2">
        <v>0.68888888888888888</v>
      </c>
      <c r="V109">
        <v>31300</v>
      </c>
      <c r="W109" s="2">
        <v>1.4376996805111819</v>
      </c>
      <c r="AA109" t="s">
        <v>198</v>
      </c>
    </row>
    <row r="110" spans="1:27" x14ac:dyDescent="0.3">
      <c r="A110" s="3">
        <v>108</v>
      </c>
      <c r="B110">
        <v>8185</v>
      </c>
      <c r="C110" t="s">
        <v>26</v>
      </c>
      <c r="D110" t="s">
        <v>27</v>
      </c>
      <c r="E110" t="s">
        <v>30</v>
      </c>
      <c r="F110" t="s">
        <v>97</v>
      </c>
      <c r="G110" s="1" t="str">
        <f>HYPERLINK("https://new.land.naver.com/complexes/8185", "클릭")</f>
        <v>클릭</v>
      </c>
      <c r="H110">
        <v>1999</v>
      </c>
      <c r="I110">
        <v>10</v>
      </c>
      <c r="J110">
        <v>129</v>
      </c>
      <c r="K110">
        <v>64</v>
      </c>
      <c r="L110" t="s">
        <v>136</v>
      </c>
      <c r="M110" t="s">
        <v>138</v>
      </c>
      <c r="N110" t="s">
        <v>358</v>
      </c>
      <c r="O110">
        <v>45000</v>
      </c>
      <c r="P110" t="s">
        <v>358</v>
      </c>
      <c r="Q110">
        <v>35000</v>
      </c>
      <c r="R110">
        <v>10000</v>
      </c>
      <c r="S110" s="2">
        <v>0.77777777777777779</v>
      </c>
      <c r="V110">
        <v>27800</v>
      </c>
      <c r="W110" s="2">
        <v>1.6187050359712229</v>
      </c>
      <c r="AA110" t="s">
        <v>198</v>
      </c>
    </row>
    <row r="111" spans="1:27" x14ac:dyDescent="0.3">
      <c r="A111" s="3">
        <v>109</v>
      </c>
      <c r="B111">
        <v>101966</v>
      </c>
      <c r="C111" t="s">
        <v>26</v>
      </c>
      <c r="D111" t="s">
        <v>27</v>
      </c>
      <c r="E111" t="s">
        <v>31</v>
      </c>
      <c r="F111" t="s">
        <v>322</v>
      </c>
      <c r="G111" s="1" t="str">
        <f>HYPERLINK("https://new.land.naver.com/complexes/101966", "클릭")</f>
        <v>클릭</v>
      </c>
      <c r="H111">
        <v>1981</v>
      </c>
      <c r="I111">
        <v>8</v>
      </c>
      <c r="J111">
        <v>45</v>
      </c>
      <c r="K111">
        <v>72</v>
      </c>
      <c r="L111" t="s">
        <v>135</v>
      </c>
      <c r="M111" t="s">
        <v>235</v>
      </c>
      <c r="N111" t="s">
        <v>371</v>
      </c>
      <c r="O111">
        <v>45000</v>
      </c>
      <c r="P111" t="s">
        <v>371</v>
      </c>
      <c r="Q111">
        <v>12000</v>
      </c>
      <c r="R111">
        <v>33000</v>
      </c>
      <c r="S111" s="2">
        <v>0.26666666666666672</v>
      </c>
      <c r="V111">
        <v>24100</v>
      </c>
      <c r="W111" s="2">
        <v>1.8672199170124479</v>
      </c>
      <c r="AA111" t="s">
        <v>198</v>
      </c>
    </row>
    <row r="112" spans="1:27" x14ac:dyDescent="0.3">
      <c r="A112" s="3">
        <v>110</v>
      </c>
      <c r="B112">
        <v>10147</v>
      </c>
      <c r="C112" t="s">
        <v>26</v>
      </c>
      <c r="D112" t="s">
        <v>27</v>
      </c>
      <c r="E112" t="s">
        <v>28</v>
      </c>
      <c r="F112" t="s">
        <v>105</v>
      </c>
      <c r="G112" s="1" t="str">
        <f>HYPERLINK("https://new.land.naver.com/complexes/10147", "클릭")</f>
        <v>클릭</v>
      </c>
      <c r="H112">
        <v>2004</v>
      </c>
      <c r="I112">
        <v>10</v>
      </c>
      <c r="J112">
        <v>203</v>
      </c>
      <c r="K112">
        <v>66</v>
      </c>
      <c r="L112" t="s">
        <v>135</v>
      </c>
      <c r="M112" t="s">
        <v>138</v>
      </c>
      <c r="N112" t="s">
        <v>260</v>
      </c>
      <c r="O112">
        <v>43000</v>
      </c>
      <c r="P112" t="s">
        <v>260</v>
      </c>
      <c r="Q112">
        <v>33000</v>
      </c>
      <c r="R112">
        <v>10000</v>
      </c>
      <c r="S112" s="2">
        <v>0.76744186046511631</v>
      </c>
      <c r="V112">
        <v>28400</v>
      </c>
      <c r="W112" s="2">
        <v>1.5140845070422539</v>
      </c>
      <c r="AA112" t="s">
        <v>198</v>
      </c>
    </row>
    <row r="113" spans="1:27" x14ac:dyDescent="0.3">
      <c r="A113" s="3">
        <v>111</v>
      </c>
      <c r="B113">
        <v>127325</v>
      </c>
      <c r="C113" t="s">
        <v>26</v>
      </c>
      <c r="D113" t="s">
        <v>27</v>
      </c>
      <c r="E113" t="s">
        <v>28</v>
      </c>
      <c r="F113" t="s">
        <v>323</v>
      </c>
      <c r="G113" s="1" t="str">
        <f>HYPERLINK("https://new.land.naver.com/complexes/127325", "클릭")</f>
        <v>클릭</v>
      </c>
      <c r="H113">
        <v>2015</v>
      </c>
      <c r="I113">
        <v>8</v>
      </c>
      <c r="J113">
        <v>15</v>
      </c>
      <c r="K113">
        <v>82</v>
      </c>
      <c r="L113" t="s">
        <v>135</v>
      </c>
      <c r="M113" t="s">
        <v>137</v>
      </c>
      <c r="N113" t="s">
        <v>344</v>
      </c>
      <c r="O113">
        <v>42000</v>
      </c>
      <c r="P113" t="s">
        <v>379</v>
      </c>
      <c r="Q113">
        <v>30000</v>
      </c>
      <c r="R113">
        <v>12000</v>
      </c>
      <c r="S113" s="2">
        <v>0.7142857142857143</v>
      </c>
      <c r="AA113" t="s">
        <v>198</v>
      </c>
    </row>
    <row r="114" spans="1:27" x14ac:dyDescent="0.3">
      <c r="A114" s="3">
        <v>112</v>
      </c>
      <c r="B114">
        <v>15536</v>
      </c>
      <c r="C114" t="s">
        <v>26</v>
      </c>
      <c r="D114" t="s">
        <v>27</v>
      </c>
      <c r="E114" t="s">
        <v>28</v>
      </c>
      <c r="F114" t="s">
        <v>232</v>
      </c>
      <c r="G114" s="1" t="str">
        <f>HYPERLINK("https://new.land.naver.com/complexes/15536", "클릭")</f>
        <v>클릭</v>
      </c>
      <c r="H114">
        <v>2003</v>
      </c>
      <c r="I114">
        <v>11</v>
      </c>
      <c r="J114">
        <v>89</v>
      </c>
      <c r="K114">
        <v>73</v>
      </c>
      <c r="L114" t="s">
        <v>135</v>
      </c>
      <c r="M114" t="s">
        <v>137</v>
      </c>
      <c r="N114" t="s">
        <v>150</v>
      </c>
      <c r="O114">
        <v>42000</v>
      </c>
      <c r="P114" t="s">
        <v>150</v>
      </c>
      <c r="Q114">
        <v>27000</v>
      </c>
      <c r="R114">
        <v>15000</v>
      </c>
      <c r="S114" s="2">
        <v>0.6428571428571429</v>
      </c>
      <c r="AA114" t="s">
        <v>407</v>
      </c>
    </row>
    <row r="115" spans="1:27" x14ac:dyDescent="0.3">
      <c r="A115" s="3">
        <v>113</v>
      </c>
      <c r="B115">
        <v>108656</v>
      </c>
      <c r="C115" t="s">
        <v>26</v>
      </c>
      <c r="D115" t="s">
        <v>27</v>
      </c>
      <c r="E115" t="s">
        <v>31</v>
      </c>
      <c r="F115" t="s">
        <v>111</v>
      </c>
      <c r="G115" s="1" t="str">
        <f>HYPERLINK("https://new.land.naver.com/complexes/108656", "클릭")</f>
        <v>클릭</v>
      </c>
      <c r="H115">
        <v>2014</v>
      </c>
      <c r="I115">
        <v>10</v>
      </c>
      <c r="J115">
        <v>191</v>
      </c>
      <c r="K115">
        <v>68</v>
      </c>
      <c r="L115" t="s">
        <v>135</v>
      </c>
      <c r="M115" t="s">
        <v>235</v>
      </c>
      <c r="N115" t="s">
        <v>359</v>
      </c>
      <c r="O115">
        <v>41000</v>
      </c>
      <c r="P115" t="s">
        <v>359</v>
      </c>
      <c r="Q115">
        <v>32000</v>
      </c>
      <c r="R115">
        <v>9000</v>
      </c>
      <c r="S115" s="2">
        <v>0.78048780487804881</v>
      </c>
      <c r="AA115" t="s">
        <v>198</v>
      </c>
    </row>
    <row r="116" spans="1:27" x14ac:dyDescent="0.3">
      <c r="A116" s="3">
        <v>114</v>
      </c>
      <c r="B116">
        <v>1989</v>
      </c>
      <c r="C116" t="s">
        <v>26</v>
      </c>
      <c r="D116" t="s">
        <v>27</v>
      </c>
      <c r="E116" t="s">
        <v>31</v>
      </c>
      <c r="F116" t="s">
        <v>132</v>
      </c>
      <c r="G116" s="1" t="str">
        <f>HYPERLINK("https://new.land.naver.com/complexes/1989", "클릭")</f>
        <v>클릭</v>
      </c>
      <c r="H116">
        <v>1979</v>
      </c>
      <c r="I116">
        <v>9</v>
      </c>
      <c r="J116">
        <v>576</v>
      </c>
      <c r="K116">
        <v>82</v>
      </c>
      <c r="L116" t="s">
        <v>136</v>
      </c>
      <c r="M116" t="s">
        <v>235</v>
      </c>
      <c r="N116" t="s">
        <v>372</v>
      </c>
      <c r="O116">
        <v>41000</v>
      </c>
      <c r="P116" t="s">
        <v>372</v>
      </c>
      <c r="Q116">
        <v>10000</v>
      </c>
      <c r="R116">
        <v>31000</v>
      </c>
      <c r="S116" s="2">
        <v>0.24390243902439021</v>
      </c>
      <c r="AA116" t="s">
        <v>198</v>
      </c>
    </row>
    <row r="117" spans="1:27" x14ac:dyDescent="0.3">
      <c r="A117" s="3">
        <v>115</v>
      </c>
      <c r="B117">
        <v>2047</v>
      </c>
      <c r="C117" t="s">
        <v>26</v>
      </c>
      <c r="D117" t="s">
        <v>27</v>
      </c>
      <c r="E117" t="s">
        <v>28</v>
      </c>
      <c r="F117" t="s">
        <v>127</v>
      </c>
      <c r="G117" s="1" t="str">
        <f>HYPERLINK("https://new.land.naver.com/complexes/2047", "클릭")</f>
        <v>클릭</v>
      </c>
      <c r="H117">
        <v>1994</v>
      </c>
      <c r="I117">
        <v>11</v>
      </c>
      <c r="J117">
        <v>148</v>
      </c>
      <c r="K117">
        <v>80</v>
      </c>
      <c r="L117" t="s">
        <v>136</v>
      </c>
      <c r="M117" t="s">
        <v>137</v>
      </c>
      <c r="N117" t="s">
        <v>144</v>
      </c>
      <c r="O117">
        <v>41000</v>
      </c>
      <c r="P117" t="s">
        <v>144</v>
      </c>
      <c r="Q117">
        <v>30000</v>
      </c>
      <c r="R117">
        <v>11000</v>
      </c>
      <c r="S117" s="2">
        <v>0.73170731707317072</v>
      </c>
      <c r="V117">
        <v>22200</v>
      </c>
      <c r="W117" s="2">
        <v>1.8468468468468471</v>
      </c>
      <c r="AA117" t="s">
        <v>198</v>
      </c>
    </row>
    <row r="118" spans="1:27" x14ac:dyDescent="0.3">
      <c r="A118" s="3">
        <v>116</v>
      </c>
      <c r="B118">
        <v>104561</v>
      </c>
      <c r="C118" t="s">
        <v>26</v>
      </c>
      <c r="D118" t="s">
        <v>27</v>
      </c>
      <c r="E118" t="s">
        <v>31</v>
      </c>
      <c r="F118" t="s">
        <v>324</v>
      </c>
      <c r="G118" s="1" t="str">
        <f>HYPERLINK("https://new.land.naver.com/complexes/104561", "클릭")</f>
        <v>클릭</v>
      </c>
      <c r="H118">
        <v>1984</v>
      </c>
      <c r="I118">
        <v>10</v>
      </c>
      <c r="J118">
        <v>54</v>
      </c>
      <c r="K118">
        <v>73</v>
      </c>
      <c r="L118" t="s">
        <v>135</v>
      </c>
      <c r="M118" t="s">
        <v>137</v>
      </c>
      <c r="N118" t="s">
        <v>359</v>
      </c>
      <c r="O118">
        <v>40000</v>
      </c>
      <c r="P118" t="s">
        <v>359</v>
      </c>
      <c r="Q118">
        <v>23000</v>
      </c>
      <c r="R118">
        <v>17000</v>
      </c>
      <c r="S118" s="2">
        <v>0.57499999999999996</v>
      </c>
      <c r="V118">
        <v>23400</v>
      </c>
      <c r="W118" s="2">
        <v>1.7094017094017091</v>
      </c>
      <c r="AA118" t="s">
        <v>198</v>
      </c>
    </row>
    <row r="119" spans="1:27" x14ac:dyDescent="0.3">
      <c r="A119" s="3">
        <v>117</v>
      </c>
      <c r="B119">
        <v>1989</v>
      </c>
      <c r="C119" t="s">
        <v>26</v>
      </c>
      <c r="D119" t="s">
        <v>27</v>
      </c>
      <c r="E119" t="s">
        <v>31</v>
      </c>
      <c r="F119" t="s">
        <v>132</v>
      </c>
      <c r="G119" s="1" t="str">
        <f>HYPERLINK("https://new.land.naver.com/complexes/1989", "클릭")</f>
        <v>클릭</v>
      </c>
      <c r="H119">
        <v>1979</v>
      </c>
      <c r="I119">
        <v>9</v>
      </c>
      <c r="J119">
        <v>576</v>
      </c>
      <c r="K119">
        <v>67</v>
      </c>
      <c r="L119" t="s">
        <v>136</v>
      </c>
      <c r="M119" t="s">
        <v>235</v>
      </c>
      <c r="N119" t="s">
        <v>373</v>
      </c>
      <c r="O119">
        <v>40000</v>
      </c>
      <c r="P119" t="s">
        <v>380</v>
      </c>
      <c r="Q119">
        <v>10000</v>
      </c>
      <c r="R119">
        <v>30000</v>
      </c>
      <c r="S119" s="2">
        <v>0.25</v>
      </c>
      <c r="AA119" t="s">
        <v>405</v>
      </c>
    </row>
    <row r="120" spans="1:27" x14ac:dyDescent="0.3">
      <c r="A120" s="3">
        <v>118</v>
      </c>
      <c r="B120">
        <v>22739</v>
      </c>
      <c r="C120" t="s">
        <v>26</v>
      </c>
      <c r="D120" t="s">
        <v>27</v>
      </c>
      <c r="E120" t="s">
        <v>28</v>
      </c>
      <c r="F120" t="s">
        <v>325</v>
      </c>
      <c r="G120" s="1" t="str">
        <f>HYPERLINK("https://new.land.naver.com/complexes/22739", "클릭")</f>
        <v>클릭</v>
      </c>
      <c r="H120">
        <v>2004</v>
      </c>
      <c r="I120">
        <v>4</v>
      </c>
      <c r="J120">
        <v>15</v>
      </c>
      <c r="K120">
        <v>77</v>
      </c>
      <c r="L120" t="s">
        <v>135</v>
      </c>
      <c r="M120" t="s">
        <v>137</v>
      </c>
      <c r="N120" t="s">
        <v>358</v>
      </c>
      <c r="O120">
        <v>40000</v>
      </c>
      <c r="P120" t="s">
        <v>358</v>
      </c>
      <c r="Q120">
        <v>20000</v>
      </c>
      <c r="R120">
        <v>20000</v>
      </c>
      <c r="S120" s="2">
        <v>0.5</v>
      </c>
      <c r="V120">
        <v>18100</v>
      </c>
      <c r="W120" s="2">
        <v>2.209944751381216</v>
      </c>
      <c r="AA120" t="s">
        <v>198</v>
      </c>
    </row>
    <row r="121" spans="1:27" x14ac:dyDescent="0.3">
      <c r="A121" s="3">
        <v>119</v>
      </c>
      <c r="B121">
        <v>8197</v>
      </c>
      <c r="C121" t="s">
        <v>26</v>
      </c>
      <c r="D121" t="s">
        <v>27</v>
      </c>
      <c r="E121" t="s">
        <v>30</v>
      </c>
      <c r="F121" t="s">
        <v>214</v>
      </c>
      <c r="G121" s="1" t="str">
        <f>HYPERLINK("https://new.land.naver.com/complexes/8197", "클릭")</f>
        <v>클릭</v>
      </c>
      <c r="H121">
        <v>1985</v>
      </c>
      <c r="I121">
        <v>7</v>
      </c>
      <c r="J121">
        <v>120</v>
      </c>
      <c r="K121">
        <v>65</v>
      </c>
      <c r="L121" t="s">
        <v>135</v>
      </c>
      <c r="M121" t="s">
        <v>138</v>
      </c>
      <c r="N121" t="s">
        <v>270</v>
      </c>
      <c r="O121">
        <v>39000</v>
      </c>
      <c r="P121" t="s">
        <v>270</v>
      </c>
      <c r="Q121">
        <v>25000</v>
      </c>
      <c r="R121">
        <v>14000</v>
      </c>
      <c r="S121" s="2">
        <v>0.64102564102564108</v>
      </c>
      <c r="V121">
        <v>31400</v>
      </c>
      <c r="W121" s="2">
        <v>1.2420382165605099</v>
      </c>
      <c r="AA121" t="s">
        <v>198</v>
      </c>
    </row>
    <row r="122" spans="1:27" x14ac:dyDescent="0.3">
      <c r="A122" s="3">
        <v>120</v>
      </c>
      <c r="B122">
        <v>111203</v>
      </c>
      <c r="C122" t="s">
        <v>26</v>
      </c>
      <c r="D122" t="s">
        <v>27</v>
      </c>
      <c r="E122" t="s">
        <v>28</v>
      </c>
      <c r="F122" t="s">
        <v>130</v>
      </c>
      <c r="G122" s="1" t="str">
        <f>HYPERLINK("https://new.land.naver.com/complexes/111203", "클릭")</f>
        <v>클릭</v>
      </c>
      <c r="H122">
        <v>2015</v>
      </c>
      <c r="I122">
        <v>8</v>
      </c>
      <c r="J122">
        <v>23</v>
      </c>
      <c r="K122">
        <v>78</v>
      </c>
      <c r="L122" t="s">
        <v>135</v>
      </c>
      <c r="M122" t="s">
        <v>137</v>
      </c>
      <c r="N122" t="s">
        <v>259</v>
      </c>
      <c r="O122">
        <v>39000</v>
      </c>
      <c r="AA122" t="s">
        <v>198</v>
      </c>
    </row>
    <row r="123" spans="1:27" x14ac:dyDescent="0.3">
      <c r="A123" s="3">
        <v>121</v>
      </c>
      <c r="B123">
        <v>10392</v>
      </c>
      <c r="C123" t="s">
        <v>26</v>
      </c>
      <c r="D123" t="s">
        <v>27</v>
      </c>
      <c r="E123" t="s">
        <v>29</v>
      </c>
      <c r="F123" t="s">
        <v>326</v>
      </c>
      <c r="G123" s="1" t="str">
        <f>HYPERLINK("https://new.land.naver.com/complexes/10392", "클릭")</f>
        <v>클릭</v>
      </c>
      <c r="H123">
        <v>1998</v>
      </c>
      <c r="I123">
        <v>3</v>
      </c>
      <c r="J123">
        <v>40</v>
      </c>
      <c r="K123">
        <v>63</v>
      </c>
      <c r="L123" t="s">
        <v>136</v>
      </c>
      <c r="M123" t="s">
        <v>235</v>
      </c>
      <c r="N123" t="s">
        <v>271</v>
      </c>
      <c r="O123">
        <v>39000</v>
      </c>
      <c r="P123" t="s">
        <v>271</v>
      </c>
      <c r="Q123">
        <v>22000</v>
      </c>
      <c r="R123">
        <v>17000</v>
      </c>
      <c r="S123" s="2">
        <v>0.5641025641025641</v>
      </c>
      <c r="V123">
        <v>20800</v>
      </c>
      <c r="W123" s="2">
        <v>1.875</v>
      </c>
      <c r="AA123" t="s">
        <v>393</v>
      </c>
    </row>
    <row r="124" spans="1:27" x14ac:dyDescent="0.3">
      <c r="A124" s="3">
        <v>122</v>
      </c>
      <c r="B124">
        <v>116687</v>
      </c>
      <c r="C124" t="s">
        <v>26</v>
      </c>
      <c r="D124" t="s">
        <v>27</v>
      </c>
      <c r="E124" t="s">
        <v>28</v>
      </c>
      <c r="F124" t="s">
        <v>327</v>
      </c>
      <c r="G124" s="1" t="str">
        <f>HYPERLINK("https://new.land.naver.com/complexes/116687", "클릭")</f>
        <v>클릭</v>
      </c>
      <c r="H124">
        <v>2015</v>
      </c>
      <c r="I124">
        <v>8</v>
      </c>
      <c r="J124">
        <v>8</v>
      </c>
      <c r="K124">
        <v>76</v>
      </c>
      <c r="L124" t="s">
        <v>135</v>
      </c>
      <c r="M124" t="s">
        <v>137</v>
      </c>
      <c r="N124" t="s">
        <v>374</v>
      </c>
      <c r="O124">
        <v>38000</v>
      </c>
      <c r="AA124" t="s">
        <v>198</v>
      </c>
    </row>
    <row r="125" spans="1:27" x14ac:dyDescent="0.3">
      <c r="A125" s="3">
        <v>123</v>
      </c>
      <c r="B125">
        <v>2046</v>
      </c>
      <c r="C125" t="s">
        <v>26</v>
      </c>
      <c r="D125" t="s">
        <v>27</v>
      </c>
      <c r="E125" t="s">
        <v>28</v>
      </c>
      <c r="F125" t="s">
        <v>121</v>
      </c>
      <c r="G125" s="1" t="str">
        <f>HYPERLINK("https://new.land.naver.com/complexes/2046", "클릭")</f>
        <v>클릭</v>
      </c>
      <c r="H125">
        <v>1996</v>
      </c>
      <c r="I125">
        <v>10</v>
      </c>
      <c r="J125">
        <v>261</v>
      </c>
      <c r="K125">
        <v>71</v>
      </c>
      <c r="L125" t="s">
        <v>135</v>
      </c>
      <c r="M125" t="s">
        <v>138</v>
      </c>
      <c r="N125" t="s">
        <v>375</v>
      </c>
      <c r="O125">
        <v>38000</v>
      </c>
      <c r="P125" t="s">
        <v>381</v>
      </c>
      <c r="Q125">
        <v>28000</v>
      </c>
      <c r="R125">
        <v>10000</v>
      </c>
      <c r="S125" s="2">
        <v>0.73684210526315785</v>
      </c>
      <c r="V125">
        <v>23000</v>
      </c>
      <c r="W125" s="2">
        <v>1.652173913043478</v>
      </c>
      <c r="AA125" t="s">
        <v>408</v>
      </c>
    </row>
    <row r="126" spans="1:27" x14ac:dyDescent="0.3">
      <c r="A126" s="3">
        <v>124</v>
      </c>
      <c r="B126">
        <v>2049</v>
      </c>
      <c r="C126" t="s">
        <v>26</v>
      </c>
      <c r="D126" t="s">
        <v>27</v>
      </c>
      <c r="E126" t="s">
        <v>28</v>
      </c>
      <c r="F126" t="s">
        <v>233</v>
      </c>
      <c r="G126" s="1" t="str">
        <f>HYPERLINK("https://new.land.naver.com/complexes/2049", "클릭")</f>
        <v>클릭</v>
      </c>
      <c r="H126">
        <v>1996</v>
      </c>
      <c r="I126">
        <v>6</v>
      </c>
      <c r="J126">
        <v>47</v>
      </c>
      <c r="K126">
        <v>78</v>
      </c>
      <c r="N126" t="s">
        <v>143</v>
      </c>
      <c r="O126">
        <v>37000</v>
      </c>
      <c r="P126" t="s">
        <v>143</v>
      </c>
      <c r="Q126">
        <v>27000</v>
      </c>
      <c r="R126">
        <v>10000</v>
      </c>
      <c r="S126" s="2">
        <v>0.72972972972972971</v>
      </c>
      <c r="AA126" t="s">
        <v>409</v>
      </c>
    </row>
    <row r="127" spans="1:27" x14ac:dyDescent="0.3">
      <c r="A127" s="3">
        <v>125</v>
      </c>
      <c r="B127">
        <v>111203</v>
      </c>
      <c r="C127" t="s">
        <v>26</v>
      </c>
      <c r="D127" t="s">
        <v>27</v>
      </c>
      <c r="E127" t="s">
        <v>28</v>
      </c>
      <c r="F127" t="s">
        <v>130</v>
      </c>
      <c r="G127" s="1" t="str">
        <f>HYPERLINK("https://new.land.naver.com/complexes/111203", "클릭")</f>
        <v>클릭</v>
      </c>
      <c r="H127">
        <v>2015</v>
      </c>
      <c r="I127">
        <v>8</v>
      </c>
      <c r="J127">
        <v>23</v>
      </c>
      <c r="K127">
        <v>74</v>
      </c>
      <c r="L127" t="s">
        <v>135</v>
      </c>
      <c r="M127" t="s">
        <v>137</v>
      </c>
      <c r="N127" t="s">
        <v>272</v>
      </c>
      <c r="O127">
        <v>37000</v>
      </c>
      <c r="AA127" t="s">
        <v>198</v>
      </c>
    </row>
    <row r="128" spans="1:27" x14ac:dyDescent="0.3">
      <c r="A128" s="3">
        <v>126</v>
      </c>
      <c r="B128">
        <v>2047</v>
      </c>
      <c r="C128" t="s">
        <v>26</v>
      </c>
      <c r="D128" t="s">
        <v>27</v>
      </c>
      <c r="E128" t="s">
        <v>28</v>
      </c>
      <c r="F128" t="s">
        <v>127</v>
      </c>
      <c r="G128" s="1" t="str">
        <f>HYPERLINK("https://new.land.naver.com/complexes/2047", "클릭")</f>
        <v>클릭</v>
      </c>
      <c r="H128">
        <v>1994</v>
      </c>
      <c r="I128">
        <v>11</v>
      </c>
      <c r="J128">
        <v>148</v>
      </c>
      <c r="K128">
        <v>66</v>
      </c>
      <c r="L128" t="s">
        <v>136</v>
      </c>
      <c r="M128" t="s">
        <v>138</v>
      </c>
      <c r="N128" t="s">
        <v>362</v>
      </c>
      <c r="O128">
        <v>37000</v>
      </c>
      <c r="P128" t="s">
        <v>362</v>
      </c>
      <c r="Q128">
        <v>25000</v>
      </c>
      <c r="R128">
        <v>12000</v>
      </c>
      <c r="S128" s="2">
        <v>0.67567567567567566</v>
      </c>
      <c r="V128">
        <v>21200</v>
      </c>
      <c r="W128" s="2">
        <v>1.745283018867924</v>
      </c>
      <c r="AA128" t="s">
        <v>198</v>
      </c>
    </row>
    <row r="129" spans="1:27" x14ac:dyDescent="0.3">
      <c r="A129" s="3">
        <v>127</v>
      </c>
      <c r="B129">
        <v>116798</v>
      </c>
      <c r="C129" t="s">
        <v>26</v>
      </c>
      <c r="D129" t="s">
        <v>27</v>
      </c>
      <c r="E129" t="s">
        <v>31</v>
      </c>
      <c r="F129" t="s">
        <v>328</v>
      </c>
      <c r="G129" s="1" t="str">
        <f>HYPERLINK("https://new.land.naver.com/complexes/116798", "클릭")</f>
        <v>클릭</v>
      </c>
      <c r="H129">
        <v>2016</v>
      </c>
      <c r="I129">
        <v>12</v>
      </c>
      <c r="J129">
        <v>34</v>
      </c>
      <c r="K129">
        <v>69</v>
      </c>
      <c r="L129" t="s">
        <v>135</v>
      </c>
      <c r="M129" t="s">
        <v>137</v>
      </c>
      <c r="N129" t="s">
        <v>271</v>
      </c>
      <c r="O129">
        <v>37000</v>
      </c>
      <c r="P129" t="s">
        <v>271</v>
      </c>
      <c r="Q129">
        <v>30000</v>
      </c>
      <c r="R129">
        <v>7000</v>
      </c>
      <c r="S129" s="2">
        <v>0.81081081081081086</v>
      </c>
      <c r="AA129" t="s">
        <v>198</v>
      </c>
    </row>
    <row r="130" spans="1:27" x14ac:dyDescent="0.3">
      <c r="A130" s="3">
        <v>128</v>
      </c>
      <c r="B130">
        <v>113693</v>
      </c>
      <c r="C130" t="s">
        <v>26</v>
      </c>
      <c r="D130" t="s">
        <v>27</v>
      </c>
      <c r="E130" t="s">
        <v>28</v>
      </c>
      <c r="F130" t="s">
        <v>329</v>
      </c>
      <c r="G130" s="1" t="str">
        <f>HYPERLINK("https://new.land.naver.com/complexes/113693", "클릭")</f>
        <v>클릭</v>
      </c>
      <c r="H130">
        <v>2014</v>
      </c>
      <c r="I130">
        <v>12</v>
      </c>
      <c r="J130">
        <v>40</v>
      </c>
      <c r="K130">
        <v>81</v>
      </c>
      <c r="L130" t="s">
        <v>135</v>
      </c>
      <c r="M130" t="s">
        <v>137</v>
      </c>
      <c r="N130" t="s">
        <v>181</v>
      </c>
      <c r="O130">
        <v>36500</v>
      </c>
      <c r="P130" t="s">
        <v>181</v>
      </c>
      <c r="Q130">
        <v>27500</v>
      </c>
      <c r="R130">
        <v>9000</v>
      </c>
      <c r="S130" s="2">
        <v>0.75342465753424659</v>
      </c>
      <c r="V130">
        <v>20600</v>
      </c>
      <c r="W130" s="2">
        <v>1.7718446601941751</v>
      </c>
      <c r="AA130" t="s">
        <v>198</v>
      </c>
    </row>
    <row r="131" spans="1:27" x14ac:dyDescent="0.3">
      <c r="A131" s="3">
        <v>129</v>
      </c>
      <c r="B131">
        <v>113693</v>
      </c>
      <c r="C131" t="s">
        <v>26</v>
      </c>
      <c r="D131" t="s">
        <v>27</v>
      </c>
      <c r="E131" t="s">
        <v>28</v>
      </c>
      <c r="F131" t="s">
        <v>329</v>
      </c>
      <c r="G131" s="1" t="str">
        <f>HYPERLINK("https://new.land.naver.com/complexes/113693", "클릭")</f>
        <v>클릭</v>
      </c>
      <c r="H131">
        <v>2014</v>
      </c>
      <c r="I131">
        <v>12</v>
      </c>
      <c r="J131">
        <v>40</v>
      </c>
      <c r="K131">
        <v>80</v>
      </c>
      <c r="L131" t="s">
        <v>135</v>
      </c>
      <c r="M131" t="s">
        <v>137</v>
      </c>
      <c r="N131" t="s">
        <v>343</v>
      </c>
      <c r="O131">
        <v>36000</v>
      </c>
      <c r="P131" t="s">
        <v>343</v>
      </c>
      <c r="Q131">
        <v>27000</v>
      </c>
      <c r="R131">
        <v>9000</v>
      </c>
      <c r="S131" s="2">
        <v>0.75</v>
      </c>
      <c r="AA131" t="s">
        <v>395</v>
      </c>
    </row>
    <row r="132" spans="1:27" x14ac:dyDescent="0.3">
      <c r="A132" s="3">
        <v>130</v>
      </c>
      <c r="B132">
        <v>2043</v>
      </c>
      <c r="C132" t="s">
        <v>26</v>
      </c>
      <c r="D132" t="s">
        <v>27</v>
      </c>
      <c r="E132" t="s">
        <v>28</v>
      </c>
      <c r="F132" t="s">
        <v>120</v>
      </c>
      <c r="G132" s="1" t="str">
        <f>HYPERLINK("https://new.land.naver.com/complexes/2043", "클릭")</f>
        <v>클릭</v>
      </c>
      <c r="H132">
        <v>1999</v>
      </c>
      <c r="I132">
        <v>12</v>
      </c>
      <c r="J132">
        <v>116</v>
      </c>
      <c r="K132">
        <v>60</v>
      </c>
      <c r="L132" t="s">
        <v>136</v>
      </c>
      <c r="M132" t="s">
        <v>138</v>
      </c>
      <c r="N132" t="s">
        <v>263</v>
      </c>
      <c r="O132">
        <v>35500</v>
      </c>
      <c r="P132" t="s">
        <v>263</v>
      </c>
      <c r="Q132">
        <v>30000</v>
      </c>
      <c r="R132">
        <v>5500</v>
      </c>
      <c r="S132" s="2">
        <v>0.84507042253521125</v>
      </c>
      <c r="V132">
        <v>22900</v>
      </c>
      <c r="W132" s="2">
        <v>1.5502183406113541</v>
      </c>
      <c r="AA132" t="s">
        <v>198</v>
      </c>
    </row>
    <row r="133" spans="1:27" x14ac:dyDescent="0.3">
      <c r="A133" s="3">
        <v>131</v>
      </c>
      <c r="B133">
        <v>104561</v>
      </c>
      <c r="C133" t="s">
        <v>26</v>
      </c>
      <c r="D133" t="s">
        <v>27</v>
      </c>
      <c r="E133" t="s">
        <v>31</v>
      </c>
      <c r="F133" t="s">
        <v>324</v>
      </c>
      <c r="G133" s="1" t="str">
        <f>HYPERLINK("https://new.land.naver.com/complexes/104561", "클릭")</f>
        <v>클릭</v>
      </c>
      <c r="H133">
        <v>1984</v>
      </c>
      <c r="I133">
        <v>10</v>
      </c>
      <c r="J133">
        <v>54</v>
      </c>
      <c r="K133">
        <v>66</v>
      </c>
      <c r="L133" t="s">
        <v>135</v>
      </c>
      <c r="M133" t="s">
        <v>137</v>
      </c>
      <c r="N133" t="s">
        <v>259</v>
      </c>
      <c r="O133">
        <v>35000</v>
      </c>
      <c r="P133" t="s">
        <v>259</v>
      </c>
      <c r="Q133">
        <v>28000</v>
      </c>
      <c r="R133">
        <v>7000</v>
      </c>
      <c r="S133" s="2">
        <v>0.8</v>
      </c>
      <c r="V133">
        <v>21600</v>
      </c>
      <c r="W133" s="2">
        <v>1.62037037037037</v>
      </c>
      <c r="AA133" t="s">
        <v>198</v>
      </c>
    </row>
    <row r="134" spans="1:27" x14ac:dyDescent="0.3">
      <c r="A134" s="3">
        <v>132</v>
      </c>
      <c r="B134">
        <v>104561</v>
      </c>
      <c r="C134" t="s">
        <v>26</v>
      </c>
      <c r="D134" t="s">
        <v>27</v>
      </c>
      <c r="E134" t="s">
        <v>31</v>
      </c>
      <c r="F134" t="s">
        <v>324</v>
      </c>
      <c r="G134" s="1" t="str">
        <f>HYPERLINK("https://new.land.naver.com/complexes/104561", "클릭")</f>
        <v>클릭</v>
      </c>
      <c r="H134">
        <v>1984</v>
      </c>
      <c r="I134">
        <v>10</v>
      </c>
      <c r="J134">
        <v>54</v>
      </c>
      <c r="K134">
        <v>65</v>
      </c>
      <c r="L134" t="s">
        <v>135</v>
      </c>
      <c r="M134" t="s">
        <v>137</v>
      </c>
      <c r="N134" t="s">
        <v>267</v>
      </c>
      <c r="O134">
        <v>35000</v>
      </c>
      <c r="P134" t="s">
        <v>267</v>
      </c>
      <c r="Q134">
        <v>25000</v>
      </c>
      <c r="R134">
        <v>10000</v>
      </c>
      <c r="S134" s="2">
        <v>0.7142857142857143</v>
      </c>
      <c r="V134">
        <v>20900</v>
      </c>
      <c r="W134" s="2">
        <v>1.6746411483253589</v>
      </c>
      <c r="AA134" t="s">
        <v>408</v>
      </c>
    </row>
    <row r="135" spans="1:27" x14ac:dyDescent="0.3">
      <c r="A135" s="3">
        <v>133</v>
      </c>
      <c r="B135">
        <v>125237</v>
      </c>
      <c r="C135" t="s">
        <v>26</v>
      </c>
      <c r="D135" t="s">
        <v>27</v>
      </c>
      <c r="E135" t="s">
        <v>28</v>
      </c>
      <c r="F135" t="s">
        <v>234</v>
      </c>
      <c r="G135" s="1" t="str">
        <f>HYPERLINK("https://new.land.naver.com/complexes/125237", "클릭")</f>
        <v>클릭</v>
      </c>
      <c r="H135">
        <v>2019</v>
      </c>
      <c r="I135">
        <v>2</v>
      </c>
      <c r="J135">
        <v>41</v>
      </c>
      <c r="K135">
        <v>66</v>
      </c>
      <c r="M135" t="s">
        <v>137</v>
      </c>
      <c r="N135" t="s">
        <v>376</v>
      </c>
      <c r="O135">
        <v>35000</v>
      </c>
      <c r="AA135" t="s">
        <v>410</v>
      </c>
    </row>
    <row r="136" spans="1:27" x14ac:dyDescent="0.3">
      <c r="A136" s="3">
        <v>134</v>
      </c>
      <c r="B136">
        <v>116687</v>
      </c>
      <c r="C136" t="s">
        <v>26</v>
      </c>
      <c r="D136" t="s">
        <v>27</v>
      </c>
      <c r="E136" t="s">
        <v>28</v>
      </c>
      <c r="F136" t="s">
        <v>327</v>
      </c>
      <c r="G136" s="1" t="str">
        <f>HYPERLINK("https://new.land.naver.com/complexes/116687", "클릭")</f>
        <v>클릭</v>
      </c>
      <c r="H136">
        <v>2015</v>
      </c>
      <c r="I136">
        <v>8</v>
      </c>
      <c r="J136">
        <v>8</v>
      </c>
      <c r="K136">
        <v>65</v>
      </c>
      <c r="L136" t="s">
        <v>135</v>
      </c>
      <c r="M136" t="s">
        <v>138</v>
      </c>
      <c r="N136" t="s">
        <v>248</v>
      </c>
      <c r="O136">
        <v>34500</v>
      </c>
      <c r="AA136" t="s">
        <v>198</v>
      </c>
    </row>
    <row r="137" spans="1:27" x14ac:dyDescent="0.3">
      <c r="A137" s="3">
        <v>135</v>
      </c>
      <c r="B137">
        <v>122827</v>
      </c>
      <c r="C137" t="s">
        <v>26</v>
      </c>
      <c r="D137" t="s">
        <v>27</v>
      </c>
      <c r="E137" t="s">
        <v>31</v>
      </c>
      <c r="F137" t="s">
        <v>320</v>
      </c>
      <c r="G137" s="1" t="str">
        <f>HYPERLINK("https://new.land.naver.com/complexes/122827", "클릭")</f>
        <v>클릭</v>
      </c>
      <c r="H137">
        <v>2018</v>
      </c>
      <c r="I137">
        <v>6</v>
      </c>
      <c r="J137">
        <v>27</v>
      </c>
      <c r="K137">
        <v>60</v>
      </c>
      <c r="L137" t="s">
        <v>135</v>
      </c>
      <c r="M137" t="s">
        <v>137</v>
      </c>
      <c r="N137" t="s">
        <v>267</v>
      </c>
      <c r="O137">
        <v>34000</v>
      </c>
      <c r="AA137" t="s">
        <v>198</v>
      </c>
    </row>
    <row r="138" spans="1:27" x14ac:dyDescent="0.3">
      <c r="A138" s="3">
        <v>136</v>
      </c>
      <c r="B138">
        <v>111203</v>
      </c>
      <c r="C138" t="s">
        <v>26</v>
      </c>
      <c r="D138" t="s">
        <v>27</v>
      </c>
      <c r="E138" t="s">
        <v>28</v>
      </c>
      <c r="F138" t="s">
        <v>130</v>
      </c>
      <c r="G138" s="1" t="str">
        <f>HYPERLINK("https://new.land.naver.com/complexes/111203", "클릭")</f>
        <v>클릭</v>
      </c>
      <c r="H138">
        <v>2015</v>
      </c>
      <c r="I138">
        <v>8</v>
      </c>
      <c r="J138">
        <v>23</v>
      </c>
      <c r="K138">
        <v>72</v>
      </c>
      <c r="N138" t="s">
        <v>267</v>
      </c>
      <c r="O138">
        <v>33000</v>
      </c>
      <c r="P138" t="s">
        <v>267</v>
      </c>
      <c r="Q138">
        <v>25000</v>
      </c>
      <c r="R138">
        <v>8000</v>
      </c>
      <c r="S138" s="2">
        <v>0.75757575757575757</v>
      </c>
      <c r="AA138" t="s">
        <v>411</v>
      </c>
    </row>
    <row r="139" spans="1:27" x14ac:dyDescent="0.3">
      <c r="A139" s="3">
        <v>137</v>
      </c>
      <c r="B139">
        <v>13255</v>
      </c>
      <c r="C139" t="s">
        <v>26</v>
      </c>
      <c r="D139" t="s">
        <v>27</v>
      </c>
      <c r="E139" t="s">
        <v>28</v>
      </c>
      <c r="F139" t="s">
        <v>128</v>
      </c>
      <c r="G139" s="1" t="str">
        <f>HYPERLINK("https://new.land.naver.com/complexes/13255", "클릭")</f>
        <v>클릭</v>
      </c>
      <c r="H139">
        <v>2003</v>
      </c>
      <c r="I139">
        <v>8</v>
      </c>
      <c r="J139">
        <v>46</v>
      </c>
      <c r="K139">
        <v>68</v>
      </c>
      <c r="L139" t="s">
        <v>135</v>
      </c>
      <c r="M139" t="s">
        <v>137</v>
      </c>
      <c r="N139" t="s">
        <v>263</v>
      </c>
      <c r="O139">
        <v>33000</v>
      </c>
      <c r="P139" t="s">
        <v>263</v>
      </c>
      <c r="Q139">
        <v>28000</v>
      </c>
      <c r="R139">
        <v>5000</v>
      </c>
      <c r="S139" s="2">
        <v>0.84848484848484851</v>
      </c>
      <c r="V139">
        <v>17300</v>
      </c>
      <c r="W139" s="2">
        <v>1.9075144508670521</v>
      </c>
      <c r="AA139" t="s">
        <v>412</v>
      </c>
    </row>
    <row r="140" spans="1:27" x14ac:dyDescent="0.3">
      <c r="A140" s="3">
        <v>138</v>
      </c>
      <c r="B140">
        <v>122547</v>
      </c>
      <c r="C140" t="s">
        <v>26</v>
      </c>
      <c r="D140" t="s">
        <v>27</v>
      </c>
      <c r="E140" t="s">
        <v>28</v>
      </c>
      <c r="F140" t="s">
        <v>330</v>
      </c>
      <c r="G140" s="1" t="str">
        <f>HYPERLINK("https://new.land.naver.com/complexes/122547", "클릭")</f>
        <v>클릭</v>
      </c>
      <c r="H140">
        <v>2018</v>
      </c>
      <c r="I140">
        <v>1</v>
      </c>
      <c r="J140">
        <v>34</v>
      </c>
      <c r="K140">
        <v>61</v>
      </c>
      <c r="N140" t="s">
        <v>169</v>
      </c>
      <c r="O140">
        <v>33000</v>
      </c>
      <c r="AA140" t="s">
        <v>413</v>
      </c>
    </row>
    <row r="141" spans="1:27" x14ac:dyDescent="0.3">
      <c r="A141" s="3">
        <v>139</v>
      </c>
      <c r="B141">
        <v>122827</v>
      </c>
      <c r="C141" t="s">
        <v>26</v>
      </c>
      <c r="D141" t="s">
        <v>27</v>
      </c>
      <c r="E141" t="s">
        <v>31</v>
      </c>
      <c r="F141" t="s">
        <v>320</v>
      </c>
      <c r="G141" s="1" t="str">
        <f>HYPERLINK("https://new.land.naver.com/complexes/122827", "클릭")</f>
        <v>클릭</v>
      </c>
      <c r="H141">
        <v>2018</v>
      </c>
      <c r="I141">
        <v>6</v>
      </c>
      <c r="J141">
        <v>27</v>
      </c>
      <c r="K141">
        <v>79</v>
      </c>
      <c r="L141" t="s">
        <v>135</v>
      </c>
      <c r="M141" t="s">
        <v>137</v>
      </c>
      <c r="N141" t="s">
        <v>163</v>
      </c>
      <c r="O141">
        <v>32500</v>
      </c>
      <c r="AA141" t="s">
        <v>205</v>
      </c>
    </row>
    <row r="142" spans="1:27" x14ac:dyDescent="0.3">
      <c r="A142" s="3">
        <v>140</v>
      </c>
      <c r="B142">
        <v>104561</v>
      </c>
      <c r="C142" t="s">
        <v>26</v>
      </c>
      <c r="D142" t="s">
        <v>27</v>
      </c>
      <c r="E142" t="s">
        <v>31</v>
      </c>
      <c r="F142" t="s">
        <v>324</v>
      </c>
      <c r="G142" s="1" t="str">
        <f>HYPERLINK("https://new.land.naver.com/complexes/104561", "클릭")</f>
        <v>클릭</v>
      </c>
      <c r="H142">
        <v>1984</v>
      </c>
      <c r="I142">
        <v>10</v>
      </c>
      <c r="J142">
        <v>54</v>
      </c>
      <c r="K142">
        <v>62</v>
      </c>
      <c r="L142" t="s">
        <v>135</v>
      </c>
      <c r="M142" t="s">
        <v>137</v>
      </c>
      <c r="N142" t="s">
        <v>247</v>
      </c>
      <c r="O142">
        <v>31000</v>
      </c>
      <c r="V142">
        <v>20700</v>
      </c>
      <c r="W142" s="2">
        <v>1.4975845410628019</v>
      </c>
      <c r="AA142" t="s">
        <v>198</v>
      </c>
    </row>
    <row r="143" spans="1:27" x14ac:dyDescent="0.3">
      <c r="A143" s="3">
        <v>141</v>
      </c>
      <c r="B143">
        <v>101236</v>
      </c>
      <c r="C143" t="s">
        <v>26</v>
      </c>
      <c r="D143" t="s">
        <v>27</v>
      </c>
      <c r="E143" t="s">
        <v>28</v>
      </c>
      <c r="F143" t="s">
        <v>131</v>
      </c>
      <c r="G143" s="1" t="str">
        <f>HYPERLINK("https://new.land.naver.com/complexes/101236", "클릭")</f>
        <v>클릭</v>
      </c>
      <c r="H143">
        <v>2004</v>
      </c>
      <c r="I143">
        <v>8</v>
      </c>
      <c r="J143">
        <v>15</v>
      </c>
      <c r="K143">
        <v>62</v>
      </c>
      <c r="L143" t="s">
        <v>135</v>
      </c>
      <c r="M143" t="s">
        <v>338</v>
      </c>
      <c r="N143" t="s">
        <v>371</v>
      </c>
      <c r="O143">
        <v>30000</v>
      </c>
      <c r="AA143" t="s">
        <v>391</v>
      </c>
    </row>
    <row r="144" spans="1:27" x14ac:dyDescent="0.3">
      <c r="A144" s="3">
        <v>142</v>
      </c>
      <c r="B144">
        <v>13324</v>
      </c>
      <c r="C144" t="s">
        <v>26</v>
      </c>
      <c r="D144" t="s">
        <v>27</v>
      </c>
      <c r="E144" t="s">
        <v>28</v>
      </c>
      <c r="F144" t="s">
        <v>331</v>
      </c>
      <c r="G144" s="1" t="str">
        <f>HYPERLINK("https://new.land.naver.com/complexes/13324", "클릭")</f>
        <v>클릭</v>
      </c>
      <c r="H144">
        <v>1995</v>
      </c>
      <c r="I144">
        <v>1</v>
      </c>
      <c r="J144">
        <v>16</v>
      </c>
      <c r="K144">
        <v>76</v>
      </c>
      <c r="L144" t="s">
        <v>136</v>
      </c>
      <c r="M144" t="s">
        <v>138</v>
      </c>
      <c r="N144" t="s">
        <v>362</v>
      </c>
      <c r="O144">
        <v>30000</v>
      </c>
      <c r="P144" t="s">
        <v>362</v>
      </c>
      <c r="Q144">
        <v>23000</v>
      </c>
      <c r="R144">
        <v>7000</v>
      </c>
      <c r="S144" s="2">
        <v>0.76666666666666672</v>
      </c>
      <c r="V144">
        <v>14100</v>
      </c>
      <c r="W144" s="2">
        <v>2.1276595744680851</v>
      </c>
      <c r="AA144" t="s">
        <v>198</v>
      </c>
    </row>
    <row r="145" spans="1:22" x14ac:dyDescent="0.3">
      <c r="A145" s="3">
        <v>143</v>
      </c>
      <c r="B145">
        <v>14854</v>
      </c>
      <c r="C145" t="s">
        <v>26</v>
      </c>
      <c r="D145" t="s">
        <v>27</v>
      </c>
      <c r="E145" t="s">
        <v>29</v>
      </c>
      <c r="F145" t="s">
        <v>332</v>
      </c>
      <c r="G145" s="1" t="str">
        <f>HYPERLINK("https://new.land.naver.com/complexes/14854", "클릭")</f>
        <v>클릭</v>
      </c>
      <c r="H145">
        <v>1985</v>
      </c>
      <c r="I145">
        <v>8</v>
      </c>
      <c r="J145">
        <v>50</v>
      </c>
      <c r="K145">
        <v>63</v>
      </c>
      <c r="P145" t="s">
        <v>266</v>
      </c>
      <c r="Q145">
        <v>25000</v>
      </c>
    </row>
    <row r="146" spans="1:22" x14ac:dyDescent="0.3">
      <c r="A146" s="3">
        <v>144</v>
      </c>
      <c r="B146">
        <v>123203</v>
      </c>
      <c r="C146" t="s">
        <v>26</v>
      </c>
      <c r="D146" t="s">
        <v>27</v>
      </c>
      <c r="E146" t="s">
        <v>29</v>
      </c>
      <c r="F146" t="s">
        <v>306</v>
      </c>
      <c r="G146" s="1" t="str">
        <f>HYPERLINK("https://new.land.naver.com/complexes/123203", "클릭")</f>
        <v>클릭</v>
      </c>
      <c r="H146">
        <v>2018</v>
      </c>
      <c r="I146">
        <v>12</v>
      </c>
      <c r="J146">
        <v>9</v>
      </c>
      <c r="K146">
        <v>64</v>
      </c>
      <c r="L146" t="s">
        <v>135</v>
      </c>
      <c r="M146" t="s">
        <v>137</v>
      </c>
      <c r="P146" t="s">
        <v>382</v>
      </c>
      <c r="Q146">
        <v>35000</v>
      </c>
    </row>
    <row r="147" spans="1:22" x14ac:dyDescent="0.3">
      <c r="A147" s="3">
        <v>145</v>
      </c>
      <c r="B147">
        <v>134034</v>
      </c>
      <c r="C147" t="s">
        <v>26</v>
      </c>
      <c r="D147" t="s">
        <v>27</v>
      </c>
      <c r="E147" t="s">
        <v>29</v>
      </c>
      <c r="F147" t="s">
        <v>333</v>
      </c>
      <c r="G147" s="1" t="str">
        <f>HYPERLINK("https://new.land.naver.com/complexes/134034", "클릭")</f>
        <v>클릭</v>
      </c>
      <c r="H147">
        <v>2020</v>
      </c>
      <c r="I147">
        <v>7</v>
      </c>
      <c r="J147">
        <v>10</v>
      </c>
      <c r="K147">
        <v>79</v>
      </c>
      <c r="P147" t="s">
        <v>383</v>
      </c>
      <c r="Q147">
        <v>30000</v>
      </c>
    </row>
    <row r="148" spans="1:22" x14ac:dyDescent="0.3">
      <c r="A148" s="3">
        <v>146</v>
      </c>
      <c r="B148">
        <v>23569</v>
      </c>
      <c r="C148" t="s">
        <v>26</v>
      </c>
      <c r="D148" t="s">
        <v>27</v>
      </c>
      <c r="E148" t="s">
        <v>31</v>
      </c>
      <c r="F148" t="s">
        <v>294</v>
      </c>
      <c r="G148" s="1" t="str">
        <f>HYPERLINK("https://new.land.naver.com/complexes/23569", "클릭")</f>
        <v>클릭</v>
      </c>
      <c r="H148">
        <v>2002</v>
      </c>
      <c r="I148">
        <v>12</v>
      </c>
      <c r="J148">
        <v>19</v>
      </c>
      <c r="K148">
        <v>75</v>
      </c>
      <c r="L148" t="s">
        <v>135</v>
      </c>
      <c r="M148" t="s">
        <v>137</v>
      </c>
      <c r="P148" t="s">
        <v>141</v>
      </c>
      <c r="Q148">
        <v>30000</v>
      </c>
      <c r="V148">
        <v>42900</v>
      </c>
    </row>
    <row r="149" spans="1:22" x14ac:dyDescent="0.3">
      <c r="A149" s="3">
        <v>147</v>
      </c>
      <c r="B149">
        <v>23128</v>
      </c>
      <c r="C149" t="s">
        <v>26</v>
      </c>
      <c r="D149" t="s">
        <v>27</v>
      </c>
      <c r="E149" t="s">
        <v>29</v>
      </c>
      <c r="F149" t="s">
        <v>298</v>
      </c>
      <c r="G149" s="1" t="str">
        <f>HYPERLINK("https://new.land.naver.com/complexes/23128", "클릭")</f>
        <v>클릭</v>
      </c>
      <c r="H149">
        <v>1979</v>
      </c>
      <c r="I149">
        <v>11</v>
      </c>
      <c r="J149">
        <v>48</v>
      </c>
      <c r="K149">
        <v>75</v>
      </c>
      <c r="L149" t="s">
        <v>135</v>
      </c>
      <c r="M149" t="s">
        <v>137</v>
      </c>
      <c r="P149" t="s">
        <v>263</v>
      </c>
      <c r="Q149">
        <v>24000</v>
      </c>
    </row>
    <row r="150" spans="1:22" x14ac:dyDescent="0.3">
      <c r="A150" s="3">
        <v>148</v>
      </c>
      <c r="B150">
        <v>23128</v>
      </c>
      <c r="C150" t="s">
        <v>26</v>
      </c>
      <c r="D150" t="s">
        <v>27</v>
      </c>
      <c r="E150" t="s">
        <v>29</v>
      </c>
      <c r="F150" t="s">
        <v>298</v>
      </c>
      <c r="G150" s="1" t="str">
        <f>HYPERLINK("https://new.land.naver.com/complexes/23128", "클릭")</f>
        <v>클릭</v>
      </c>
      <c r="H150">
        <v>1979</v>
      </c>
      <c r="I150">
        <v>11</v>
      </c>
      <c r="J150">
        <v>48</v>
      </c>
      <c r="K150">
        <v>64</v>
      </c>
      <c r="P150" t="s">
        <v>384</v>
      </c>
      <c r="Q150">
        <v>25000</v>
      </c>
    </row>
    <row r="151" spans="1:22" x14ac:dyDescent="0.3">
      <c r="A151" s="3">
        <v>149</v>
      </c>
      <c r="B151">
        <v>23128</v>
      </c>
      <c r="C151" t="s">
        <v>26</v>
      </c>
      <c r="D151" t="s">
        <v>27</v>
      </c>
      <c r="E151" t="s">
        <v>29</v>
      </c>
      <c r="F151" t="s">
        <v>298</v>
      </c>
      <c r="G151" s="1" t="str">
        <f>HYPERLINK("https://new.land.naver.com/complexes/23128", "클릭")</f>
        <v>클릭</v>
      </c>
      <c r="H151">
        <v>1979</v>
      </c>
      <c r="I151">
        <v>11</v>
      </c>
      <c r="J151">
        <v>48</v>
      </c>
      <c r="K151">
        <v>62</v>
      </c>
      <c r="L151" t="s">
        <v>135</v>
      </c>
      <c r="M151" t="s">
        <v>137</v>
      </c>
      <c r="P151" t="s">
        <v>385</v>
      </c>
      <c r="Q151">
        <v>20000</v>
      </c>
      <c r="V151">
        <v>26200</v>
      </c>
    </row>
    <row r="152" spans="1:22" x14ac:dyDescent="0.3">
      <c r="A152" s="3">
        <v>150</v>
      </c>
      <c r="B152">
        <v>1441</v>
      </c>
      <c r="C152" t="s">
        <v>26</v>
      </c>
      <c r="D152" t="s">
        <v>27</v>
      </c>
      <c r="E152" t="s">
        <v>28</v>
      </c>
      <c r="F152" t="s">
        <v>334</v>
      </c>
      <c r="G152" s="1" t="str">
        <f>HYPERLINK("https://new.land.naver.com/complexes/1441", "클릭")</f>
        <v>클릭</v>
      </c>
      <c r="H152">
        <v>1993</v>
      </c>
      <c r="I152">
        <v>11</v>
      </c>
      <c r="J152">
        <v>1072</v>
      </c>
      <c r="K152">
        <v>82</v>
      </c>
      <c r="P152" t="s">
        <v>171</v>
      </c>
      <c r="Q152">
        <v>43000</v>
      </c>
    </row>
    <row r="153" spans="1:22" x14ac:dyDescent="0.3">
      <c r="A153" s="3">
        <v>151</v>
      </c>
      <c r="B153">
        <v>145391</v>
      </c>
      <c r="C153" t="s">
        <v>26</v>
      </c>
      <c r="D153" t="s">
        <v>27</v>
      </c>
      <c r="E153" t="s">
        <v>29</v>
      </c>
      <c r="F153" t="s">
        <v>335</v>
      </c>
      <c r="G153" s="1" t="str">
        <f>HYPERLINK("https://new.land.naver.com/complexes/145391", "클릭")</f>
        <v>클릭</v>
      </c>
      <c r="H153">
        <v>1984</v>
      </c>
      <c r="I153">
        <v>12</v>
      </c>
      <c r="J153">
        <v>37</v>
      </c>
      <c r="K153">
        <v>61</v>
      </c>
      <c r="P153" t="s">
        <v>364</v>
      </c>
      <c r="Q153">
        <v>19500</v>
      </c>
    </row>
    <row r="154" spans="1:22" x14ac:dyDescent="0.3">
      <c r="A154" s="3">
        <v>152</v>
      </c>
      <c r="B154">
        <v>19662</v>
      </c>
      <c r="C154" t="s">
        <v>26</v>
      </c>
      <c r="D154" t="s">
        <v>27</v>
      </c>
      <c r="E154" t="s">
        <v>28</v>
      </c>
      <c r="F154" t="s">
        <v>100</v>
      </c>
      <c r="G154" s="1" t="str">
        <f>HYPERLINK("https://new.land.naver.com/complexes/19662", "클릭")</f>
        <v>클릭</v>
      </c>
      <c r="H154">
        <v>2005</v>
      </c>
      <c r="I154">
        <v>9</v>
      </c>
      <c r="J154">
        <v>60</v>
      </c>
      <c r="K154">
        <v>69</v>
      </c>
      <c r="P154" t="s">
        <v>341</v>
      </c>
      <c r="Q154">
        <v>30000</v>
      </c>
    </row>
    <row r="155" spans="1:22" x14ac:dyDescent="0.3">
      <c r="A155" s="3">
        <v>153</v>
      </c>
      <c r="B155">
        <v>102095</v>
      </c>
      <c r="C155" t="s">
        <v>26</v>
      </c>
      <c r="D155" t="s">
        <v>27</v>
      </c>
      <c r="E155" t="s">
        <v>28</v>
      </c>
      <c r="F155" t="s">
        <v>118</v>
      </c>
      <c r="G155" s="1" t="str">
        <f>HYPERLINK("https://new.land.naver.com/complexes/102095", "클릭")</f>
        <v>클릭</v>
      </c>
      <c r="H155">
        <v>2009</v>
      </c>
      <c r="I155">
        <v>12</v>
      </c>
      <c r="J155">
        <v>100</v>
      </c>
      <c r="K155">
        <v>75</v>
      </c>
      <c r="M155" t="s">
        <v>137</v>
      </c>
      <c r="P155" t="s">
        <v>171</v>
      </c>
      <c r="Q155">
        <v>35000</v>
      </c>
    </row>
    <row r="156" spans="1:22" x14ac:dyDescent="0.3">
      <c r="A156" s="3">
        <v>154</v>
      </c>
      <c r="B156">
        <v>113693</v>
      </c>
      <c r="C156" t="s">
        <v>26</v>
      </c>
      <c r="D156" t="s">
        <v>27</v>
      </c>
      <c r="E156" t="s">
        <v>28</v>
      </c>
      <c r="F156" t="s">
        <v>329</v>
      </c>
      <c r="G156" s="1" t="str">
        <f>HYPERLINK("https://new.land.naver.com/complexes/113693", "클릭")</f>
        <v>클릭</v>
      </c>
      <c r="H156">
        <v>2014</v>
      </c>
      <c r="I156">
        <v>12</v>
      </c>
      <c r="J156">
        <v>40</v>
      </c>
      <c r="K156">
        <v>74</v>
      </c>
      <c r="L156" t="s">
        <v>135</v>
      </c>
      <c r="M156" t="s">
        <v>235</v>
      </c>
      <c r="P156" t="s">
        <v>383</v>
      </c>
      <c r="Q156">
        <v>23800</v>
      </c>
    </row>
    <row r="157" spans="1:22" x14ac:dyDescent="0.3">
      <c r="A157" s="3">
        <v>155</v>
      </c>
      <c r="B157">
        <v>135882</v>
      </c>
      <c r="C157" t="s">
        <v>26</v>
      </c>
      <c r="D157" t="s">
        <v>27</v>
      </c>
      <c r="E157" t="s">
        <v>29</v>
      </c>
      <c r="F157" t="s">
        <v>308</v>
      </c>
      <c r="G157" s="1" t="str">
        <f>HYPERLINK("https://new.land.naver.com/complexes/135882", "클릭")</f>
        <v>클릭</v>
      </c>
      <c r="H157">
        <v>2020</v>
      </c>
      <c r="I157">
        <v>10</v>
      </c>
      <c r="J157">
        <v>12</v>
      </c>
      <c r="K157">
        <v>60</v>
      </c>
      <c r="P157" t="s">
        <v>385</v>
      </c>
      <c r="Q157">
        <v>35000</v>
      </c>
    </row>
    <row r="158" spans="1:22" x14ac:dyDescent="0.3">
      <c r="A158" s="3">
        <v>156</v>
      </c>
      <c r="B158">
        <v>125237</v>
      </c>
      <c r="C158" t="s">
        <v>26</v>
      </c>
      <c r="D158" t="s">
        <v>27</v>
      </c>
      <c r="E158" t="s">
        <v>28</v>
      </c>
      <c r="F158" t="s">
        <v>234</v>
      </c>
      <c r="G158" s="1" t="str">
        <f>HYPERLINK("https://new.land.naver.com/complexes/125237", "클릭")</f>
        <v>클릭</v>
      </c>
      <c r="H158">
        <v>2019</v>
      </c>
      <c r="I158">
        <v>2</v>
      </c>
      <c r="J158">
        <v>41</v>
      </c>
      <c r="K158">
        <v>61</v>
      </c>
      <c r="P158" t="s">
        <v>384</v>
      </c>
      <c r="Q158">
        <v>28000</v>
      </c>
    </row>
    <row r="159" spans="1:22" x14ac:dyDescent="0.3">
      <c r="A159" s="3">
        <v>157</v>
      </c>
      <c r="B159">
        <v>128987</v>
      </c>
      <c r="C159" t="s">
        <v>26</v>
      </c>
      <c r="D159" t="s">
        <v>27</v>
      </c>
      <c r="E159" t="s">
        <v>29</v>
      </c>
      <c r="F159" t="s">
        <v>316</v>
      </c>
      <c r="G159" s="1" t="str">
        <f>HYPERLINK("https://new.land.naver.com/complexes/128987", "클릭")</f>
        <v>클릭</v>
      </c>
      <c r="H159">
        <v>2019</v>
      </c>
      <c r="I159">
        <v>8</v>
      </c>
      <c r="J159">
        <v>6</v>
      </c>
      <c r="K159">
        <v>64</v>
      </c>
      <c r="L159" t="s">
        <v>135</v>
      </c>
      <c r="M159" t="s">
        <v>137</v>
      </c>
      <c r="P159" t="s">
        <v>386</v>
      </c>
      <c r="Q159">
        <v>31000</v>
      </c>
    </row>
    <row r="160" spans="1:22" x14ac:dyDescent="0.3">
      <c r="A160" s="3">
        <v>158</v>
      </c>
      <c r="B160">
        <v>171438</v>
      </c>
      <c r="C160" t="s">
        <v>26</v>
      </c>
      <c r="D160" t="s">
        <v>27</v>
      </c>
      <c r="E160" t="s">
        <v>30</v>
      </c>
      <c r="F160" t="s">
        <v>35</v>
      </c>
      <c r="G160" s="1" t="str">
        <f>HYPERLINK("https://new.land.naver.com/complexes/171438", "클릭")</f>
        <v>클릭</v>
      </c>
      <c r="H160">
        <v>2024</v>
      </c>
      <c r="I160">
        <v>11</v>
      </c>
      <c r="J160">
        <v>472</v>
      </c>
      <c r="K160">
        <v>63</v>
      </c>
      <c r="L160" t="s">
        <v>135</v>
      </c>
      <c r="M160" t="s">
        <v>137</v>
      </c>
      <c r="P160" t="s">
        <v>272</v>
      </c>
      <c r="Q160">
        <v>44000</v>
      </c>
    </row>
  </sheetData>
  <phoneticPr fontId="4" type="noConversion"/>
  <conditionalFormatting sqref="H2:H1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60">
    <cfRule type="containsBlanks" dxfId="20" priority="4">
      <formula>LEN(TRIM(R2))=0</formula>
    </cfRule>
    <cfRule type="cellIs" dxfId="19" priority="5" operator="lessThanOrEqual">
      <formula>10000</formula>
    </cfRule>
  </conditionalFormatting>
  <conditionalFormatting sqref="S2:S160">
    <cfRule type="cellIs" dxfId="18" priority="1" operator="greaterThanOrEqual">
      <formula>0.7</formula>
    </cfRule>
  </conditionalFormatting>
  <conditionalFormatting sqref="U2:U1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6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7"/>
  <sheetViews>
    <sheetView workbookViewId="0"/>
  </sheetViews>
  <sheetFormatPr defaultRowHeight="16.5" x14ac:dyDescent="0.3"/>
  <cols>
    <col min="1" max="1" width="4" bestFit="1" customWidth="1"/>
    <col min="2" max="2" width="7" bestFit="1" customWidth="1"/>
    <col min="3" max="3" width="4.375" bestFit="1" customWidth="1"/>
    <col min="4" max="4" width="8.25" bestFit="1" customWidth="1"/>
    <col min="5" max="5" width="4.375" bestFit="1" customWidth="1"/>
    <col min="6" max="6" width="15" bestFit="1" customWidth="1"/>
    <col min="7" max="7" width="7.875" style="1" bestFit="1" customWidth="1"/>
    <col min="8" max="8" width="5.625" bestFit="1" customWidth="1"/>
    <col min="9" max="9" width="4.375" bestFit="1" customWidth="1"/>
    <col min="10" max="10" width="5" bestFit="1" customWidth="1"/>
    <col min="11" max="12" width="5.625" bestFit="1" customWidth="1"/>
    <col min="13" max="13" width="5.25" bestFit="1" customWidth="1"/>
    <col min="14" max="14" width="5.625" bestFit="1" customWidth="1"/>
    <col min="15" max="15" width="9" bestFit="1" customWidth="1"/>
    <col min="16" max="16" width="5.625" bestFit="1" customWidth="1"/>
    <col min="17" max="17" width="8" bestFit="1" customWidth="1"/>
    <col min="18" max="18" width="9" bestFit="1" customWidth="1"/>
    <col min="19" max="19" width="20" style="2" bestFit="1" customWidth="1"/>
    <col min="20" max="20" width="8" bestFit="1" customWidth="1"/>
    <col min="21" max="21" width="20" style="2" bestFit="1" customWidth="1"/>
    <col min="22" max="22" width="8" bestFit="1" customWidth="1"/>
    <col min="23" max="23" width="19" style="2" bestFit="1" customWidth="1"/>
    <col min="24" max="25" width="7.125" bestFit="1" customWidth="1"/>
    <col min="26" max="26" width="5.625" bestFit="1" customWidth="1"/>
    <col min="27" max="27" width="10.75" bestFit="1" customWidth="1"/>
  </cols>
  <sheetData>
    <row r="1" spans="1:27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3">
        <v>0</v>
      </c>
      <c r="B2">
        <v>8961</v>
      </c>
      <c r="C2" t="s">
        <v>26</v>
      </c>
      <c r="D2" t="s">
        <v>27</v>
      </c>
      <c r="E2" t="s">
        <v>28</v>
      </c>
      <c r="F2" t="s">
        <v>414</v>
      </c>
      <c r="G2" s="1" t="str">
        <f>HYPERLINK("https://new.land.naver.com/complexes/8961", "클릭")</f>
        <v>클릭</v>
      </c>
      <c r="H2">
        <v>1986</v>
      </c>
      <c r="I2">
        <v>2</v>
      </c>
      <c r="J2">
        <v>80</v>
      </c>
      <c r="K2">
        <v>47</v>
      </c>
      <c r="L2" t="s">
        <v>135</v>
      </c>
      <c r="M2" t="s">
        <v>235</v>
      </c>
      <c r="N2" t="s">
        <v>238</v>
      </c>
      <c r="O2">
        <v>150000</v>
      </c>
      <c r="P2" t="s">
        <v>238</v>
      </c>
      <c r="Q2">
        <v>50000</v>
      </c>
      <c r="R2">
        <v>100000</v>
      </c>
      <c r="S2" s="2">
        <v>0.33333333333333331</v>
      </c>
      <c r="V2">
        <v>39800</v>
      </c>
      <c r="W2" s="2">
        <v>3.7688442211055282</v>
      </c>
      <c r="AA2" t="s">
        <v>198</v>
      </c>
    </row>
    <row r="3" spans="1:27" x14ac:dyDescent="0.3">
      <c r="A3" s="3">
        <v>1</v>
      </c>
      <c r="B3">
        <v>10777</v>
      </c>
      <c r="C3" t="s">
        <v>26</v>
      </c>
      <c r="D3" t="s">
        <v>27</v>
      </c>
      <c r="E3" t="s">
        <v>28</v>
      </c>
      <c r="F3" t="s">
        <v>209</v>
      </c>
      <c r="G3" s="1" t="str">
        <f>HYPERLINK("https://new.land.naver.com/complexes/10777", "클릭")</f>
        <v>클릭</v>
      </c>
      <c r="H3">
        <v>1988</v>
      </c>
      <c r="I3">
        <v>11</v>
      </c>
      <c r="J3">
        <v>45</v>
      </c>
      <c r="K3">
        <v>36</v>
      </c>
      <c r="L3" t="s">
        <v>135</v>
      </c>
      <c r="M3" t="s">
        <v>235</v>
      </c>
      <c r="N3" t="s">
        <v>454</v>
      </c>
      <c r="O3">
        <v>145000</v>
      </c>
      <c r="P3" t="s">
        <v>454</v>
      </c>
      <c r="Q3">
        <v>50000</v>
      </c>
      <c r="R3">
        <v>95000</v>
      </c>
      <c r="S3" s="2">
        <v>0.34482758620689657</v>
      </c>
      <c r="AA3" t="s">
        <v>198</v>
      </c>
    </row>
    <row r="4" spans="1:27" x14ac:dyDescent="0.3">
      <c r="A4" s="3">
        <v>2</v>
      </c>
      <c r="B4">
        <v>8961</v>
      </c>
      <c r="C4" t="s">
        <v>26</v>
      </c>
      <c r="D4" t="s">
        <v>27</v>
      </c>
      <c r="E4" t="s">
        <v>28</v>
      </c>
      <c r="F4" t="s">
        <v>414</v>
      </c>
      <c r="G4" s="1" t="str">
        <f>HYPERLINK("https://new.land.naver.com/complexes/8961", "클릭")</f>
        <v>클릭</v>
      </c>
      <c r="H4">
        <v>1986</v>
      </c>
      <c r="I4">
        <v>2</v>
      </c>
      <c r="J4">
        <v>80</v>
      </c>
      <c r="K4">
        <v>56</v>
      </c>
      <c r="L4" t="s">
        <v>135</v>
      </c>
      <c r="M4" t="s">
        <v>235</v>
      </c>
      <c r="N4" t="s">
        <v>248</v>
      </c>
      <c r="O4">
        <v>138000</v>
      </c>
      <c r="P4" t="s">
        <v>248</v>
      </c>
      <c r="Q4">
        <v>60000</v>
      </c>
      <c r="R4">
        <v>78000</v>
      </c>
      <c r="S4" s="2">
        <v>0.43478260869565222</v>
      </c>
      <c r="V4">
        <v>43000</v>
      </c>
      <c r="W4" s="2">
        <v>3.2093023255813948</v>
      </c>
      <c r="AA4" t="s">
        <v>204</v>
      </c>
    </row>
    <row r="5" spans="1:27" x14ac:dyDescent="0.3">
      <c r="A5" s="3">
        <v>3</v>
      </c>
      <c r="B5">
        <v>8180</v>
      </c>
      <c r="C5" t="s">
        <v>26</v>
      </c>
      <c r="D5" t="s">
        <v>27</v>
      </c>
      <c r="E5" t="s">
        <v>28</v>
      </c>
      <c r="F5" t="s">
        <v>415</v>
      </c>
      <c r="G5" s="1" t="str">
        <f>HYPERLINK("https://new.land.naver.com/complexes/8180", "클릭")</f>
        <v>클릭</v>
      </c>
      <c r="H5">
        <v>1987</v>
      </c>
      <c r="I5">
        <v>7</v>
      </c>
      <c r="J5">
        <v>40</v>
      </c>
      <c r="K5">
        <v>40</v>
      </c>
      <c r="L5" t="s">
        <v>135</v>
      </c>
      <c r="M5" t="s">
        <v>235</v>
      </c>
      <c r="N5" t="s">
        <v>455</v>
      </c>
      <c r="O5">
        <v>120000</v>
      </c>
      <c r="P5" t="s">
        <v>455</v>
      </c>
      <c r="Q5">
        <v>50000</v>
      </c>
      <c r="R5">
        <v>70000</v>
      </c>
      <c r="S5" s="2">
        <v>0.41666666666666669</v>
      </c>
      <c r="V5">
        <v>29300</v>
      </c>
      <c r="W5" s="2">
        <v>4.0955631399317403</v>
      </c>
      <c r="AA5" t="s">
        <v>198</v>
      </c>
    </row>
    <row r="6" spans="1:27" x14ac:dyDescent="0.3">
      <c r="A6" s="3">
        <v>4</v>
      </c>
      <c r="B6">
        <v>8180</v>
      </c>
      <c r="C6" t="s">
        <v>26</v>
      </c>
      <c r="D6" t="s">
        <v>27</v>
      </c>
      <c r="E6" t="s">
        <v>28</v>
      </c>
      <c r="F6" t="s">
        <v>415</v>
      </c>
      <c r="G6" s="1" t="str">
        <f>HYPERLINK("https://new.land.naver.com/complexes/8180", "클릭")</f>
        <v>클릭</v>
      </c>
      <c r="H6">
        <v>1987</v>
      </c>
      <c r="I6">
        <v>7</v>
      </c>
      <c r="J6">
        <v>40</v>
      </c>
      <c r="K6">
        <v>39</v>
      </c>
      <c r="L6" t="s">
        <v>135</v>
      </c>
      <c r="M6" t="s">
        <v>235</v>
      </c>
      <c r="N6" t="s">
        <v>456</v>
      </c>
      <c r="O6">
        <v>120000</v>
      </c>
      <c r="P6" t="s">
        <v>456</v>
      </c>
      <c r="Q6">
        <v>50000</v>
      </c>
      <c r="R6">
        <v>70000</v>
      </c>
      <c r="S6" s="2">
        <v>0.41666666666666669</v>
      </c>
      <c r="V6">
        <v>29300</v>
      </c>
      <c r="W6" s="2">
        <v>4.0955631399317403</v>
      </c>
      <c r="AA6" t="s">
        <v>198</v>
      </c>
    </row>
    <row r="7" spans="1:27" x14ac:dyDescent="0.3">
      <c r="A7" s="3">
        <v>5</v>
      </c>
      <c r="B7">
        <v>13922</v>
      </c>
      <c r="C7" t="s">
        <v>26</v>
      </c>
      <c r="D7" t="s">
        <v>27</v>
      </c>
      <c r="E7" t="s">
        <v>31</v>
      </c>
      <c r="F7" t="s">
        <v>51</v>
      </c>
      <c r="G7" s="1" t="str">
        <f>HYPERLINK("https://new.land.naver.com/complexes/13922", "클릭")</f>
        <v>클릭</v>
      </c>
      <c r="H7">
        <v>1981</v>
      </c>
      <c r="I7">
        <v>9</v>
      </c>
      <c r="J7">
        <v>912</v>
      </c>
      <c r="K7">
        <v>52</v>
      </c>
      <c r="L7" t="s">
        <v>136</v>
      </c>
      <c r="M7" t="s">
        <v>235</v>
      </c>
      <c r="N7" t="s">
        <v>457</v>
      </c>
      <c r="O7">
        <v>92000</v>
      </c>
      <c r="AA7" t="s">
        <v>202</v>
      </c>
    </row>
    <row r="8" spans="1:27" x14ac:dyDescent="0.3">
      <c r="A8" s="3">
        <v>6</v>
      </c>
      <c r="B8">
        <v>144023</v>
      </c>
      <c r="C8" t="s">
        <v>26</v>
      </c>
      <c r="D8" t="s">
        <v>27</v>
      </c>
      <c r="E8" t="s">
        <v>31</v>
      </c>
      <c r="F8" t="s">
        <v>40</v>
      </c>
      <c r="G8" s="1" t="str">
        <f>HYPERLINK("https://new.land.naver.com/complexes/144023", "클릭")</f>
        <v>클릭</v>
      </c>
      <c r="H8">
        <v>2024</v>
      </c>
      <c r="I8">
        <v>6</v>
      </c>
      <c r="J8">
        <v>2739</v>
      </c>
      <c r="K8">
        <v>22</v>
      </c>
      <c r="L8" t="s">
        <v>135</v>
      </c>
      <c r="M8" t="s">
        <v>236</v>
      </c>
      <c r="N8" t="s">
        <v>458</v>
      </c>
      <c r="O8">
        <v>90000</v>
      </c>
      <c r="P8" t="s">
        <v>458</v>
      </c>
      <c r="Q8">
        <v>12000</v>
      </c>
      <c r="R8">
        <v>78000</v>
      </c>
      <c r="S8" s="2">
        <v>0.1333333333333333</v>
      </c>
      <c r="AA8" t="s">
        <v>201</v>
      </c>
    </row>
    <row r="9" spans="1:27" x14ac:dyDescent="0.3">
      <c r="A9" s="3">
        <v>7</v>
      </c>
      <c r="B9">
        <v>8626</v>
      </c>
      <c r="C9" t="s">
        <v>26</v>
      </c>
      <c r="D9" t="s">
        <v>27</v>
      </c>
      <c r="E9" t="s">
        <v>30</v>
      </c>
      <c r="F9" t="s">
        <v>292</v>
      </c>
      <c r="G9" s="1" t="str">
        <f>HYPERLINK("https://new.land.naver.com/complexes/8626", "클릭")</f>
        <v>클릭</v>
      </c>
      <c r="H9">
        <v>2002</v>
      </c>
      <c r="I9">
        <v>6</v>
      </c>
      <c r="J9">
        <v>967</v>
      </c>
      <c r="K9">
        <v>56</v>
      </c>
      <c r="L9" t="s">
        <v>135</v>
      </c>
      <c r="M9" t="s">
        <v>138</v>
      </c>
      <c r="N9" t="s">
        <v>263</v>
      </c>
      <c r="O9">
        <v>87000</v>
      </c>
      <c r="P9" t="s">
        <v>263</v>
      </c>
      <c r="Q9">
        <v>60000</v>
      </c>
      <c r="R9">
        <v>27000</v>
      </c>
      <c r="S9" s="2">
        <v>0.68965517241379315</v>
      </c>
      <c r="V9">
        <v>51700</v>
      </c>
      <c r="W9" s="2">
        <v>1.682785299806576</v>
      </c>
      <c r="AA9" t="s">
        <v>198</v>
      </c>
    </row>
    <row r="10" spans="1:27" x14ac:dyDescent="0.3">
      <c r="A10" s="3">
        <v>8</v>
      </c>
      <c r="B10">
        <v>13922</v>
      </c>
      <c r="C10" t="s">
        <v>26</v>
      </c>
      <c r="D10" t="s">
        <v>27</v>
      </c>
      <c r="E10" t="s">
        <v>31</v>
      </c>
      <c r="F10" t="s">
        <v>51</v>
      </c>
      <c r="G10" s="1" t="str">
        <f>HYPERLINK("https://new.land.naver.com/complexes/13922", "클릭")</f>
        <v>클릭</v>
      </c>
      <c r="H10">
        <v>1981</v>
      </c>
      <c r="I10">
        <v>9</v>
      </c>
      <c r="J10">
        <v>912</v>
      </c>
      <c r="K10">
        <v>44</v>
      </c>
      <c r="L10" t="s">
        <v>136</v>
      </c>
      <c r="M10" t="s">
        <v>235</v>
      </c>
      <c r="N10" t="s">
        <v>459</v>
      </c>
      <c r="O10">
        <v>75000</v>
      </c>
      <c r="AA10" t="s">
        <v>407</v>
      </c>
    </row>
    <row r="11" spans="1:27" x14ac:dyDescent="0.3">
      <c r="A11" s="3">
        <v>9</v>
      </c>
      <c r="B11">
        <v>13924</v>
      </c>
      <c r="C11" t="s">
        <v>26</v>
      </c>
      <c r="D11" t="s">
        <v>27</v>
      </c>
      <c r="E11" t="s">
        <v>31</v>
      </c>
      <c r="F11" t="s">
        <v>44</v>
      </c>
      <c r="G11" s="1" t="str">
        <f>HYPERLINK("https://new.land.naver.com/complexes/13924", "클릭")</f>
        <v>클릭</v>
      </c>
      <c r="H11">
        <v>1985</v>
      </c>
      <c r="I11">
        <v>8</v>
      </c>
      <c r="J11">
        <v>474</v>
      </c>
      <c r="K11">
        <v>55</v>
      </c>
      <c r="L11" t="s">
        <v>136</v>
      </c>
      <c r="M11" t="s">
        <v>235</v>
      </c>
      <c r="N11" t="s">
        <v>385</v>
      </c>
      <c r="O11">
        <v>70000</v>
      </c>
      <c r="V11">
        <v>40800</v>
      </c>
      <c r="W11" s="2">
        <v>1.715686274509804</v>
      </c>
      <c r="AA11" t="s">
        <v>198</v>
      </c>
    </row>
    <row r="12" spans="1:27" x14ac:dyDescent="0.3">
      <c r="A12" s="3">
        <v>10</v>
      </c>
      <c r="B12">
        <v>1988</v>
      </c>
      <c r="C12" t="s">
        <v>26</v>
      </c>
      <c r="D12" t="s">
        <v>27</v>
      </c>
      <c r="E12" t="s">
        <v>31</v>
      </c>
      <c r="F12" t="s">
        <v>416</v>
      </c>
      <c r="G12" s="1" t="str">
        <f>HYPERLINK("https://new.land.naver.com/complexes/1988", "클릭")</f>
        <v>클릭</v>
      </c>
      <c r="H12">
        <v>1988</v>
      </c>
      <c r="I12">
        <v>11</v>
      </c>
      <c r="J12">
        <v>80</v>
      </c>
      <c r="K12">
        <v>52</v>
      </c>
      <c r="L12" t="s">
        <v>135</v>
      </c>
      <c r="M12" t="s">
        <v>138</v>
      </c>
      <c r="N12" t="s">
        <v>339</v>
      </c>
      <c r="O12">
        <v>70000</v>
      </c>
      <c r="P12" t="s">
        <v>339</v>
      </c>
      <c r="Q12">
        <v>19000</v>
      </c>
      <c r="R12">
        <v>51000</v>
      </c>
      <c r="S12" s="2">
        <v>0.27142857142857141</v>
      </c>
      <c r="V12">
        <v>36300</v>
      </c>
      <c r="W12" s="2">
        <v>1.9283746556473831</v>
      </c>
      <c r="AA12" t="s">
        <v>198</v>
      </c>
    </row>
    <row r="13" spans="1:27" x14ac:dyDescent="0.3">
      <c r="A13" s="3">
        <v>11</v>
      </c>
      <c r="B13">
        <v>13918</v>
      </c>
      <c r="C13" t="s">
        <v>26</v>
      </c>
      <c r="D13" t="s">
        <v>27</v>
      </c>
      <c r="E13" t="s">
        <v>31</v>
      </c>
      <c r="F13" t="s">
        <v>295</v>
      </c>
      <c r="G13" s="1" t="str">
        <f>HYPERLINK("https://new.land.naver.com/complexes/13918", "클릭")</f>
        <v>클릭</v>
      </c>
      <c r="H13">
        <v>1988</v>
      </c>
      <c r="I13">
        <v>6</v>
      </c>
      <c r="J13">
        <v>126</v>
      </c>
      <c r="K13">
        <v>55</v>
      </c>
      <c r="L13" t="s">
        <v>135</v>
      </c>
      <c r="M13" t="s">
        <v>235</v>
      </c>
      <c r="N13" t="s">
        <v>460</v>
      </c>
      <c r="O13">
        <v>68000</v>
      </c>
      <c r="V13">
        <v>44200</v>
      </c>
      <c r="W13" s="2">
        <v>1.538461538461539</v>
      </c>
      <c r="AA13" t="s">
        <v>198</v>
      </c>
    </row>
    <row r="14" spans="1:27" x14ac:dyDescent="0.3">
      <c r="A14" s="3">
        <v>12</v>
      </c>
      <c r="B14">
        <v>24918</v>
      </c>
      <c r="C14" t="s">
        <v>26</v>
      </c>
      <c r="D14" t="s">
        <v>27</v>
      </c>
      <c r="E14" t="s">
        <v>31</v>
      </c>
      <c r="F14" t="s">
        <v>417</v>
      </c>
      <c r="G14" s="1" t="str">
        <f>HYPERLINK("https://new.land.naver.com/complexes/24918", "클릭")</f>
        <v>클릭</v>
      </c>
      <c r="H14">
        <v>1988</v>
      </c>
      <c r="I14">
        <v>11</v>
      </c>
      <c r="J14">
        <v>20</v>
      </c>
      <c r="K14">
        <v>49</v>
      </c>
      <c r="L14" t="s">
        <v>135</v>
      </c>
      <c r="M14" t="s">
        <v>137</v>
      </c>
      <c r="N14" t="s">
        <v>461</v>
      </c>
      <c r="O14">
        <v>68000</v>
      </c>
      <c r="P14" t="s">
        <v>461</v>
      </c>
      <c r="Q14">
        <v>16000</v>
      </c>
      <c r="R14">
        <v>52000</v>
      </c>
      <c r="S14" s="2">
        <v>0.23529411764705879</v>
      </c>
      <c r="V14">
        <v>34400</v>
      </c>
      <c r="W14" s="2">
        <v>1.976744186046512</v>
      </c>
      <c r="AA14" t="s">
        <v>198</v>
      </c>
    </row>
    <row r="15" spans="1:27" x14ac:dyDescent="0.3">
      <c r="A15" s="3">
        <v>13</v>
      </c>
      <c r="B15">
        <v>13922</v>
      </c>
      <c r="C15" t="s">
        <v>26</v>
      </c>
      <c r="D15" t="s">
        <v>27</v>
      </c>
      <c r="E15" t="s">
        <v>31</v>
      </c>
      <c r="F15" t="s">
        <v>51</v>
      </c>
      <c r="G15" s="1" t="str">
        <f>HYPERLINK("https://new.land.naver.com/complexes/13922", "클릭")</f>
        <v>클릭</v>
      </c>
      <c r="H15">
        <v>1981</v>
      </c>
      <c r="I15">
        <v>9</v>
      </c>
      <c r="J15">
        <v>912</v>
      </c>
      <c r="K15">
        <v>56</v>
      </c>
      <c r="L15" t="s">
        <v>136</v>
      </c>
      <c r="M15" t="s">
        <v>138</v>
      </c>
      <c r="N15" t="s">
        <v>462</v>
      </c>
      <c r="O15">
        <v>67000</v>
      </c>
      <c r="T15">
        <v>96000</v>
      </c>
      <c r="U15" s="2">
        <v>-0.30208333333333331</v>
      </c>
      <c r="V15">
        <v>34600</v>
      </c>
      <c r="W15" s="2">
        <v>1.9364161849710979</v>
      </c>
      <c r="AA15" t="s">
        <v>198</v>
      </c>
    </row>
    <row r="16" spans="1:27" x14ac:dyDescent="0.3">
      <c r="A16" s="3">
        <v>14</v>
      </c>
      <c r="B16">
        <v>1467</v>
      </c>
      <c r="C16" t="s">
        <v>26</v>
      </c>
      <c r="D16" t="s">
        <v>27</v>
      </c>
      <c r="E16" t="s">
        <v>31</v>
      </c>
      <c r="F16" t="s">
        <v>53</v>
      </c>
      <c r="G16" s="1" t="str">
        <f>HYPERLINK("https://new.land.naver.com/complexes/1467", "클릭")</f>
        <v>클릭</v>
      </c>
      <c r="H16">
        <v>1992</v>
      </c>
      <c r="I16">
        <v>5</v>
      </c>
      <c r="J16">
        <v>620</v>
      </c>
      <c r="K16">
        <v>55</v>
      </c>
      <c r="L16" t="s">
        <v>136</v>
      </c>
      <c r="M16" t="s">
        <v>235</v>
      </c>
      <c r="N16" t="s">
        <v>385</v>
      </c>
      <c r="O16">
        <v>65000</v>
      </c>
      <c r="P16" t="s">
        <v>385</v>
      </c>
      <c r="Q16">
        <v>32000</v>
      </c>
      <c r="R16">
        <v>33000</v>
      </c>
      <c r="S16" s="2">
        <v>0.49230769230769228</v>
      </c>
      <c r="V16">
        <v>35800</v>
      </c>
      <c r="W16" s="2">
        <v>1.815642458100559</v>
      </c>
      <c r="AA16" t="s">
        <v>198</v>
      </c>
    </row>
    <row r="17" spans="1:27" x14ac:dyDescent="0.3">
      <c r="A17" s="3">
        <v>15</v>
      </c>
      <c r="B17">
        <v>1988</v>
      </c>
      <c r="C17" t="s">
        <v>26</v>
      </c>
      <c r="D17" t="s">
        <v>27</v>
      </c>
      <c r="E17" t="s">
        <v>31</v>
      </c>
      <c r="F17" t="s">
        <v>416</v>
      </c>
      <c r="G17" s="1" t="str">
        <f>HYPERLINK("https://new.land.naver.com/complexes/1988", "클릭")</f>
        <v>클릭</v>
      </c>
      <c r="H17">
        <v>1988</v>
      </c>
      <c r="I17">
        <v>11</v>
      </c>
      <c r="J17">
        <v>80</v>
      </c>
      <c r="K17">
        <v>55</v>
      </c>
      <c r="L17" t="s">
        <v>135</v>
      </c>
      <c r="M17" t="s">
        <v>138</v>
      </c>
      <c r="N17" t="s">
        <v>463</v>
      </c>
      <c r="O17">
        <v>65000</v>
      </c>
      <c r="P17" t="s">
        <v>463</v>
      </c>
      <c r="Q17">
        <v>17000</v>
      </c>
      <c r="R17">
        <v>48000</v>
      </c>
      <c r="S17" s="2">
        <v>0.26153846153846161</v>
      </c>
      <c r="V17">
        <v>39600</v>
      </c>
      <c r="W17" s="2">
        <v>1.641414141414141</v>
      </c>
      <c r="AA17" t="s">
        <v>198</v>
      </c>
    </row>
    <row r="18" spans="1:27" x14ac:dyDescent="0.3">
      <c r="A18" s="3">
        <v>16</v>
      </c>
      <c r="B18">
        <v>132626</v>
      </c>
      <c r="C18" t="s">
        <v>26</v>
      </c>
      <c r="D18" t="s">
        <v>27</v>
      </c>
      <c r="E18" t="s">
        <v>29</v>
      </c>
      <c r="F18" t="s">
        <v>418</v>
      </c>
      <c r="G18" s="1" t="str">
        <f>HYPERLINK("https://new.land.naver.com/complexes/132626", "클릭")</f>
        <v>클릭</v>
      </c>
      <c r="H18">
        <v>2020</v>
      </c>
      <c r="I18">
        <v>6</v>
      </c>
      <c r="J18">
        <v>9</v>
      </c>
      <c r="K18">
        <v>53</v>
      </c>
      <c r="L18" t="s">
        <v>135</v>
      </c>
      <c r="M18" t="s">
        <v>138</v>
      </c>
      <c r="N18" t="s">
        <v>464</v>
      </c>
      <c r="O18">
        <v>65000</v>
      </c>
      <c r="P18" t="s">
        <v>464</v>
      </c>
      <c r="Q18">
        <v>44500</v>
      </c>
      <c r="R18">
        <v>20500</v>
      </c>
      <c r="S18" s="2">
        <v>0.68461538461538463</v>
      </c>
      <c r="AA18" t="s">
        <v>204</v>
      </c>
    </row>
    <row r="19" spans="1:27" x14ac:dyDescent="0.3">
      <c r="A19" s="3">
        <v>17</v>
      </c>
      <c r="B19">
        <v>144023</v>
      </c>
      <c r="C19" t="s">
        <v>26</v>
      </c>
      <c r="D19" t="s">
        <v>27</v>
      </c>
      <c r="E19" t="s">
        <v>31</v>
      </c>
      <c r="F19" t="s">
        <v>40</v>
      </c>
      <c r="G19" s="1" t="str">
        <f>HYPERLINK("https://new.land.naver.com/complexes/144023", "클릭")</f>
        <v>클릭</v>
      </c>
      <c r="H19">
        <v>2024</v>
      </c>
      <c r="I19">
        <v>6</v>
      </c>
      <c r="J19">
        <v>2739</v>
      </c>
      <c r="K19">
        <v>49</v>
      </c>
      <c r="L19" t="s">
        <v>135</v>
      </c>
      <c r="M19" t="s">
        <v>138</v>
      </c>
      <c r="N19" t="s">
        <v>465</v>
      </c>
      <c r="O19">
        <v>65000</v>
      </c>
      <c r="P19" t="s">
        <v>278</v>
      </c>
      <c r="Q19">
        <v>38000</v>
      </c>
      <c r="R19">
        <v>27000</v>
      </c>
      <c r="S19" s="2">
        <v>0.58461538461538465</v>
      </c>
      <c r="AA19" t="s">
        <v>198</v>
      </c>
    </row>
    <row r="20" spans="1:27" x14ac:dyDescent="0.3">
      <c r="A20" s="3">
        <v>18</v>
      </c>
      <c r="B20">
        <v>13227</v>
      </c>
      <c r="C20" t="s">
        <v>26</v>
      </c>
      <c r="D20" t="s">
        <v>27</v>
      </c>
      <c r="E20" t="s">
        <v>29</v>
      </c>
      <c r="F20" t="s">
        <v>300</v>
      </c>
      <c r="G20" s="1" t="str">
        <f>HYPERLINK("https://new.land.naver.com/complexes/13227", "클릭")</f>
        <v>클릭</v>
      </c>
      <c r="H20">
        <v>1984</v>
      </c>
      <c r="I20">
        <v>10</v>
      </c>
      <c r="J20">
        <v>72</v>
      </c>
      <c r="K20">
        <v>55</v>
      </c>
      <c r="L20" t="s">
        <v>135</v>
      </c>
      <c r="M20" t="s">
        <v>138</v>
      </c>
      <c r="N20" t="s">
        <v>254</v>
      </c>
      <c r="O20">
        <v>63000</v>
      </c>
      <c r="P20" t="s">
        <v>254</v>
      </c>
      <c r="Q20">
        <v>22000</v>
      </c>
      <c r="R20">
        <v>41000</v>
      </c>
      <c r="S20" s="2">
        <v>0.34920634920634919</v>
      </c>
      <c r="V20">
        <v>34000</v>
      </c>
      <c r="W20" s="2">
        <v>1.8529411764705881</v>
      </c>
      <c r="AA20" t="s">
        <v>521</v>
      </c>
    </row>
    <row r="21" spans="1:27" x14ac:dyDescent="0.3">
      <c r="A21" s="3">
        <v>19</v>
      </c>
      <c r="B21">
        <v>153038</v>
      </c>
      <c r="C21" t="s">
        <v>26</v>
      </c>
      <c r="D21" t="s">
        <v>27</v>
      </c>
      <c r="E21" t="s">
        <v>29</v>
      </c>
      <c r="F21" t="s">
        <v>218</v>
      </c>
      <c r="G21" s="1" t="str">
        <f>HYPERLINK("https://new.land.naver.com/complexes/153038", "클릭")</f>
        <v>클릭</v>
      </c>
      <c r="H21">
        <v>2022</v>
      </c>
      <c r="I21">
        <v>10</v>
      </c>
      <c r="J21">
        <v>15</v>
      </c>
      <c r="K21">
        <v>56</v>
      </c>
      <c r="L21" t="s">
        <v>135</v>
      </c>
      <c r="M21" t="s">
        <v>137</v>
      </c>
      <c r="N21" t="s">
        <v>384</v>
      </c>
      <c r="O21">
        <v>63000</v>
      </c>
      <c r="P21" t="s">
        <v>384</v>
      </c>
      <c r="Q21">
        <v>42000</v>
      </c>
      <c r="R21">
        <v>21000</v>
      </c>
      <c r="S21" s="2">
        <v>0.66666666666666663</v>
      </c>
      <c r="AA21" t="s">
        <v>198</v>
      </c>
    </row>
    <row r="22" spans="1:27" x14ac:dyDescent="0.3">
      <c r="A22" s="3">
        <v>20</v>
      </c>
      <c r="B22">
        <v>3022</v>
      </c>
      <c r="C22" t="s">
        <v>26</v>
      </c>
      <c r="D22" t="s">
        <v>27</v>
      </c>
      <c r="E22" t="s">
        <v>28</v>
      </c>
      <c r="F22" t="s">
        <v>419</v>
      </c>
      <c r="G22" s="1" t="str">
        <f>HYPERLINK("https://new.land.naver.com/complexes/3022", "클릭")</f>
        <v>클릭</v>
      </c>
      <c r="H22">
        <v>1992</v>
      </c>
      <c r="I22">
        <v>7</v>
      </c>
      <c r="J22">
        <v>902</v>
      </c>
      <c r="K22">
        <v>56</v>
      </c>
      <c r="L22" t="s">
        <v>136</v>
      </c>
      <c r="M22" t="s">
        <v>235</v>
      </c>
      <c r="N22" t="s">
        <v>356</v>
      </c>
      <c r="O22">
        <v>62000</v>
      </c>
      <c r="P22" t="s">
        <v>356</v>
      </c>
      <c r="Q22">
        <v>23500</v>
      </c>
      <c r="R22">
        <v>38500</v>
      </c>
      <c r="S22" s="2">
        <v>0.37903225806451613</v>
      </c>
      <c r="V22">
        <v>40100</v>
      </c>
      <c r="W22" s="2">
        <v>1.546134663341646</v>
      </c>
      <c r="AA22" t="s">
        <v>198</v>
      </c>
    </row>
    <row r="23" spans="1:27" x14ac:dyDescent="0.3">
      <c r="A23" s="3">
        <v>21</v>
      </c>
      <c r="B23">
        <v>154917</v>
      </c>
      <c r="C23" t="s">
        <v>26</v>
      </c>
      <c r="D23" t="s">
        <v>27</v>
      </c>
      <c r="E23" t="s">
        <v>28</v>
      </c>
      <c r="F23" t="s">
        <v>32</v>
      </c>
      <c r="G23" s="1" t="str">
        <f>HYPERLINK("https://new.land.naver.com/complexes/154917", "클릭")</f>
        <v>클릭</v>
      </c>
      <c r="H23">
        <v>2023</v>
      </c>
      <c r="I23">
        <v>11</v>
      </c>
      <c r="J23">
        <v>2886</v>
      </c>
      <c r="K23">
        <v>46</v>
      </c>
      <c r="L23" t="s">
        <v>135</v>
      </c>
      <c r="M23" t="s">
        <v>235</v>
      </c>
      <c r="N23" t="s">
        <v>466</v>
      </c>
      <c r="O23">
        <v>61500</v>
      </c>
      <c r="P23" t="s">
        <v>466</v>
      </c>
      <c r="Q23">
        <v>36000</v>
      </c>
      <c r="R23">
        <v>25500</v>
      </c>
      <c r="S23" s="2">
        <v>0.58536585365853655</v>
      </c>
      <c r="AA23" t="s">
        <v>198</v>
      </c>
    </row>
    <row r="24" spans="1:27" x14ac:dyDescent="0.3">
      <c r="A24" s="3">
        <v>22</v>
      </c>
      <c r="B24">
        <v>124780</v>
      </c>
      <c r="C24" t="s">
        <v>26</v>
      </c>
      <c r="D24" t="s">
        <v>27</v>
      </c>
      <c r="E24" t="s">
        <v>31</v>
      </c>
      <c r="F24" t="s">
        <v>45</v>
      </c>
      <c r="G24" s="1" t="str">
        <f>HYPERLINK("https://new.land.naver.com/complexes/124780", "클릭")</f>
        <v>클릭</v>
      </c>
      <c r="H24">
        <v>2021</v>
      </c>
      <c r="I24">
        <v>12</v>
      </c>
      <c r="J24">
        <v>2737</v>
      </c>
      <c r="K24">
        <v>49</v>
      </c>
      <c r="L24" t="s">
        <v>135</v>
      </c>
      <c r="M24" t="s">
        <v>235</v>
      </c>
      <c r="N24" t="s">
        <v>278</v>
      </c>
      <c r="O24">
        <v>61000</v>
      </c>
      <c r="P24" t="s">
        <v>460</v>
      </c>
      <c r="Q24">
        <v>38000</v>
      </c>
      <c r="R24">
        <v>23000</v>
      </c>
      <c r="S24" s="2">
        <v>0.62295081967213117</v>
      </c>
      <c r="V24">
        <v>37600</v>
      </c>
      <c r="W24" s="2">
        <v>1.6223404255319149</v>
      </c>
      <c r="AA24" t="s">
        <v>198</v>
      </c>
    </row>
    <row r="25" spans="1:27" x14ac:dyDescent="0.3">
      <c r="A25" s="3">
        <v>23</v>
      </c>
      <c r="B25">
        <v>122682</v>
      </c>
      <c r="C25" t="s">
        <v>26</v>
      </c>
      <c r="D25" t="s">
        <v>27</v>
      </c>
      <c r="E25" t="s">
        <v>28</v>
      </c>
      <c r="F25" t="s">
        <v>46</v>
      </c>
      <c r="G25" s="1" t="str">
        <f>HYPERLINK("https://new.land.naver.com/complexes/122682", "클릭")</f>
        <v>클릭</v>
      </c>
      <c r="H25">
        <v>2021</v>
      </c>
      <c r="I25">
        <v>4</v>
      </c>
      <c r="J25">
        <v>3850</v>
      </c>
      <c r="K25">
        <v>46</v>
      </c>
      <c r="L25" t="s">
        <v>135</v>
      </c>
      <c r="M25" t="s">
        <v>235</v>
      </c>
      <c r="N25" t="s">
        <v>467</v>
      </c>
      <c r="O25">
        <v>60000</v>
      </c>
      <c r="P25" t="s">
        <v>513</v>
      </c>
      <c r="Q25">
        <v>35000</v>
      </c>
      <c r="R25">
        <v>25000</v>
      </c>
      <c r="S25" s="2">
        <v>0.58333333333333337</v>
      </c>
      <c r="V25">
        <v>34400</v>
      </c>
      <c r="W25" s="2">
        <v>1.7441860465116279</v>
      </c>
      <c r="AA25" t="s">
        <v>198</v>
      </c>
    </row>
    <row r="26" spans="1:27" x14ac:dyDescent="0.3">
      <c r="A26" s="3">
        <v>24</v>
      </c>
      <c r="B26">
        <v>3078</v>
      </c>
      <c r="C26" t="s">
        <v>26</v>
      </c>
      <c r="D26" t="s">
        <v>27</v>
      </c>
      <c r="E26" t="s">
        <v>31</v>
      </c>
      <c r="F26" t="s">
        <v>301</v>
      </c>
      <c r="G26" s="1" t="str">
        <f>HYPERLINK("https://new.land.naver.com/complexes/3078", "클릭")</f>
        <v>클릭</v>
      </c>
      <c r="H26">
        <v>2003</v>
      </c>
      <c r="I26">
        <v>9</v>
      </c>
      <c r="J26">
        <v>955</v>
      </c>
      <c r="K26">
        <v>56</v>
      </c>
      <c r="L26" t="s">
        <v>135</v>
      </c>
      <c r="M26" t="s">
        <v>138</v>
      </c>
      <c r="N26" t="s">
        <v>371</v>
      </c>
      <c r="O26">
        <v>59000</v>
      </c>
      <c r="P26" t="s">
        <v>371</v>
      </c>
      <c r="Q26">
        <v>38000</v>
      </c>
      <c r="R26">
        <v>21000</v>
      </c>
      <c r="S26" s="2">
        <v>0.64406779661016944</v>
      </c>
      <c r="V26">
        <v>33900</v>
      </c>
      <c r="W26" s="2">
        <v>1.7404129793510319</v>
      </c>
      <c r="AA26" t="s">
        <v>198</v>
      </c>
    </row>
    <row r="27" spans="1:27" x14ac:dyDescent="0.3">
      <c r="A27" s="3">
        <v>25</v>
      </c>
      <c r="B27">
        <v>152005</v>
      </c>
      <c r="C27" t="s">
        <v>26</v>
      </c>
      <c r="D27" t="s">
        <v>27</v>
      </c>
      <c r="E27" t="s">
        <v>28</v>
      </c>
      <c r="F27" t="s">
        <v>68</v>
      </c>
      <c r="G27" s="1" t="str">
        <f>HYPERLINK("https://new.land.naver.com/complexes/152005", "클릭")</f>
        <v>클릭</v>
      </c>
      <c r="H27">
        <v>2025</v>
      </c>
      <c r="I27">
        <v>6</v>
      </c>
      <c r="J27">
        <v>456</v>
      </c>
      <c r="K27">
        <v>49</v>
      </c>
      <c r="L27" t="s">
        <v>135</v>
      </c>
      <c r="M27" t="s">
        <v>338</v>
      </c>
      <c r="N27" t="s">
        <v>468</v>
      </c>
      <c r="O27">
        <v>58100</v>
      </c>
      <c r="P27" t="s">
        <v>468</v>
      </c>
      <c r="Q27">
        <v>41000</v>
      </c>
      <c r="R27">
        <v>17100</v>
      </c>
      <c r="S27" s="2">
        <v>0.70567986230636837</v>
      </c>
      <c r="AA27" t="s">
        <v>198</v>
      </c>
    </row>
    <row r="28" spans="1:27" x14ac:dyDescent="0.3">
      <c r="A28" s="3">
        <v>26</v>
      </c>
      <c r="B28">
        <v>14854</v>
      </c>
      <c r="C28" t="s">
        <v>26</v>
      </c>
      <c r="D28" t="s">
        <v>27</v>
      </c>
      <c r="E28" t="s">
        <v>29</v>
      </c>
      <c r="F28" t="s">
        <v>332</v>
      </c>
      <c r="G28" s="1" t="str">
        <f>HYPERLINK("https://new.land.naver.com/complexes/14854", "클릭")</f>
        <v>클릭</v>
      </c>
      <c r="H28">
        <v>1985</v>
      </c>
      <c r="I28">
        <v>8</v>
      </c>
      <c r="J28">
        <v>50</v>
      </c>
      <c r="K28">
        <v>54</v>
      </c>
      <c r="L28" t="s">
        <v>135</v>
      </c>
      <c r="M28" t="s">
        <v>138</v>
      </c>
      <c r="N28" t="s">
        <v>468</v>
      </c>
      <c r="O28">
        <v>58000</v>
      </c>
      <c r="P28" t="s">
        <v>468</v>
      </c>
      <c r="Q28">
        <v>23000</v>
      </c>
      <c r="R28">
        <v>35000</v>
      </c>
      <c r="S28" s="2">
        <v>0.39655172413793099</v>
      </c>
      <c r="V28">
        <v>28100</v>
      </c>
      <c r="W28" s="2">
        <v>2.0640569395017789</v>
      </c>
      <c r="AA28" t="s">
        <v>198</v>
      </c>
    </row>
    <row r="29" spans="1:27" x14ac:dyDescent="0.3">
      <c r="A29" s="3">
        <v>27</v>
      </c>
      <c r="B29">
        <v>3075</v>
      </c>
      <c r="C29" t="s">
        <v>26</v>
      </c>
      <c r="D29" t="s">
        <v>27</v>
      </c>
      <c r="E29" t="s">
        <v>31</v>
      </c>
      <c r="F29" t="s">
        <v>55</v>
      </c>
      <c r="G29" s="1" t="str">
        <f>HYPERLINK("https://new.land.naver.com/complexes/3075", "클릭")</f>
        <v>클릭</v>
      </c>
      <c r="H29">
        <v>1992</v>
      </c>
      <c r="I29">
        <v>6</v>
      </c>
      <c r="J29">
        <v>502</v>
      </c>
      <c r="K29">
        <v>55</v>
      </c>
      <c r="L29" t="s">
        <v>136</v>
      </c>
      <c r="M29" t="s">
        <v>235</v>
      </c>
      <c r="N29" t="s">
        <v>254</v>
      </c>
      <c r="O29">
        <v>58000</v>
      </c>
      <c r="P29" t="s">
        <v>254</v>
      </c>
      <c r="Q29">
        <v>33000</v>
      </c>
      <c r="R29">
        <v>25000</v>
      </c>
      <c r="S29" s="2">
        <v>0.56896551724137934</v>
      </c>
      <c r="V29">
        <v>35000</v>
      </c>
      <c r="W29" s="2">
        <v>1.657142857142857</v>
      </c>
      <c r="AA29" t="s">
        <v>198</v>
      </c>
    </row>
    <row r="30" spans="1:27" x14ac:dyDescent="0.3">
      <c r="A30" s="3">
        <v>28</v>
      </c>
      <c r="B30">
        <v>1992</v>
      </c>
      <c r="C30" t="s">
        <v>26</v>
      </c>
      <c r="D30" t="s">
        <v>27</v>
      </c>
      <c r="E30" t="s">
        <v>31</v>
      </c>
      <c r="F30" t="s">
        <v>220</v>
      </c>
      <c r="G30" s="1" t="str">
        <f>HYPERLINK("https://new.land.naver.com/complexes/1992", "클릭")</f>
        <v>클릭</v>
      </c>
      <c r="H30">
        <v>1993</v>
      </c>
      <c r="I30">
        <v>11</v>
      </c>
      <c r="J30">
        <v>3227</v>
      </c>
      <c r="K30">
        <v>49</v>
      </c>
      <c r="L30" t="s">
        <v>136</v>
      </c>
      <c r="M30" t="s">
        <v>138</v>
      </c>
      <c r="N30" t="s">
        <v>468</v>
      </c>
      <c r="O30">
        <v>57000</v>
      </c>
      <c r="P30" t="s">
        <v>468</v>
      </c>
      <c r="Q30">
        <v>25000</v>
      </c>
      <c r="R30">
        <v>32000</v>
      </c>
      <c r="S30" s="2">
        <v>0.43859649122807021</v>
      </c>
      <c r="V30">
        <v>33400</v>
      </c>
      <c r="W30" s="2">
        <v>1.706586826347305</v>
      </c>
      <c r="AA30" t="s">
        <v>198</v>
      </c>
    </row>
    <row r="31" spans="1:27" x14ac:dyDescent="0.3">
      <c r="A31" s="3">
        <v>29</v>
      </c>
      <c r="B31">
        <v>126337</v>
      </c>
      <c r="C31" t="s">
        <v>26</v>
      </c>
      <c r="D31" t="s">
        <v>27</v>
      </c>
      <c r="E31" t="s">
        <v>31</v>
      </c>
      <c r="F31" t="s">
        <v>217</v>
      </c>
      <c r="G31" s="1" t="str">
        <f>HYPERLINK("https://new.land.naver.com/complexes/126337", "클릭")</f>
        <v>클릭</v>
      </c>
      <c r="H31">
        <v>2021</v>
      </c>
      <c r="I31">
        <v>11</v>
      </c>
      <c r="J31">
        <v>304</v>
      </c>
      <c r="K31">
        <v>51</v>
      </c>
      <c r="L31" t="s">
        <v>135</v>
      </c>
      <c r="M31" t="s">
        <v>338</v>
      </c>
      <c r="N31" t="s">
        <v>370</v>
      </c>
      <c r="O31">
        <v>57000</v>
      </c>
      <c r="P31" t="s">
        <v>370</v>
      </c>
      <c r="Q31">
        <v>38000</v>
      </c>
      <c r="R31">
        <v>19000</v>
      </c>
      <c r="S31" s="2">
        <v>0.66666666666666663</v>
      </c>
      <c r="AA31" t="s">
        <v>198</v>
      </c>
    </row>
    <row r="32" spans="1:27" x14ac:dyDescent="0.3">
      <c r="A32" s="3">
        <v>30</v>
      </c>
      <c r="B32">
        <v>3022</v>
      </c>
      <c r="C32" t="s">
        <v>26</v>
      </c>
      <c r="D32" t="s">
        <v>27</v>
      </c>
      <c r="E32" t="s">
        <v>28</v>
      </c>
      <c r="F32" t="s">
        <v>419</v>
      </c>
      <c r="G32" s="1" t="str">
        <f>HYPERLINK("https://new.land.naver.com/complexes/3022", "클릭")</f>
        <v>클릭</v>
      </c>
      <c r="H32">
        <v>1992</v>
      </c>
      <c r="I32">
        <v>7</v>
      </c>
      <c r="J32">
        <v>902</v>
      </c>
      <c r="K32">
        <v>50</v>
      </c>
      <c r="L32" t="s">
        <v>136</v>
      </c>
      <c r="M32" t="s">
        <v>235</v>
      </c>
      <c r="N32" t="s">
        <v>339</v>
      </c>
      <c r="O32">
        <v>56000</v>
      </c>
      <c r="P32" t="s">
        <v>339</v>
      </c>
      <c r="Q32">
        <v>24800</v>
      </c>
      <c r="R32">
        <v>31200</v>
      </c>
      <c r="S32" s="2">
        <v>0.44285714285714278</v>
      </c>
      <c r="V32">
        <v>36700</v>
      </c>
      <c r="W32" s="2">
        <v>1.5258855585831059</v>
      </c>
      <c r="AA32" t="s">
        <v>198</v>
      </c>
    </row>
    <row r="33" spans="1:27" x14ac:dyDescent="0.3">
      <c r="A33" s="3">
        <v>31</v>
      </c>
      <c r="B33">
        <v>1988</v>
      </c>
      <c r="C33" t="s">
        <v>26</v>
      </c>
      <c r="D33" t="s">
        <v>27</v>
      </c>
      <c r="E33" t="s">
        <v>31</v>
      </c>
      <c r="F33" t="s">
        <v>416</v>
      </c>
      <c r="G33" s="1" t="str">
        <f>HYPERLINK("https://new.land.naver.com/complexes/1988", "클릭")</f>
        <v>클릭</v>
      </c>
      <c r="H33">
        <v>1988</v>
      </c>
      <c r="I33">
        <v>11</v>
      </c>
      <c r="J33">
        <v>80</v>
      </c>
      <c r="K33">
        <v>49</v>
      </c>
      <c r="L33" t="s">
        <v>135</v>
      </c>
      <c r="M33" t="s">
        <v>138</v>
      </c>
      <c r="N33" t="s">
        <v>280</v>
      </c>
      <c r="O33">
        <v>55000</v>
      </c>
      <c r="P33" t="s">
        <v>478</v>
      </c>
      <c r="Q33">
        <v>17000</v>
      </c>
      <c r="R33">
        <v>38000</v>
      </c>
      <c r="S33" s="2">
        <v>0.30909090909090908</v>
      </c>
      <c r="AA33" t="s">
        <v>522</v>
      </c>
    </row>
    <row r="34" spans="1:27" x14ac:dyDescent="0.3">
      <c r="A34" s="3">
        <v>32</v>
      </c>
      <c r="B34">
        <v>105053</v>
      </c>
      <c r="C34" t="s">
        <v>26</v>
      </c>
      <c r="D34" t="s">
        <v>27</v>
      </c>
      <c r="E34" t="s">
        <v>29</v>
      </c>
      <c r="F34" t="s">
        <v>225</v>
      </c>
      <c r="G34" s="1" t="str">
        <f>HYPERLINK("https://new.land.naver.com/complexes/105053", "클릭")</f>
        <v>클릭</v>
      </c>
      <c r="H34">
        <v>1985</v>
      </c>
      <c r="I34">
        <v>10</v>
      </c>
      <c r="J34">
        <v>80</v>
      </c>
      <c r="K34">
        <v>56</v>
      </c>
      <c r="L34" t="s">
        <v>135</v>
      </c>
      <c r="M34" t="s">
        <v>138</v>
      </c>
      <c r="N34" t="s">
        <v>284</v>
      </c>
      <c r="O34">
        <v>55000</v>
      </c>
      <c r="P34" t="s">
        <v>284</v>
      </c>
      <c r="Q34">
        <v>18000</v>
      </c>
      <c r="R34">
        <v>37000</v>
      </c>
      <c r="S34" s="2">
        <v>0.32727272727272733</v>
      </c>
      <c r="V34">
        <v>24300</v>
      </c>
      <c r="W34" s="2">
        <v>2.263374485596708</v>
      </c>
      <c r="AA34" t="s">
        <v>523</v>
      </c>
    </row>
    <row r="35" spans="1:27" x14ac:dyDescent="0.3">
      <c r="A35" s="3">
        <v>33</v>
      </c>
      <c r="B35">
        <v>124780</v>
      </c>
      <c r="C35" t="s">
        <v>26</v>
      </c>
      <c r="D35" t="s">
        <v>27</v>
      </c>
      <c r="E35" t="s">
        <v>31</v>
      </c>
      <c r="F35" t="s">
        <v>45</v>
      </c>
      <c r="G35" s="1" t="str">
        <f>HYPERLINK("https://new.land.naver.com/complexes/124780", "클릭")</f>
        <v>클릭</v>
      </c>
      <c r="H35">
        <v>2021</v>
      </c>
      <c r="I35">
        <v>12</v>
      </c>
      <c r="J35">
        <v>2737</v>
      </c>
      <c r="K35">
        <v>45</v>
      </c>
      <c r="L35" t="s">
        <v>136</v>
      </c>
      <c r="M35" t="s">
        <v>235</v>
      </c>
      <c r="N35" t="s">
        <v>339</v>
      </c>
      <c r="O35">
        <v>54000</v>
      </c>
      <c r="P35" t="s">
        <v>339</v>
      </c>
      <c r="Q35">
        <v>40000</v>
      </c>
      <c r="R35">
        <v>14000</v>
      </c>
      <c r="S35" s="2">
        <v>0.7407407407407407</v>
      </c>
      <c r="V35">
        <v>32400</v>
      </c>
      <c r="W35" s="2">
        <v>1.666666666666667</v>
      </c>
      <c r="AA35" t="s">
        <v>198</v>
      </c>
    </row>
    <row r="36" spans="1:27" x14ac:dyDescent="0.3">
      <c r="A36" s="3">
        <v>34</v>
      </c>
      <c r="B36">
        <v>2595</v>
      </c>
      <c r="C36" t="s">
        <v>26</v>
      </c>
      <c r="D36" t="s">
        <v>27</v>
      </c>
      <c r="E36" t="s">
        <v>30</v>
      </c>
      <c r="F36" t="s">
        <v>297</v>
      </c>
      <c r="G36" s="1" t="str">
        <f>HYPERLINK("https://new.land.naver.com/complexes/2595", "클릭")</f>
        <v>클릭</v>
      </c>
      <c r="H36">
        <v>1992</v>
      </c>
      <c r="I36">
        <v>10</v>
      </c>
      <c r="J36">
        <v>1743</v>
      </c>
      <c r="K36">
        <v>50</v>
      </c>
      <c r="L36" t="s">
        <v>136</v>
      </c>
      <c r="M36" t="s">
        <v>138</v>
      </c>
      <c r="N36" t="s">
        <v>339</v>
      </c>
      <c r="O36">
        <v>53500</v>
      </c>
      <c r="P36" t="s">
        <v>339</v>
      </c>
      <c r="Q36">
        <v>26000</v>
      </c>
      <c r="R36">
        <v>27500</v>
      </c>
      <c r="S36" s="2">
        <v>0.48598130841121501</v>
      </c>
      <c r="V36">
        <v>32200</v>
      </c>
      <c r="W36" s="2">
        <v>1.661490683229814</v>
      </c>
      <c r="AA36" t="s">
        <v>198</v>
      </c>
    </row>
    <row r="37" spans="1:27" x14ac:dyDescent="0.3">
      <c r="A37" s="3">
        <v>35</v>
      </c>
      <c r="B37">
        <v>12122</v>
      </c>
      <c r="C37" t="s">
        <v>26</v>
      </c>
      <c r="D37" t="s">
        <v>27</v>
      </c>
      <c r="E37" t="s">
        <v>31</v>
      </c>
      <c r="F37" t="s">
        <v>420</v>
      </c>
      <c r="G37" s="1" t="str">
        <f>HYPERLINK("https://new.land.naver.com/complexes/12122", "클릭")</f>
        <v>클릭</v>
      </c>
      <c r="H37">
        <v>1988</v>
      </c>
      <c r="I37">
        <v>10</v>
      </c>
      <c r="J37">
        <v>48</v>
      </c>
      <c r="K37">
        <v>52</v>
      </c>
      <c r="L37" t="s">
        <v>135</v>
      </c>
      <c r="M37" t="s">
        <v>138</v>
      </c>
      <c r="N37" t="s">
        <v>385</v>
      </c>
      <c r="O37">
        <v>53000</v>
      </c>
      <c r="P37" t="s">
        <v>385</v>
      </c>
      <c r="Q37">
        <v>20000</v>
      </c>
      <c r="R37">
        <v>33000</v>
      </c>
      <c r="S37" s="2">
        <v>0.37735849056603782</v>
      </c>
      <c r="V37">
        <v>31700</v>
      </c>
      <c r="W37" s="2">
        <v>1.67192429022082</v>
      </c>
      <c r="AA37" t="s">
        <v>198</v>
      </c>
    </row>
    <row r="38" spans="1:27" x14ac:dyDescent="0.3">
      <c r="A38" s="3">
        <v>36</v>
      </c>
      <c r="B38">
        <v>8775</v>
      </c>
      <c r="C38" t="s">
        <v>26</v>
      </c>
      <c r="D38" t="s">
        <v>27</v>
      </c>
      <c r="E38" t="s">
        <v>30</v>
      </c>
      <c r="F38" t="s">
        <v>421</v>
      </c>
      <c r="G38" s="1" t="str">
        <f>HYPERLINK("https://new.land.naver.com/complexes/8775", "클릭")</f>
        <v>클릭</v>
      </c>
      <c r="H38">
        <v>1996</v>
      </c>
      <c r="I38">
        <v>7</v>
      </c>
      <c r="J38">
        <v>709</v>
      </c>
      <c r="K38">
        <v>49</v>
      </c>
      <c r="L38" t="s">
        <v>136</v>
      </c>
      <c r="M38" t="s">
        <v>235</v>
      </c>
      <c r="N38" t="s">
        <v>469</v>
      </c>
      <c r="O38">
        <v>53000</v>
      </c>
      <c r="P38" t="s">
        <v>469</v>
      </c>
      <c r="Q38">
        <v>27000</v>
      </c>
      <c r="R38">
        <v>26000</v>
      </c>
      <c r="S38" s="2">
        <v>0.50943396226415094</v>
      </c>
      <c r="V38">
        <v>31700</v>
      </c>
      <c r="W38" s="2">
        <v>1.67192429022082</v>
      </c>
      <c r="AA38" t="s">
        <v>198</v>
      </c>
    </row>
    <row r="39" spans="1:27" x14ac:dyDescent="0.3">
      <c r="A39" s="3">
        <v>37</v>
      </c>
      <c r="B39">
        <v>1977</v>
      </c>
      <c r="C39" t="s">
        <v>26</v>
      </c>
      <c r="D39" t="s">
        <v>27</v>
      </c>
      <c r="E39" t="s">
        <v>29</v>
      </c>
      <c r="F39" t="s">
        <v>214</v>
      </c>
      <c r="G39" s="1" t="str">
        <f>HYPERLINK("https://new.land.naver.com/complexes/1977", "클릭")</f>
        <v>클릭</v>
      </c>
      <c r="H39">
        <v>1986</v>
      </c>
      <c r="I39">
        <v>5</v>
      </c>
      <c r="J39">
        <v>220</v>
      </c>
      <c r="K39">
        <v>49</v>
      </c>
      <c r="L39" t="s">
        <v>135</v>
      </c>
      <c r="M39" t="s">
        <v>138</v>
      </c>
      <c r="N39" t="s">
        <v>469</v>
      </c>
      <c r="O39">
        <v>52000</v>
      </c>
      <c r="P39" t="s">
        <v>469</v>
      </c>
      <c r="Q39">
        <v>23200</v>
      </c>
      <c r="R39">
        <v>28800</v>
      </c>
      <c r="S39" s="2">
        <v>0.44615384615384618</v>
      </c>
      <c r="V39">
        <v>32100</v>
      </c>
      <c r="W39" s="2">
        <v>1.61993769470405</v>
      </c>
      <c r="AA39" t="s">
        <v>524</v>
      </c>
    </row>
    <row r="40" spans="1:27" x14ac:dyDescent="0.3">
      <c r="A40" s="3">
        <v>38</v>
      </c>
      <c r="B40">
        <v>3083</v>
      </c>
      <c r="C40" t="s">
        <v>26</v>
      </c>
      <c r="D40" t="s">
        <v>27</v>
      </c>
      <c r="E40" t="s">
        <v>28</v>
      </c>
      <c r="F40" t="s">
        <v>302</v>
      </c>
      <c r="G40" s="1" t="str">
        <f>HYPERLINK("https://new.land.naver.com/complexes/3083", "클릭")</f>
        <v>클릭</v>
      </c>
      <c r="H40">
        <v>2003</v>
      </c>
      <c r="I40">
        <v>4</v>
      </c>
      <c r="J40">
        <v>426</v>
      </c>
      <c r="K40">
        <v>55</v>
      </c>
      <c r="L40" t="s">
        <v>135</v>
      </c>
      <c r="M40" t="s">
        <v>138</v>
      </c>
      <c r="N40" t="s">
        <v>356</v>
      </c>
      <c r="O40">
        <v>51000</v>
      </c>
      <c r="P40" t="s">
        <v>356</v>
      </c>
      <c r="Q40">
        <v>31500</v>
      </c>
      <c r="R40">
        <v>19500</v>
      </c>
      <c r="S40" s="2">
        <v>0.61764705882352944</v>
      </c>
      <c r="AA40" t="s">
        <v>198</v>
      </c>
    </row>
    <row r="41" spans="1:27" x14ac:dyDescent="0.3">
      <c r="A41" s="3">
        <v>39</v>
      </c>
      <c r="B41">
        <v>19450</v>
      </c>
      <c r="C41" t="s">
        <v>26</v>
      </c>
      <c r="D41" t="s">
        <v>27</v>
      </c>
      <c r="E41" t="s">
        <v>29</v>
      </c>
      <c r="F41" t="s">
        <v>422</v>
      </c>
      <c r="G41" s="1" t="str">
        <f>HYPERLINK("https://new.land.naver.com/complexes/19450", "클릭")</f>
        <v>클릭</v>
      </c>
      <c r="H41">
        <v>1988</v>
      </c>
      <c r="I41">
        <v>4</v>
      </c>
      <c r="J41">
        <v>30</v>
      </c>
      <c r="K41">
        <v>52</v>
      </c>
      <c r="L41" t="s">
        <v>135</v>
      </c>
      <c r="M41" t="s">
        <v>235</v>
      </c>
      <c r="N41" t="s">
        <v>339</v>
      </c>
      <c r="O41">
        <v>50500</v>
      </c>
      <c r="P41" t="s">
        <v>339</v>
      </c>
      <c r="Q41">
        <v>20000</v>
      </c>
      <c r="R41">
        <v>30500</v>
      </c>
      <c r="S41" s="2">
        <v>0.39603960396039611</v>
      </c>
      <c r="V41">
        <v>27100</v>
      </c>
      <c r="W41" s="2">
        <v>1.8634686346863469</v>
      </c>
      <c r="AA41" t="s">
        <v>198</v>
      </c>
    </row>
    <row r="42" spans="1:27" x14ac:dyDescent="0.3">
      <c r="A42" s="3">
        <v>40</v>
      </c>
      <c r="B42">
        <v>1977</v>
      </c>
      <c r="C42" t="s">
        <v>26</v>
      </c>
      <c r="D42" t="s">
        <v>27</v>
      </c>
      <c r="E42" t="s">
        <v>29</v>
      </c>
      <c r="F42" t="s">
        <v>214</v>
      </c>
      <c r="G42" s="1" t="str">
        <f>HYPERLINK("https://new.land.naver.com/complexes/1977", "클릭")</f>
        <v>클릭</v>
      </c>
      <c r="H42">
        <v>1986</v>
      </c>
      <c r="I42">
        <v>5</v>
      </c>
      <c r="J42">
        <v>220</v>
      </c>
      <c r="K42">
        <v>41</v>
      </c>
      <c r="L42" t="s">
        <v>135</v>
      </c>
      <c r="M42" t="s">
        <v>235</v>
      </c>
      <c r="N42" t="s">
        <v>470</v>
      </c>
      <c r="O42">
        <v>50000</v>
      </c>
      <c r="P42" t="s">
        <v>470</v>
      </c>
      <c r="Q42">
        <v>19000</v>
      </c>
      <c r="R42">
        <v>31000</v>
      </c>
      <c r="S42" s="2">
        <v>0.38</v>
      </c>
      <c r="V42">
        <v>28000</v>
      </c>
      <c r="W42" s="2">
        <v>1.785714285714286</v>
      </c>
      <c r="AA42" t="s">
        <v>198</v>
      </c>
    </row>
    <row r="43" spans="1:27" x14ac:dyDescent="0.3">
      <c r="A43" s="3">
        <v>41</v>
      </c>
      <c r="B43">
        <v>1977</v>
      </c>
      <c r="C43" t="s">
        <v>26</v>
      </c>
      <c r="D43" t="s">
        <v>27</v>
      </c>
      <c r="E43" t="s">
        <v>29</v>
      </c>
      <c r="F43" t="s">
        <v>214</v>
      </c>
      <c r="G43" s="1" t="str">
        <f>HYPERLINK("https://new.land.naver.com/complexes/1977", "클릭")</f>
        <v>클릭</v>
      </c>
      <c r="H43">
        <v>1986</v>
      </c>
      <c r="I43">
        <v>5</v>
      </c>
      <c r="J43">
        <v>220</v>
      </c>
      <c r="K43">
        <v>43</v>
      </c>
      <c r="L43" t="s">
        <v>135</v>
      </c>
      <c r="M43" t="s">
        <v>235</v>
      </c>
      <c r="N43" t="s">
        <v>471</v>
      </c>
      <c r="O43">
        <v>50000</v>
      </c>
      <c r="P43" t="s">
        <v>471</v>
      </c>
      <c r="Q43">
        <v>16000</v>
      </c>
      <c r="R43">
        <v>34000</v>
      </c>
      <c r="S43" s="2">
        <v>0.32</v>
      </c>
      <c r="V43">
        <v>28800</v>
      </c>
      <c r="W43" s="2">
        <v>1.7361111111111109</v>
      </c>
      <c r="AA43" t="s">
        <v>287</v>
      </c>
    </row>
    <row r="44" spans="1:27" x14ac:dyDescent="0.3">
      <c r="A44" s="3">
        <v>42</v>
      </c>
      <c r="B44">
        <v>141825</v>
      </c>
      <c r="C44" t="s">
        <v>26</v>
      </c>
      <c r="D44" t="s">
        <v>27</v>
      </c>
      <c r="E44" t="s">
        <v>31</v>
      </c>
      <c r="F44" t="s">
        <v>296</v>
      </c>
      <c r="G44" s="1" t="str">
        <f>HYPERLINK("https://new.land.naver.com/complexes/141825", "클릭")</f>
        <v>클릭</v>
      </c>
      <c r="H44">
        <v>2023</v>
      </c>
      <c r="I44">
        <v>5</v>
      </c>
      <c r="J44">
        <v>230</v>
      </c>
      <c r="K44">
        <v>48</v>
      </c>
      <c r="L44" t="s">
        <v>135</v>
      </c>
      <c r="M44" t="s">
        <v>235</v>
      </c>
      <c r="N44" t="s">
        <v>466</v>
      </c>
      <c r="O44">
        <v>50000</v>
      </c>
      <c r="P44" t="s">
        <v>466</v>
      </c>
      <c r="Q44">
        <v>35000</v>
      </c>
      <c r="R44">
        <v>15000</v>
      </c>
      <c r="S44" s="2">
        <v>0.7</v>
      </c>
      <c r="AA44" t="s">
        <v>198</v>
      </c>
    </row>
    <row r="45" spans="1:27" x14ac:dyDescent="0.3">
      <c r="A45" s="3">
        <v>43</v>
      </c>
      <c r="B45">
        <v>12122</v>
      </c>
      <c r="C45" t="s">
        <v>26</v>
      </c>
      <c r="D45" t="s">
        <v>27</v>
      </c>
      <c r="E45" t="s">
        <v>31</v>
      </c>
      <c r="F45" t="s">
        <v>420</v>
      </c>
      <c r="G45" s="1" t="str">
        <f>HYPERLINK("https://new.land.naver.com/complexes/12122", "클릭")</f>
        <v>클릭</v>
      </c>
      <c r="H45">
        <v>1988</v>
      </c>
      <c r="I45">
        <v>10</v>
      </c>
      <c r="J45">
        <v>48</v>
      </c>
      <c r="K45">
        <v>41</v>
      </c>
      <c r="L45" t="s">
        <v>135</v>
      </c>
      <c r="M45" t="s">
        <v>235</v>
      </c>
      <c r="N45" t="s">
        <v>472</v>
      </c>
      <c r="O45">
        <v>50000</v>
      </c>
      <c r="P45" t="s">
        <v>472</v>
      </c>
      <c r="Q45">
        <v>9500</v>
      </c>
      <c r="R45">
        <v>40500</v>
      </c>
      <c r="S45" s="2">
        <v>0.19</v>
      </c>
      <c r="V45">
        <v>23700</v>
      </c>
      <c r="W45" s="2">
        <v>2.109704641350211</v>
      </c>
      <c r="AA45" t="s">
        <v>198</v>
      </c>
    </row>
    <row r="46" spans="1:27" x14ac:dyDescent="0.3">
      <c r="A46" s="3">
        <v>44</v>
      </c>
      <c r="B46">
        <v>1988</v>
      </c>
      <c r="C46" t="s">
        <v>26</v>
      </c>
      <c r="D46" t="s">
        <v>27</v>
      </c>
      <c r="E46" t="s">
        <v>31</v>
      </c>
      <c r="F46" t="s">
        <v>416</v>
      </c>
      <c r="G46" s="1" t="str">
        <f>HYPERLINK("https://new.land.naver.com/complexes/1988", "클릭")</f>
        <v>클릭</v>
      </c>
      <c r="H46">
        <v>1988</v>
      </c>
      <c r="I46">
        <v>11</v>
      </c>
      <c r="J46">
        <v>80</v>
      </c>
      <c r="K46">
        <v>37</v>
      </c>
      <c r="L46" t="s">
        <v>135</v>
      </c>
      <c r="M46" t="s">
        <v>235</v>
      </c>
      <c r="N46" t="s">
        <v>473</v>
      </c>
      <c r="O46">
        <v>50000</v>
      </c>
      <c r="P46" t="s">
        <v>473</v>
      </c>
      <c r="Q46">
        <v>15000</v>
      </c>
      <c r="R46">
        <v>35000</v>
      </c>
      <c r="S46" s="2">
        <v>0.3</v>
      </c>
      <c r="V46">
        <v>26100</v>
      </c>
      <c r="W46" s="2">
        <v>1.9157088122605359</v>
      </c>
      <c r="AA46" t="s">
        <v>288</v>
      </c>
    </row>
    <row r="47" spans="1:27" x14ac:dyDescent="0.3">
      <c r="A47" s="3">
        <v>45</v>
      </c>
      <c r="B47">
        <v>126337</v>
      </c>
      <c r="C47" t="s">
        <v>26</v>
      </c>
      <c r="D47" t="s">
        <v>27</v>
      </c>
      <c r="E47" t="s">
        <v>31</v>
      </c>
      <c r="F47" t="s">
        <v>217</v>
      </c>
      <c r="G47" s="1" t="str">
        <f>HYPERLINK("https://new.land.naver.com/complexes/126337", "클릭")</f>
        <v>클릭</v>
      </c>
      <c r="H47">
        <v>2021</v>
      </c>
      <c r="I47">
        <v>11</v>
      </c>
      <c r="J47">
        <v>304</v>
      </c>
      <c r="K47">
        <v>47</v>
      </c>
      <c r="L47" t="s">
        <v>135</v>
      </c>
      <c r="M47" t="s">
        <v>235</v>
      </c>
      <c r="N47" t="s">
        <v>238</v>
      </c>
      <c r="O47">
        <v>50000</v>
      </c>
      <c r="P47" t="s">
        <v>238</v>
      </c>
      <c r="Q47">
        <v>36000</v>
      </c>
      <c r="R47">
        <v>14000</v>
      </c>
      <c r="S47" s="2">
        <v>0.72</v>
      </c>
      <c r="AA47" t="s">
        <v>198</v>
      </c>
    </row>
    <row r="48" spans="1:27" x14ac:dyDescent="0.3">
      <c r="A48" s="3">
        <v>46</v>
      </c>
      <c r="B48">
        <v>154917</v>
      </c>
      <c r="C48" t="s">
        <v>26</v>
      </c>
      <c r="D48" t="s">
        <v>27</v>
      </c>
      <c r="E48" t="s">
        <v>28</v>
      </c>
      <c r="F48" t="s">
        <v>32</v>
      </c>
      <c r="G48" s="1" t="str">
        <f>HYPERLINK("https://new.land.naver.com/complexes/154917", "클릭")</f>
        <v>클릭</v>
      </c>
      <c r="H48">
        <v>2023</v>
      </c>
      <c r="I48">
        <v>11</v>
      </c>
      <c r="J48">
        <v>2886</v>
      </c>
      <c r="K48">
        <v>36</v>
      </c>
      <c r="L48" t="s">
        <v>135</v>
      </c>
      <c r="M48" t="s">
        <v>236</v>
      </c>
      <c r="N48" t="s">
        <v>474</v>
      </c>
      <c r="O48">
        <v>49500</v>
      </c>
      <c r="P48" t="s">
        <v>474</v>
      </c>
      <c r="Q48">
        <v>25000</v>
      </c>
      <c r="R48">
        <v>24500</v>
      </c>
      <c r="S48" s="2">
        <v>0.50505050505050508</v>
      </c>
      <c r="AA48" t="s">
        <v>198</v>
      </c>
    </row>
    <row r="49" spans="1:27" x14ac:dyDescent="0.3">
      <c r="A49" s="3">
        <v>47</v>
      </c>
      <c r="B49">
        <v>16152</v>
      </c>
      <c r="C49" t="s">
        <v>26</v>
      </c>
      <c r="D49" t="s">
        <v>27</v>
      </c>
      <c r="E49" t="s">
        <v>29</v>
      </c>
      <c r="F49" t="s">
        <v>423</v>
      </c>
      <c r="G49" s="1" t="str">
        <f>HYPERLINK("https://new.land.naver.com/complexes/16152", "클릭")</f>
        <v>클릭</v>
      </c>
      <c r="H49">
        <v>1982</v>
      </c>
      <c r="I49">
        <v>8</v>
      </c>
      <c r="J49">
        <v>40</v>
      </c>
      <c r="K49">
        <v>43</v>
      </c>
      <c r="L49" t="s">
        <v>135</v>
      </c>
      <c r="M49" t="s">
        <v>235</v>
      </c>
      <c r="N49" t="s">
        <v>475</v>
      </c>
      <c r="O49">
        <v>49000</v>
      </c>
      <c r="P49" t="s">
        <v>475</v>
      </c>
      <c r="Q49">
        <v>17000</v>
      </c>
      <c r="R49">
        <v>32000</v>
      </c>
      <c r="S49" s="2">
        <v>0.34693877551020408</v>
      </c>
      <c r="V49">
        <v>23200</v>
      </c>
      <c r="W49" s="2">
        <v>2.112068965517242</v>
      </c>
      <c r="AA49" t="s">
        <v>198</v>
      </c>
    </row>
    <row r="50" spans="1:27" x14ac:dyDescent="0.3">
      <c r="A50" s="3">
        <v>48</v>
      </c>
      <c r="B50">
        <v>123203</v>
      </c>
      <c r="C50" t="s">
        <v>26</v>
      </c>
      <c r="D50" t="s">
        <v>27</v>
      </c>
      <c r="E50" t="s">
        <v>29</v>
      </c>
      <c r="F50" t="s">
        <v>306</v>
      </c>
      <c r="G50" s="1" t="str">
        <f>HYPERLINK("https://new.land.naver.com/complexes/123203", "클릭")</f>
        <v>클릭</v>
      </c>
      <c r="H50">
        <v>2018</v>
      </c>
      <c r="I50">
        <v>12</v>
      </c>
      <c r="J50">
        <v>9</v>
      </c>
      <c r="K50">
        <v>42</v>
      </c>
      <c r="L50" t="s">
        <v>135</v>
      </c>
      <c r="M50" t="s">
        <v>235</v>
      </c>
      <c r="N50" t="s">
        <v>476</v>
      </c>
      <c r="O50">
        <v>49000</v>
      </c>
      <c r="P50" t="s">
        <v>476</v>
      </c>
      <c r="Q50">
        <v>30000</v>
      </c>
      <c r="R50">
        <v>19000</v>
      </c>
      <c r="S50" s="2">
        <v>0.61224489795918369</v>
      </c>
      <c r="AA50" t="s">
        <v>387</v>
      </c>
    </row>
    <row r="51" spans="1:27" x14ac:dyDescent="0.3">
      <c r="A51" s="3">
        <v>49</v>
      </c>
      <c r="B51">
        <v>3286</v>
      </c>
      <c r="C51" t="s">
        <v>26</v>
      </c>
      <c r="D51" t="s">
        <v>27</v>
      </c>
      <c r="E51" t="s">
        <v>29</v>
      </c>
      <c r="F51" t="s">
        <v>424</v>
      </c>
      <c r="G51" s="1" t="str">
        <f>HYPERLINK("https://new.land.naver.com/complexes/3286", "클릭")</f>
        <v>클릭</v>
      </c>
      <c r="H51">
        <v>1996</v>
      </c>
      <c r="I51">
        <v>11</v>
      </c>
      <c r="J51">
        <v>1292</v>
      </c>
      <c r="K51">
        <v>51</v>
      </c>
      <c r="L51" t="s">
        <v>136</v>
      </c>
      <c r="M51" t="s">
        <v>235</v>
      </c>
      <c r="N51" t="s">
        <v>461</v>
      </c>
      <c r="O51">
        <v>47500</v>
      </c>
      <c r="P51" t="s">
        <v>461</v>
      </c>
      <c r="Q51">
        <v>25000</v>
      </c>
      <c r="R51">
        <v>22500</v>
      </c>
      <c r="S51" s="2">
        <v>0.52631578947368418</v>
      </c>
      <c r="V51">
        <v>32600</v>
      </c>
      <c r="W51" s="2">
        <v>1.457055214723926</v>
      </c>
      <c r="AA51" t="s">
        <v>198</v>
      </c>
    </row>
    <row r="52" spans="1:27" x14ac:dyDescent="0.3">
      <c r="A52" s="3">
        <v>50</v>
      </c>
      <c r="B52">
        <v>1463</v>
      </c>
      <c r="C52" t="s">
        <v>26</v>
      </c>
      <c r="D52" t="s">
        <v>27</v>
      </c>
      <c r="E52" t="s">
        <v>29</v>
      </c>
      <c r="F52" t="s">
        <v>304</v>
      </c>
      <c r="G52" s="1" t="str">
        <f>HYPERLINK("https://new.land.naver.com/complexes/1463", "클릭")</f>
        <v>클릭</v>
      </c>
      <c r="H52">
        <v>1993</v>
      </c>
      <c r="I52">
        <v>3</v>
      </c>
      <c r="J52">
        <v>1710</v>
      </c>
      <c r="K52">
        <v>50</v>
      </c>
      <c r="L52" t="s">
        <v>136</v>
      </c>
      <c r="M52" t="s">
        <v>138</v>
      </c>
      <c r="N52" t="s">
        <v>339</v>
      </c>
      <c r="O52">
        <v>47000</v>
      </c>
      <c r="P52" t="s">
        <v>339</v>
      </c>
      <c r="Q52">
        <v>25000</v>
      </c>
      <c r="R52">
        <v>22000</v>
      </c>
      <c r="S52" s="2">
        <v>0.53191489361702127</v>
      </c>
      <c r="V52">
        <v>30600</v>
      </c>
      <c r="W52" s="2">
        <v>1.535947712418301</v>
      </c>
      <c r="AA52" t="s">
        <v>198</v>
      </c>
    </row>
    <row r="53" spans="1:27" x14ac:dyDescent="0.3">
      <c r="A53" s="3">
        <v>51</v>
      </c>
      <c r="B53">
        <v>1470</v>
      </c>
      <c r="C53" t="s">
        <v>26</v>
      </c>
      <c r="D53" t="s">
        <v>27</v>
      </c>
      <c r="E53" t="s">
        <v>28</v>
      </c>
      <c r="F53" t="s">
        <v>85</v>
      </c>
      <c r="G53" s="1" t="str">
        <f>HYPERLINK("https://new.land.naver.com/complexes/1470", "클릭")</f>
        <v>클릭</v>
      </c>
      <c r="H53">
        <v>1992</v>
      </c>
      <c r="I53">
        <v>9</v>
      </c>
      <c r="J53">
        <v>468</v>
      </c>
      <c r="K53">
        <v>53</v>
      </c>
      <c r="L53" t="s">
        <v>136</v>
      </c>
      <c r="M53" t="s">
        <v>235</v>
      </c>
      <c r="N53" t="s">
        <v>461</v>
      </c>
      <c r="O53">
        <v>47000</v>
      </c>
      <c r="P53" t="s">
        <v>461</v>
      </c>
      <c r="Q53">
        <v>25000</v>
      </c>
      <c r="R53">
        <v>22000</v>
      </c>
      <c r="S53" s="2">
        <v>0.53191489361702127</v>
      </c>
      <c r="V53">
        <v>27400</v>
      </c>
      <c r="W53" s="2">
        <v>1.7153284671532849</v>
      </c>
      <c r="AA53" t="s">
        <v>198</v>
      </c>
    </row>
    <row r="54" spans="1:27" x14ac:dyDescent="0.3">
      <c r="A54" s="3">
        <v>52</v>
      </c>
      <c r="B54">
        <v>1473</v>
      </c>
      <c r="C54" t="s">
        <v>26</v>
      </c>
      <c r="D54" t="s">
        <v>27</v>
      </c>
      <c r="E54" t="s">
        <v>28</v>
      </c>
      <c r="F54" t="s">
        <v>73</v>
      </c>
      <c r="G54" s="1" t="str">
        <f>HYPERLINK("https://new.land.naver.com/complexes/1473", "클릭")</f>
        <v>클릭</v>
      </c>
      <c r="H54">
        <v>1992</v>
      </c>
      <c r="I54">
        <v>9</v>
      </c>
      <c r="J54">
        <v>321</v>
      </c>
      <c r="K54">
        <v>56</v>
      </c>
      <c r="L54" t="s">
        <v>136</v>
      </c>
      <c r="M54" t="s">
        <v>235</v>
      </c>
      <c r="N54" t="s">
        <v>248</v>
      </c>
      <c r="O54">
        <v>47000</v>
      </c>
      <c r="P54" t="s">
        <v>248</v>
      </c>
      <c r="Q54">
        <v>28000</v>
      </c>
      <c r="R54">
        <v>19000</v>
      </c>
      <c r="S54" s="2">
        <v>0.5957446808510638</v>
      </c>
      <c r="V54">
        <v>28700</v>
      </c>
      <c r="W54" s="2">
        <v>1.637630662020906</v>
      </c>
      <c r="AA54" t="s">
        <v>198</v>
      </c>
    </row>
    <row r="55" spans="1:27" x14ac:dyDescent="0.3">
      <c r="A55" s="3">
        <v>53</v>
      </c>
      <c r="B55">
        <v>3023</v>
      </c>
      <c r="C55" t="s">
        <v>26</v>
      </c>
      <c r="D55" t="s">
        <v>27</v>
      </c>
      <c r="E55" t="s">
        <v>28</v>
      </c>
      <c r="F55" t="s">
        <v>212</v>
      </c>
      <c r="G55" s="1" t="str">
        <f>HYPERLINK("https://new.land.naver.com/complexes/3023", "클릭")</f>
        <v>클릭</v>
      </c>
      <c r="H55">
        <v>1993</v>
      </c>
      <c r="I55">
        <v>3</v>
      </c>
      <c r="J55">
        <v>683</v>
      </c>
      <c r="K55">
        <v>41</v>
      </c>
      <c r="L55" t="s">
        <v>136</v>
      </c>
      <c r="M55" t="s">
        <v>236</v>
      </c>
      <c r="N55" t="s">
        <v>477</v>
      </c>
      <c r="O55">
        <v>47000</v>
      </c>
      <c r="P55" t="s">
        <v>477</v>
      </c>
      <c r="Q55">
        <v>22000</v>
      </c>
      <c r="R55">
        <v>25000</v>
      </c>
      <c r="S55" s="2">
        <v>0.46808510638297868</v>
      </c>
      <c r="V55">
        <v>28100</v>
      </c>
      <c r="W55" s="2">
        <v>1.672597864768683</v>
      </c>
      <c r="AA55" t="s">
        <v>198</v>
      </c>
    </row>
    <row r="56" spans="1:27" x14ac:dyDescent="0.3">
      <c r="A56" s="3">
        <v>54</v>
      </c>
      <c r="B56">
        <v>3286</v>
      </c>
      <c r="C56" t="s">
        <v>26</v>
      </c>
      <c r="D56" t="s">
        <v>27</v>
      </c>
      <c r="E56" t="s">
        <v>29</v>
      </c>
      <c r="F56" t="s">
        <v>424</v>
      </c>
      <c r="G56" s="1" t="str">
        <f>HYPERLINK("https://new.land.naver.com/complexes/3286", "클릭")</f>
        <v>클릭</v>
      </c>
      <c r="H56">
        <v>1996</v>
      </c>
      <c r="I56">
        <v>11</v>
      </c>
      <c r="J56">
        <v>1292</v>
      </c>
      <c r="K56">
        <v>49</v>
      </c>
      <c r="L56" t="s">
        <v>136</v>
      </c>
      <c r="M56" t="s">
        <v>235</v>
      </c>
      <c r="N56" t="s">
        <v>469</v>
      </c>
      <c r="O56">
        <v>47000</v>
      </c>
      <c r="P56" t="s">
        <v>469</v>
      </c>
      <c r="Q56">
        <v>27000</v>
      </c>
      <c r="R56">
        <v>20000</v>
      </c>
      <c r="S56" s="2">
        <v>0.57446808510638303</v>
      </c>
      <c r="V56">
        <v>30700</v>
      </c>
      <c r="W56" s="2">
        <v>1.5309446254071659</v>
      </c>
      <c r="AA56" t="s">
        <v>198</v>
      </c>
    </row>
    <row r="57" spans="1:27" x14ac:dyDescent="0.3">
      <c r="A57" s="3">
        <v>55</v>
      </c>
      <c r="B57">
        <v>123900</v>
      </c>
      <c r="C57" t="s">
        <v>26</v>
      </c>
      <c r="D57" t="s">
        <v>27</v>
      </c>
      <c r="E57" t="s">
        <v>28</v>
      </c>
      <c r="F57" t="s">
        <v>69</v>
      </c>
      <c r="G57" s="1" t="str">
        <f>HYPERLINK("https://new.land.naver.com/complexes/123900", "클릭")</f>
        <v>클릭</v>
      </c>
      <c r="H57">
        <v>2022</v>
      </c>
      <c r="I57">
        <v>5</v>
      </c>
      <c r="J57">
        <v>855</v>
      </c>
      <c r="K57">
        <v>43</v>
      </c>
      <c r="L57" t="s">
        <v>135</v>
      </c>
      <c r="M57" t="s">
        <v>235</v>
      </c>
      <c r="N57" t="s">
        <v>352</v>
      </c>
      <c r="O57">
        <v>47000</v>
      </c>
      <c r="P57" t="s">
        <v>352</v>
      </c>
      <c r="Q57">
        <v>30000</v>
      </c>
      <c r="R57">
        <v>17000</v>
      </c>
      <c r="S57" s="2">
        <v>0.63829787234042556</v>
      </c>
      <c r="V57">
        <v>25400</v>
      </c>
      <c r="W57" s="2">
        <v>1.8503937007874021</v>
      </c>
      <c r="AA57" t="s">
        <v>198</v>
      </c>
    </row>
    <row r="58" spans="1:27" x14ac:dyDescent="0.3">
      <c r="A58" s="3">
        <v>56</v>
      </c>
      <c r="B58">
        <v>1460</v>
      </c>
      <c r="C58" t="s">
        <v>26</v>
      </c>
      <c r="D58" t="s">
        <v>27</v>
      </c>
      <c r="E58" t="s">
        <v>29</v>
      </c>
      <c r="F58" t="s">
        <v>425</v>
      </c>
      <c r="G58" s="1" t="str">
        <f>HYPERLINK("https://new.land.naver.com/complexes/1460", "클릭")</f>
        <v>클릭</v>
      </c>
      <c r="H58">
        <v>1993</v>
      </c>
      <c r="I58">
        <v>6</v>
      </c>
      <c r="J58">
        <v>766</v>
      </c>
      <c r="K58">
        <v>49</v>
      </c>
      <c r="L58" t="s">
        <v>136</v>
      </c>
      <c r="M58" t="s">
        <v>138</v>
      </c>
      <c r="N58" t="s">
        <v>466</v>
      </c>
      <c r="O58">
        <v>45000</v>
      </c>
      <c r="P58" t="s">
        <v>466</v>
      </c>
      <c r="Q58">
        <v>22000</v>
      </c>
      <c r="R58">
        <v>23000</v>
      </c>
      <c r="S58" s="2">
        <v>0.48888888888888887</v>
      </c>
      <c r="V58">
        <v>30300</v>
      </c>
      <c r="W58" s="2">
        <v>1.4851485148514849</v>
      </c>
      <c r="AA58" t="s">
        <v>198</v>
      </c>
    </row>
    <row r="59" spans="1:27" x14ac:dyDescent="0.3">
      <c r="A59" s="3">
        <v>57</v>
      </c>
      <c r="B59">
        <v>3022</v>
      </c>
      <c r="C59" t="s">
        <v>26</v>
      </c>
      <c r="D59" t="s">
        <v>27</v>
      </c>
      <c r="E59" t="s">
        <v>28</v>
      </c>
      <c r="F59" t="s">
        <v>419</v>
      </c>
      <c r="G59" s="1" t="str">
        <f>HYPERLINK("https://new.land.naver.com/complexes/3022", "클릭")</f>
        <v>클릭</v>
      </c>
      <c r="H59">
        <v>1992</v>
      </c>
      <c r="I59">
        <v>7</v>
      </c>
      <c r="J59">
        <v>902</v>
      </c>
      <c r="K59">
        <v>41</v>
      </c>
      <c r="L59" t="s">
        <v>136</v>
      </c>
      <c r="M59" t="s">
        <v>236</v>
      </c>
      <c r="N59" t="s">
        <v>474</v>
      </c>
      <c r="O59">
        <v>45000</v>
      </c>
      <c r="P59" t="s">
        <v>474</v>
      </c>
      <c r="Q59">
        <v>22000</v>
      </c>
      <c r="R59">
        <v>23000</v>
      </c>
      <c r="S59" s="2">
        <v>0.48888888888888887</v>
      </c>
      <c r="V59">
        <v>29900</v>
      </c>
      <c r="W59" s="2">
        <v>1.5050167224080271</v>
      </c>
      <c r="AA59" t="s">
        <v>198</v>
      </c>
    </row>
    <row r="60" spans="1:27" x14ac:dyDescent="0.3">
      <c r="A60" s="3">
        <v>58</v>
      </c>
      <c r="B60">
        <v>11244</v>
      </c>
      <c r="C60" t="s">
        <v>26</v>
      </c>
      <c r="D60" t="s">
        <v>27</v>
      </c>
      <c r="E60" t="s">
        <v>29</v>
      </c>
      <c r="F60" t="s">
        <v>426</v>
      </c>
      <c r="G60" s="1" t="str">
        <f>HYPERLINK("https://new.land.naver.com/complexes/11244", "클릭")</f>
        <v>클릭</v>
      </c>
      <c r="H60">
        <v>1988</v>
      </c>
      <c r="I60">
        <v>5</v>
      </c>
      <c r="J60">
        <v>30</v>
      </c>
      <c r="K60">
        <v>51</v>
      </c>
      <c r="L60" t="s">
        <v>135</v>
      </c>
      <c r="M60" t="s">
        <v>138</v>
      </c>
      <c r="N60" t="s">
        <v>339</v>
      </c>
      <c r="O60">
        <v>45000</v>
      </c>
      <c r="P60" t="s">
        <v>339</v>
      </c>
      <c r="Q60">
        <v>20000</v>
      </c>
      <c r="R60">
        <v>25000</v>
      </c>
      <c r="S60" s="2">
        <v>0.44444444444444442</v>
      </c>
      <c r="V60">
        <v>22600</v>
      </c>
      <c r="W60" s="2">
        <v>1.9911504424778761</v>
      </c>
      <c r="AA60" t="s">
        <v>205</v>
      </c>
    </row>
    <row r="61" spans="1:27" x14ac:dyDescent="0.3">
      <c r="A61" s="3">
        <v>59</v>
      </c>
      <c r="B61">
        <v>115703</v>
      </c>
      <c r="C61" t="s">
        <v>26</v>
      </c>
      <c r="D61" t="s">
        <v>27</v>
      </c>
      <c r="E61" t="s">
        <v>28</v>
      </c>
      <c r="F61" t="s">
        <v>221</v>
      </c>
      <c r="G61" s="1" t="str">
        <f>HYPERLINK("https://new.land.naver.com/complexes/115703", "클릭")</f>
        <v>클릭</v>
      </c>
      <c r="H61">
        <v>2019</v>
      </c>
      <c r="I61">
        <v>4</v>
      </c>
      <c r="J61">
        <v>203</v>
      </c>
      <c r="K61">
        <v>45</v>
      </c>
      <c r="L61" t="s">
        <v>135</v>
      </c>
      <c r="M61" t="s">
        <v>235</v>
      </c>
      <c r="N61" t="s">
        <v>478</v>
      </c>
      <c r="O61">
        <v>45000</v>
      </c>
      <c r="P61" t="s">
        <v>478</v>
      </c>
      <c r="Q61">
        <v>30000</v>
      </c>
      <c r="R61">
        <v>15000</v>
      </c>
      <c r="S61" s="2">
        <v>0.66666666666666663</v>
      </c>
      <c r="V61">
        <v>27500</v>
      </c>
      <c r="W61" s="2">
        <v>1.636363636363636</v>
      </c>
      <c r="AA61" t="s">
        <v>198</v>
      </c>
    </row>
    <row r="62" spans="1:27" x14ac:dyDescent="0.3">
      <c r="A62" s="3">
        <v>60</v>
      </c>
      <c r="B62">
        <v>24277</v>
      </c>
      <c r="C62" t="s">
        <v>26</v>
      </c>
      <c r="D62" t="s">
        <v>27</v>
      </c>
      <c r="E62" t="s">
        <v>29</v>
      </c>
      <c r="F62" t="s">
        <v>427</v>
      </c>
      <c r="G62" s="1" t="str">
        <f>HYPERLINK("https://new.land.naver.com/complexes/24277", "클릭")</f>
        <v>클릭</v>
      </c>
      <c r="H62">
        <v>1988</v>
      </c>
      <c r="I62">
        <v>1</v>
      </c>
      <c r="J62">
        <v>55</v>
      </c>
      <c r="K62">
        <v>54</v>
      </c>
      <c r="L62" t="s">
        <v>135</v>
      </c>
      <c r="M62" t="s">
        <v>138</v>
      </c>
      <c r="N62" t="s">
        <v>463</v>
      </c>
      <c r="O62">
        <v>45000</v>
      </c>
      <c r="V62">
        <v>22200</v>
      </c>
      <c r="W62" s="2">
        <v>2.0270270270270272</v>
      </c>
      <c r="AA62" t="s">
        <v>198</v>
      </c>
    </row>
    <row r="63" spans="1:27" x14ac:dyDescent="0.3">
      <c r="A63" s="3">
        <v>61</v>
      </c>
      <c r="B63">
        <v>132626</v>
      </c>
      <c r="C63" t="s">
        <v>26</v>
      </c>
      <c r="D63" t="s">
        <v>27</v>
      </c>
      <c r="E63" t="s">
        <v>29</v>
      </c>
      <c r="F63" t="s">
        <v>418</v>
      </c>
      <c r="G63" s="1" t="str">
        <f>HYPERLINK("https://new.land.naver.com/complexes/132626", "클릭")</f>
        <v>클릭</v>
      </c>
      <c r="H63">
        <v>2020</v>
      </c>
      <c r="I63">
        <v>6</v>
      </c>
      <c r="J63">
        <v>9</v>
      </c>
      <c r="K63">
        <v>52</v>
      </c>
      <c r="N63" t="s">
        <v>475</v>
      </c>
      <c r="O63">
        <v>45000</v>
      </c>
      <c r="AA63" t="s">
        <v>525</v>
      </c>
    </row>
    <row r="64" spans="1:27" x14ac:dyDescent="0.3">
      <c r="A64" s="3">
        <v>62</v>
      </c>
      <c r="B64">
        <v>1974</v>
      </c>
      <c r="C64" t="s">
        <v>26</v>
      </c>
      <c r="D64" t="s">
        <v>27</v>
      </c>
      <c r="E64" t="s">
        <v>29</v>
      </c>
      <c r="F64" t="s">
        <v>428</v>
      </c>
      <c r="G64" s="1" t="str">
        <f>HYPERLINK("https://new.land.naver.com/complexes/1974", "클릭")</f>
        <v>클릭</v>
      </c>
      <c r="H64">
        <v>1984</v>
      </c>
      <c r="I64">
        <v>1</v>
      </c>
      <c r="J64">
        <v>70</v>
      </c>
      <c r="K64">
        <v>52</v>
      </c>
      <c r="L64" t="s">
        <v>135</v>
      </c>
      <c r="M64" t="s">
        <v>138</v>
      </c>
      <c r="N64" t="s">
        <v>278</v>
      </c>
      <c r="O64">
        <v>44000</v>
      </c>
      <c r="P64" t="s">
        <v>278</v>
      </c>
      <c r="Q64">
        <v>19000</v>
      </c>
      <c r="R64">
        <v>25000</v>
      </c>
      <c r="S64" s="2">
        <v>0.43181818181818182</v>
      </c>
      <c r="V64">
        <v>24800</v>
      </c>
      <c r="W64" s="2">
        <v>1.774193548387097</v>
      </c>
      <c r="AA64" t="s">
        <v>205</v>
      </c>
    </row>
    <row r="65" spans="1:27" x14ac:dyDescent="0.3">
      <c r="A65" s="3">
        <v>63</v>
      </c>
      <c r="B65">
        <v>1992</v>
      </c>
      <c r="C65" t="s">
        <v>26</v>
      </c>
      <c r="D65" t="s">
        <v>27</v>
      </c>
      <c r="E65" t="s">
        <v>31</v>
      </c>
      <c r="F65" t="s">
        <v>220</v>
      </c>
      <c r="G65" s="1" t="str">
        <f>HYPERLINK("https://new.land.naver.com/complexes/1992", "클릭")</f>
        <v>클릭</v>
      </c>
      <c r="H65">
        <v>1993</v>
      </c>
      <c r="I65">
        <v>11</v>
      </c>
      <c r="J65">
        <v>3227</v>
      </c>
      <c r="K65">
        <v>42</v>
      </c>
      <c r="L65" t="s">
        <v>136</v>
      </c>
      <c r="M65" t="s">
        <v>235</v>
      </c>
      <c r="N65" t="s">
        <v>479</v>
      </c>
      <c r="O65">
        <v>43000</v>
      </c>
      <c r="P65" t="s">
        <v>479</v>
      </c>
      <c r="Q65">
        <v>20000</v>
      </c>
      <c r="R65">
        <v>23000</v>
      </c>
      <c r="S65" s="2">
        <v>0.46511627906976738</v>
      </c>
      <c r="V65">
        <v>27000</v>
      </c>
      <c r="W65" s="2">
        <v>1.592592592592593</v>
      </c>
      <c r="AA65" t="s">
        <v>198</v>
      </c>
    </row>
    <row r="66" spans="1:27" x14ac:dyDescent="0.3">
      <c r="A66" s="3">
        <v>64</v>
      </c>
      <c r="B66">
        <v>10801</v>
      </c>
      <c r="C66" t="s">
        <v>26</v>
      </c>
      <c r="D66" t="s">
        <v>27</v>
      </c>
      <c r="E66" t="s">
        <v>28</v>
      </c>
      <c r="F66" t="s">
        <v>429</v>
      </c>
      <c r="G66" s="1" t="str">
        <f>HYPERLINK("https://new.land.naver.com/complexes/10801", "클릭")</f>
        <v>클릭</v>
      </c>
      <c r="H66">
        <v>1980</v>
      </c>
      <c r="I66">
        <v>10</v>
      </c>
      <c r="J66">
        <v>44</v>
      </c>
      <c r="K66">
        <v>46</v>
      </c>
      <c r="L66" t="s">
        <v>135</v>
      </c>
      <c r="M66" t="s">
        <v>235</v>
      </c>
      <c r="N66" t="s">
        <v>480</v>
      </c>
      <c r="O66">
        <v>43000</v>
      </c>
      <c r="P66" t="s">
        <v>480</v>
      </c>
      <c r="Q66">
        <v>15000</v>
      </c>
      <c r="R66">
        <v>28000</v>
      </c>
      <c r="S66" s="2">
        <v>0.34883720930232559</v>
      </c>
      <c r="V66">
        <v>13700</v>
      </c>
      <c r="W66" s="2">
        <v>3.1386861313868608</v>
      </c>
      <c r="AA66" t="s">
        <v>198</v>
      </c>
    </row>
    <row r="67" spans="1:27" x14ac:dyDescent="0.3">
      <c r="A67" s="3">
        <v>65</v>
      </c>
      <c r="B67">
        <v>1985</v>
      </c>
      <c r="C67" t="s">
        <v>26</v>
      </c>
      <c r="D67" t="s">
        <v>27</v>
      </c>
      <c r="E67" t="s">
        <v>31</v>
      </c>
      <c r="F67" t="s">
        <v>430</v>
      </c>
      <c r="G67" s="1" t="str">
        <f>HYPERLINK("https://new.land.naver.com/complexes/1985", "클릭")</f>
        <v>클릭</v>
      </c>
      <c r="H67">
        <v>1993</v>
      </c>
      <c r="I67">
        <v>7</v>
      </c>
      <c r="J67">
        <v>790</v>
      </c>
      <c r="K67">
        <v>49</v>
      </c>
      <c r="L67" t="s">
        <v>136</v>
      </c>
      <c r="M67" t="s">
        <v>235</v>
      </c>
      <c r="N67" t="s">
        <v>385</v>
      </c>
      <c r="O67">
        <v>43000</v>
      </c>
      <c r="P67" t="s">
        <v>385</v>
      </c>
      <c r="Q67">
        <v>25000</v>
      </c>
      <c r="R67">
        <v>18000</v>
      </c>
      <c r="S67" s="2">
        <v>0.58139534883720934</v>
      </c>
      <c r="V67">
        <v>28800</v>
      </c>
      <c r="W67" s="2">
        <v>1.493055555555556</v>
      </c>
      <c r="AA67" t="s">
        <v>198</v>
      </c>
    </row>
    <row r="68" spans="1:27" x14ac:dyDescent="0.3">
      <c r="A68" s="3">
        <v>66</v>
      </c>
      <c r="B68">
        <v>22957</v>
      </c>
      <c r="C68" t="s">
        <v>26</v>
      </c>
      <c r="D68" t="s">
        <v>27</v>
      </c>
      <c r="E68" t="s">
        <v>31</v>
      </c>
      <c r="F68" t="s">
        <v>84</v>
      </c>
      <c r="G68" s="1" t="str">
        <f>HYPERLINK("https://new.land.naver.com/complexes/22957", "클릭")</f>
        <v>클릭</v>
      </c>
      <c r="H68">
        <v>2007</v>
      </c>
      <c r="I68">
        <v>7</v>
      </c>
      <c r="J68">
        <v>492</v>
      </c>
      <c r="K68">
        <v>46</v>
      </c>
      <c r="L68" t="s">
        <v>136</v>
      </c>
      <c r="M68" t="s">
        <v>235</v>
      </c>
      <c r="N68" t="s">
        <v>481</v>
      </c>
      <c r="O68">
        <v>43000</v>
      </c>
      <c r="P68" t="s">
        <v>257</v>
      </c>
      <c r="Q68">
        <v>30000</v>
      </c>
      <c r="R68">
        <v>13000</v>
      </c>
      <c r="S68" s="2">
        <v>0.69767441860465118</v>
      </c>
      <c r="V68">
        <v>25000</v>
      </c>
      <c r="W68" s="2">
        <v>1.72</v>
      </c>
      <c r="AA68" t="s">
        <v>198</v>
      </c>
    </row>
    <row r="69" spans="1:27" x14ac:dyDescent="0.3">
      <c r="A69" s="3">
        <v>67</v>
      </c>
      <c r="B69">
        <v>12122</v>
      </c>
      <c r="C69" t="s">
        <v>26</v>
      </c>
      <c r="D69" t="s">
        <v>27</v>
      </c>
      <c r="E69" t="s">
        <v>31</v>
      </c>
      <c r="F69" t="s">
        <v>420</v>
      </c>
      <c r="G69" s="1" t="str">
        <f>HYPERLINK("https://new.land.naver.com/complexes/12122", "클릭")</f>
        <v>클릭</v>
      </c>
      <c r="H69">
        <v>1988</v>
      </c>
      <c r="I69">
        <v>10</v>
      </c>
      <c r="J69">
        <v>48</v>
      </c>
      <c r="K69">
        <v>38</v>
      </c>
      <c r="L69" t="s">
        <v>135</v>
      </c>
      <c r="M69" t="s">
        <v>235</v>
      </c>
      <c r="N69" t="s">
        <v>473</v>
      </c>
      <c r="O69">
        <v>42000</v>
      </c>
      <c r="P69" t="s">
        <v>473</v>
      </c>
      <c r="Q69">
        <v>13000</v>
      </c>
      <c r="R69">
        <v>29000</v>
      </c>
      <c r="S69" s="2">
        <v>0.30952380952380948</v>
      </c>
      <c r="V69">
        <v>22400</v>
      </c>
      <c r="W69" s="2">
        <v>1.875</v>
      </c>
      <c r="AA69" t="s">
        <v>205</v>
      </c>
    </row>
    <row r="70" spans="1:27" x14ac:dyDescent="0.3">
      <c r="A70" s="3">
        <v>68</v>
      </c>
      <c r="B70">
        <v>128689</v>
      </c>
      <c r="C70" t="s">
        <v>26</v>
      </c>
      <c r="D70" t="s">
        <v>27</v>
      </c>
      <c r="E70" t="s">
        <v>28</v>
      </c>
      <c r="F70" t="s">
        <v>230</v>
      </c>
      <c r="G70" s="1" t="str">
        <f>HYPERLINK("https://new.land.naver.com/complexes/128689", "클릭")</f>
        <v>클릭</v>
      </c>
      <c r="H70">
        <v>2019</v>
      </c>
      <c r="I70">
        <v>7</v>
      </c>
      <c r="J70">
        <v>42</v>
      </c>
      <c r="K70">
        <v>55</v>
      </c>
      <c r="L70" t="s">
        <v>135</v>
      </c>
      <c r="M70" t="s">
        <v>137</v>
      </c>
      <c r="N70" t="s">
        <v>482</v>
      </c>
      <c r="O70">
        <v>42000</v>
      </c>
      <c r="P70" t="s">
        <v>482</v>
      </c>
      <c r="Q70">
        <v>29000</v>
      </c>
      <c r="R70">
        <v>13000</v>
      </c>
      <c r="S70" s="2">
        <v>0.69047619047619047</v>
      </c>
      <c r="V70">
        <v>25000</v>
      </c>
      <c r="W70" s="2">
        <v>1.68</v>
      </c>
      <c r="AA70" t="s">
        <v>198</v>
      </c>
    </row>
    <row r="71" spans="1:27" x14ac:dyDescent="0.3">
      <c r="A71" s="3">
        <v>69</v>
      </c>
      <c r="B71">
        <v>128689</v>
      </c>
      <c r="C71" t="s">
        <v>26</v>
      </c>
      <c r="D71" t="s">
        <v>27</v>
      </c>
      <c r="E71" t="s">
        <v>28</v>
      </c>
      <c r="F71" t="s">
        <v>230</v>
      </c>
      <c r="G71" s="1" t="str">
        <f>HYPERLINK("https://new.land.naver.com/complexes/128689", "클릭")</f>
        <v>클릭</v>
      </c>
      <c r="H71">
        <v>2019</v>
      </c>
      <c r="I71">
        <v>7</v>
      </c>
      <c r="J71">
        <v>42</v>
      </c>
      <c r="K71">
        <v>56</v>
      </c>
      <c r="L71" t="s">
        <v>135</v>
      </c>
      <c r="M71" t="s">
        <v>137</v>
      </c>
      <c r="N71" t="s">
        <v>257</v>
      </c>
      <c r="O71">
        <v>42000</v>
      </c>
      <c r="P71" t="s">
        <v>257</v>
      </c>
      <c r="Q71">
        <v>32000</v>
      </c>
      <c r="R71">
        <v>10000</v>
      </c>
      <c r="S71" s="2">
        <v>0.76190476190476186</v>
      </c>
      <c r="T71">
        <v>35500</v>
      </c>
      <c r="U71" s="2">
        <v>0.18309859154929581</v>
      </c>
      <c r="V71">
        <v>25000</v>
      </c>
      <c r="W71" s="2">
        <v>1.68</v>
      </c>
      <c r="AA71" t="s">
        <v>388</v>
      </c>
    </row>
    <row r="72" spans="1:27" x14ac:dyDescent="0.3">
      <c r="A72" s="3">
        <v>70</v>
      </c>
      <c r="B72">
        <v>25744</v>
      </c>
      <c r="C72" t="s">
        <v>26</v>
      </c>
      <c r="D72" t="s">
        <v>27</v>
      </c>
      <c r="E72" t="s">
        <v>31</v>
      </c>
      <c r="F72" t="s">
        <v>309</v>
      </c>
      <c r="G72" s="1" t="str">
        <f>HYPERLINK("https://new.land.naver.com/complexes/25744", "클릭")</f>
        <v>클릭</v>
      </c>
      <c r="H72">
        <v>1988</v>
      </c>
      <c r="I72">
        <v>4</v>
      </c>
      <c r="J72">
        <v>40</v>
      </c>
      <c r="K72">
        <v>54</v>
      </c>
      <c r="L72" t="s">
        <v>135</v>
      </c>
      <c r="M72" t="s">
        <v>235</v>
      </c>
      <c r="N72" t="s">
        <v>371</v>
      </c>
      <c r="O72">
        <v>41000</v>
      </c>
      <c r="P72" t="s">
        <v>371</v>
      </c>
      <c r="Q72">
        <v>18000</v>
      </c>
      <c r="R72">
        <v>23000</v>
      </c>
      <c r="S72" s="2">
        <v>0.43902439024390238</v>
      </c>
      <c r="AA72" t="s">
        <v>405</v>
      </c>
    </row>
    <row r="73" spans="1:27" x14ac:dyDescent="0.3">
      <c r="A73" s="3">
        <v>71</v>
      </c>
      <c r="B73">
        <v>123900</v>
      </c>
      <c r="C73" t="s">
        <v>26</v>
      </c>
      <c r="D73" t="s">
        <v>27</v>
      </c>
      <c r="E73" t="s">
        <v>28</v>
      </c>
      <c r="F73" t="s">
        <v>69</v>
      </c>
      <c r="G73" s="1" t="str">
        <f>HYPERLINK("https://new.land.naver.com/complexes/123900", "클릭")</f>
        <v>클릭</v>
      </c>
      <c r="H73">
        <v>2022</v>
      </c>
      <c r="I73">
        <v>5</v>
      </c>
      <c r="J73">
        <v>855</v>
      </c>
      <c r="K73">
        <v>36</v>
      </c>
      <c r="L73" t="s">
        <v>135</v>
      </c>
      <c r="M73" t="s">
        <v>235</v>
      </c>
      <c r="N73" t="s">
        <v>483</v>
      </c>
      <c r="O73">
        <v>41000</v>
      </c>
      <c r="P73" t="s">
        <v>483</v>
      </c>
      <c r="Q73">
        <v>28000</v>
      </c>
      <c r="R73">
        <v>13000</v>
      </c>
      <c r="S73" s="2">
        <v>0.68292682926829273</v>
      </c>
      <c r="V73">
        <v>21100</v>
      </c>
      <c r="W73" s="2">
        <v>1.9431279620853079</v>
      </c>
      <c r="AA73" t="s">
        <v>198</v>
      </c>
    </row>
    <row r="74" spans="1:27" x14ac:dyDescent="0.3">
      <c r="A74" s="3">
        <v>72</v>
      </c>
      <c r="B74">
        <v>122682</v>
      </c>
      <c r="C74" t="s">
        <v>26</v>
      </c>
      <c r="D74" t="s">
        <v>27</v>
      </c>
      <c r="E74" t="s">
        <v>28</v>
      </c>
      <c r="F74" t="s">
        <v>46</v>
      </c>
      <c r="G74" s="1" t="str">
        <f>HYPERLINK("https://new.land.naver.com/complexes/122682", "클릭")</f>
        <v>클릭</v>
      </c>
      <c r="H74">
        <v>2021</v>
      </c>
      <c r="I74">
        <v>4</v>
      </c>
      <c r="J74">
        <v>3850</v>
      </c>
      <c r="K74">
        <v>39</v>
      </c>
      <c r="L74" t="s">
        <v>135</v>
      </c>
      <c r="M74" t="s">
        <v>236</v>
      </c>
      <c r="N74" t="s">
        <v>484</v>
      </c>
      <c r="O74">
        <v>40400</v>
      </c>
      <c r="P74" t="s">
        <v>484</v>
      </c>
      <c r="Q74">
        <v>26313</v>
      </c>
      <c r="R74">
        <v>14087</v>
      </c>
      <c r="S74" s="2">
        <v>0.65131188118811878</v>
      </c>
      <c r="V74">
        <v>25600</v>
      </c>
      <c r="W74" s="2">
        <v>1.578125</v>
      </c>
      <c r="AA74" t="s">
        <v>198</v>
      </c>
    </row>
    <row r="75" spans="1:27" x14ac:dyDescent="0.3">
      <c r="A75" s="3">
        <v>73</v>
      </c>
      <c r="B75">
        <v>2595</v>
      </c>
      <c r="C75" t="s">
        <v>26</v>
      </c>
      <c r="D75" t="s">
        <v>27</v>
      </c>
      <c r="E75" t="s">
        <v>30</v>
      </c>
      <c r="F75" t="s">
        <v>297</v>
      </c>
      <c r="G75" s="1" t="str">
        <f>HYPERLINK("https://new.land.naver.com/complexes/2595", "클릭")</f>
        <v>클릭</v>
      </c>
      <c r="H75">
        <v>1992</v>
      </c>
      <c r="I75">
        <v>10</v>
      </c>
      <c r="J75">
        <v>1743</v>
      </c>
      <c r="K75">
        <v>37</v>
      </c>
      <c r="L75" t="s">
        <v>136</v>
      </c>
      <c r="M75" t="s">
        <v>235</v>
      </c>
      <c r="N75" t="s">
        <v>473</v>
      </c>
      <c r="O75">
        <v>40000</v>
      </c>
      <c r="P75" t="s">
        <v>473</v>
      </c>
      <c r="Q75">
        <v>21000</v>
      </c>
      <c r="R75">
        <v>19000</v>
      </c>
      <c r="S75" s="2">
        <v>0.52500000000000002</v>
      </c>
      <c r="V75">
        <v>24900</v>
      </c>
      <c r="W75" s="2">
        <v>1.606425702811245</v>
      </c>
      <c r="AA75" t="s">
        <v>198</v>
      </c>
    </row>
    <row r="76" spans="1:27" x14ac:dyDescent="0.3">
      <c r="A76" s="3">
        <v>74</v>
      </c>
      <c r="B76">
        <v>9821</v>
      </c>
      <c r="C76" t="s">
        <v>26</v>
      </c>
      <c r="D76" t="s">
        <v>27</v>
      </c>
      <c r="E76" t="s">
        <v>28</v>
      </c>
      <c r="F76" t="s">
        <v>431</v>
      </c>
      <c r="G76" s="1" t="str">
        <f>HYPERLINK("https://new.land.naver.com/complexes/9821", "클릭")</f>
        <v>클릭</v>
      </c>
      <c r="H76">
        <v>1983</v>
      </c>
      <c r="I76">
        <v>11</v>
      </c>
      <c r="J76">
        <v>49</v>
      </c>
      <c r="K76">
        <v>50</v>
      </c>
      <c r="L76" t="s">
        <v>135</v>
      </c>
      <c r="M76" t="s">
        <v>138</v>
      </c>
      <c r="N76" t="s">
        <v>484</v>
      </c>
      <c r="O76">
        <v>40000</v>
      </c>
      <c r="P76" t="s">
        <v>484</v>
      </c>
      <c r="Q76">
        <v>15000</v>
      </c>
      <c r="R76">
        <v>25000</v>
      </c>
      <c r="S76" s="2">
        <v>0.375</v>
      </c>
      <c r="V76">
        <v>15600</v>
      </c>
      <c r="W76" s="2">
        <v>2.5641025641025639</v>
      </c>
      <c r="AA76" t="s">
        <v>287</v>
      </c>
    </row>
    <row r="77" spans="1:27" x14ac:dyDescent="0.3">
      <c r="A77" s="3">
        <v>75</v>
      </c>
      <c r="B77">
        <v>1973</v>
      </c>
      <c r="C77" t="s">
        <v>26</v>
      </c>
      <c r="D77" t="s">
        <v>27</v>
      </c>
      <c r="E77" t="s">
        <v>29</v>
      </c>
      <c r="F77" t="s">
        <v>319</v>
      </c>
      <c r="G77" s="1" t="str">
        <f>HYPERLINK("https://new.land.naver.com/complexes/1973", "클릭")</f>
        <v>클릭</v>
      </c>
      <c r="H77">
        <v>1986</v>
      </c>
      <c r="I77">
        <v>6</v>
      </c>
      <c r="J77">
        <v>50</v>
      </c>
      <c r="K77">
        <v>55</v>
      </c>
      <c r="L77" t="s">
        <v>135</v>
      </c>
      <c r="M77" t="s">
        <v>138</v>
      </c>
      <c r="N77" t="s">
        <v>371</v>
      </c>
      <c r="O77">
        <v>40000</v>
      </c>
      <c r="P77" t="s">
        <v>371</v>
      </c>
      <c r="Q77">
        <v>18000</v>
      </c>
      <c r="R77">
        <v>22000</v>
      </c>
      <c r="S77" s="2">
        <v>0.45</v>
      </c>
      <c r="V77">
        <v>20700</v>
      </c>
      <c r="W77" s="2">
        <v>1.932367149758454</v>
      </c>
      <c r="AA77" t="s">
        <v>524</v>
      </c>
    </row>
    <row r="78" spans="1:27" x14ac:dyDescent="0.3">
      <c r="A78" s="3">
        <v>76</v>
      </c>
      <c r="B78">
        <v>145391</v>
      </c>
      <c r="C78" t="s">
        <v>26</v>
      </c>
      <c r="D78" t="s">
        <v>27</v>
      </c>
      <c r="E78" t="s">
        <v>29</v>
      </c>
      <c r="F78" t="s">
        <v>335</v>
      </c>
      <c r="G78" s="1" t="str">
        <f>HYPERLINK("https://new.land.naver.com/complexes/145391", "클릭")</f>
        <v>클릭</v>
      </c>
      <c r="H78">
        <v>1984</v>
      </c>
      <c r="I78">
        <v>12</v>
      </c>
      <c r="J78">
        <v>37</v>
      </c>
      <c r="K78">
        <v>50</v>
      </c>
      <c r="L78" t="s">
        <v>135</v>
      </c>
      <c r="M78" t="s">
        <v>138</v>
      </c>
      <c r="N78" t="s">
        <v>461</v>
      </c>
      <c r="O78">
        <v>40000</v>
      </c>
      <c r="P78" t="s">
        <v>461</v>
      </c>
      <c r="Q78">
        <v>17000</v>
      </c>
      <c r="R78">
        <v>23000</v>
      </c>
      <c r="S78" s="2">
        <v>0.42499999999999999</v>
      </c>
      <c r="V78">
        <v>20300</v>
      </c>
      <c r="W78" s="2">
        <v>1.9704433497536951</v>
      </c>
      <c r="AA78" t="s">
        <v>388</v>
      </c>
    </row>
    <row r="79" spans="1:27" x14ac:dyDescent="0.3">
      <c r="A79" s="3">
        <v>77</v>
      </c>
      <c r="B79">
        <v>124780</v>
      </c>
      <c r="C79" t="s">
        <v>26</v>
      </c>
      <c r="D79" t="s">
        <v>27</v>
      </c>
      <c r="E79" t="s">
        <v>31</v>
      </c>
      <c r="F79" t="s">
        <v>45</v>
      </c>
      <c r="G79" s="1" t="str">
        <f>HYPERLINK("https://new.land.naver.com/complexes/124780", "클릭")</f>
        <v>클릭</v>
      </c>
      <c r="H79">
        <v>2021</v>
      </c>
      <c r="I79">
        <v>12</v>
      </c>
      <c r="J79">
        <v>2737</v>
      </c>
      <c r="K79">
        <v>39</v>
      </c>
      <c r="L79" t="s">
        <v>136</v>
      </c>
      <c r="M79" t="s">
        <v>236</v>
      </c>
      <c r="N79" t="s">
        <v>485</v>
      </c>
      <c r="O79">
        <v>40000</v>
      </c>
      <c r="P79" t="s">
        <v>485</v>
      </c>
      <c r="Q79">
        <v>27946</v>
      </c>
      <c r="R79">
        <v>12054</v>
      </c>
      <c r="S79" s="2">
        <v>0.69864999999999999</v>
      </c>
      <c r="V79">
        <v>23600</v>
      </c>
      <c r="W79" s="2">
        <v>1.6949152542372881</v>
      </c>
      <c r="AA79" t="s">
        <v>198</v>
      </c>
    </row>
    <row r="80" spans="1:27" x14ac:dyDescent="0.3">
      <c r="A80" s="3">
        <v>78</v>
      </c>
      <c r="B80">
        <v>3001</v>
      </c>
      <c r="C80" t="s">
        <v>26</v>
      </c>
      <c r="D80" t="s">
        <v>27</v>
      </c>
      <c r="E80" t="s">
        <v>29</v>
      </c>
      <c r="F80" t="s">
        <v>62</v>
      </c>
      <c r="G80" s="1" t="str">
        <f>HYPERLINK("https://new.land.naver.com/complexes/3001", "클릭")</f>
        <v>클릭</v>
      </c>
      <c r="H80">
        <v>1995</v>
      </c>
      <c r="I80">
        <v>5</v>
      </c>
      <c r="J80">
        <v>952</v>
      </c>
      <c r="K80">
        <v>41</v>
      </c>
      <c r="L80" t="s">
        <v>136</v>
      </c>
      <c r="M80" t="s">
        <v>235</v>
      </c>
      <c r="N80" t="s">
        <v>472</v>
      </c>
      <c r="O80">
        <v>39700</v>
      </c>
      <c r="P80" t="s">
        <v>472</v>
      </c>
      <c r="Q80">
        <v>19500</v>
      </c>
      <c r="R80">
        <v>20200</v>
      </c>
      <c r="S80" s="2">
        <v>0.49118387909319899</v>
      </c>
      <c r="V80">
        <v>26000</v>
      </c>
      <c r="W80" s="2">
        <v>1.526923076923077</v>
      </c>
      <c r="AA80" t="s">
        <v>198</v>
      </c>
    </row>
    <row r="81" spans="1:27" x14ac:dyDescent="0.3">
      <c r="A81" s="3">
        <v>79</v>
      </c>
      <c r="B81">
        <v>22752</v>
      </c>
      <c r="C81" t="s">
        <v>26</v>
      </c>
      <c r="D81" t="s">
        <v>27</v>
      </c>
      <c r="E81" t="s">
        <v>31</v>
      </c>
      <c r="F81" t="s">
        <v>432</v>
      </c>
      <c r="G81" s="1" t="str">
        <f>HYPERLINK("https://new.land.naver.com/complexes/22752", "클릭")</f>
        <v>클릭</v>
      </c>
      <c r="H81">
        <v>1993</v>
      </c>
      <c r="I81">
        <v>3</v>
      </c>
      <c r="J81">
        <v>1262</v>
      </c>
      <c r="K81">
        <v>41</v>
      </c>
      <c r="L81" t="s">
        <v>136</v>
      </c>
      <c r="M81" t="s">
        <v>236</v>
      </c>
      <c r="N81" t="s">
        <v>486</v>
      </c>
      <c r="O81">
        <v>39500</v>
      </c>
      <c r="P81" t="s">
        <v>486</v>
      </c>
      <c r="Q81">
        <v>18000</v>
      </c>
      <c r="R81">
        <v>21500</v>
      </c>
      <c r="S81" s="2">
        <v>0.45569620253164561</v>
      </c>
      <c r="V81">
        <v>23200</v>
      </c>
      <c r="W81" s="2">
        <v>1.702586206896552</v>
      </c>
      <c r="AA81" t="s">
        <v>198</v>
      </c>
    </row>
    <row r="82" spans="1:27" x14ac:dyDescent="0.3">
      <c r="A82" s="3">
        <v>80</v>
      </c>
      <c r="B82">
        <v>1974</v>
      </c>
      <c r="C82" t="s">
        <v>26</v>
      </c>
      <c r="D82" t="s">
        <v>27</v>
      </c>
      <c r="E82" t="s">
        <v>29</v>
      </c>
      <c r="F82" t="s">
        <v>428</v>
      </c>
      <c r="G82" s="1" t="str">
        <f>HYPERLINK("https://new.land.naver.com/complexes/1974", "클릭")</f>
        <v>클릭</v>
      </c>
      <c r="H82">
        <v>1984</v>
      </c>
      <c r="I82">
        <v>1</v>
      </c>
      <c r="J82">
        <v>70</v>
      </c>
      <c r="K82">
        <v>50</v>
      </c>
      <c r="L82" t="s">
        <v>135</v>
      </c>
      <c r="M82" t="s">
        <v>138</v>
      </c>
      <c r="N82" t="s">
        <v>279</v>
      </c>
      <c r="O82">
        <v>39000</v>
      </c>
      <c r="P82" t="s">
        <v>279</v>
      </c>
      <c r="Q82">
        <v>15000</v>
      </c>
      <c r="R82">
        <v>24000</v>
      </c>
      <c r="S82" s="2">
        <v>0.38461538461538458</v>
      </c>
      <c r="V82">
        <v>24300</v>
      </c>
      <c r="W82" s="2">
        <v>1.6049382716049381</v>
      </c>
      <c r="AA82" t="s">
        <v>198</v>
      </c>
    </row>
    <row r="83" spans="1:27" x14ac:dyDescent="0.3">
      <c r="A83" s="3">
        <v>81</v>
      </c>
      <c r="B83">
        <v>8197</v>
      </c>
      <c r="C83" t="s">
        <v>26</v>
      </c>
      <c r="D83" t="s">
        <v>27</v>
      </c>
      <c r="E83" t="s">
        <v>30</v>
      </c>
      <c r="F83" t="s">
        <v>214</v>
      </c>
      <c r="G83" s="1" t="str">
        <f>HYPERLINK("https://new.land.naver.com/complexes/8197", "클릭")</f>
        <v>클릭</v>
      </c>
      <c r="H83">
        <v>1985</v>
      </c>
      <c r="I83">
        <v>7</v>
      </c>
      <c r="J83">
        <v>120</v>
      </c>
      <c r="K83">
        <v>55</v>
      </c>
      <c r="L83" t="s">
        <v>135</v>
      </c>
      <c r="M83" t="s">
        <v>235</v>
      </c>
      <c r="N83" t="s">
        <v>371</v>
      </c>
      <c r="O83">
        <v>39000</v>
      </c>
      <c r="P83" t="s">
        <v>371</v>
      </c>
      <c r="Q83">
        <v>20000</v>
      </c>
      <c r="R83">
        <v>19000</v>
      </c>
      <c r="S83" s="2">
        <v>0.51282051282051277</v>
      </c>
      <c r="V83">
        <v>27000</v>
      </c>
      <c r="W83" s="2">
        <v>1.444444444444444</v>
      </c>
      <c r="AA83" t="s">
        <v>198</v>
      </c>
    </row>
    <row r="84" spans="1:27" x14ac:dyDescent="0.3">
      <c r="A84" s="3">
        <v>82</v>
      </c>
      <c r="B84">
        <v>108041</v>
      </c>
      <c r="C84" t="s">
        <v>26</v>
      </c>
      <c r="D84" t="s">
        <v>27</v>
      </c>
      <c r="E84" t="s">
        <v>29</v>
      </c>
      <c r="F84" t="s">
        <v>433</v>
      </c>
      <c r="G84" s="1" t="str">
        <f>HYPERLINK("https://new.land.naver.com/complexes/108041", "클릭")</f>
        <v>클릭</v>
      </c>
      <c r="H84">
        <v>1986</v>
      </c>
      <c r="I84">
        <v>12</v>
      </c>
      <c r="J84">
        <v>40</v>
      </c>
      <c r="K84">
        <v>51</v>
      </c>
      <c r="L84" t="s">
        <v>135</v>
      </c>
      <c r="M84" t="s">
        <v>138</v>
      </c>
      <c r="N84" t="s">
        <v>279</v>
      </c>
      <c r="O84">
        <v>39000</v>
      </c>
      <c r="P84" t="s">
        <v>513</v>
      </c>
      <c r="Q84">
        <v>16000</v>
      </c>
      <c r="R84">
        <v>23000</v>
      </c>
      <c r="S84" s="2">
        <v>0.41025641025641019</v>
      </c>
      <c r="V84">
        <v>21900</v>
      </c>
      <c r="W84" s="2">
        <v>1.780821917808219</v>
      </c>
      <c r="AA84" t="s">
        <v>199</v>
      </c>
    </row>
    <row r="85" spans="1:27" x14ac:dyDescent="0.3">
      <c r="A85" s="3">
        <v>83</v>
      </c>
      <c r="B85">
        <v>106572</v>
      </c>
      <c r="C85" t="s">
        <v>26</v>
      </c>
      <c r="D85" t="s">
        <v>27</v>
      </c>
      <c r="E85" t="s">
        <v>29</v>
      </c>
      <c r="F85" t="s">
        <v>224</v>
      </c>
      <c r="G85" s="1" t="str">
        <f>HYPERLINK("https://new.land.naver.com/complexes/106572", "클릭")</f>
        <v>클릭</v>
      </c>
      <c r="H85">
        <v>1989</v>
      </c>
      <c r="I85">
        <v>12</v>
      </c>
      <c r="J85">
        <v>24</v>
      </c>
      <c r="K85">
        <v>53</v>
      </c>
      <c r="L85" t="s">
        <v>135</v>
      </c>
      <c r="M85" t="s">
        <v>235</v>
      </c>
      <c r="N85" t="s">
        <v>356</v>
      </c>
      <c r="O85">
        <v>39000</v>
      </c>
      <c r="P85" t="s">
        <v>356</v>
      </c>
      <c r="Q85">
        <v>18000</v>
      </c>
      <c r="R85">
        <v>21000</v>
      </c>
      <c r="S85" s="2">
        <v>0.46153846153846162</v>
      </c>
      <c r="AA85" t="s">
        <v>205</v>
      </c>
    </row>
    <row r="86" spans="1:27" x14ac:dyDescent="0.3">
      <c r="A86" s="3">
        <v>84</v>
      </c>
      <c r="B86">
        <v>11244</v>
      </c>
      <c r="C86" t="s">
        <v>26</v>
      </c>
      <c r="D86" t="s">
        <v>27</v>
      </c>
      <c r="E86" t="s">
        <v>29</v>
      </c>
      <c r="F86" t="s">
        <v>426</v>
      </c>
      <c r="G86" s="1" t="str">
        <f>HYPERLINK("https://new.land.naver.com/complexes/11244", "클릭")</f>
        <v>클릭</v>
      </c>
      <c r="H86">
        <v>1988</v>
      </c>
      <c r="I86">
        <v>5</v>
      </c>
      <c r="J86">
        <v>30</v>
      </c>
      <c r="K86">
        <v>46</v>
      </c>
      <c r="L86" t="s">
        <v>135</v>
      </c>
      <c r="M86" t="s">
        <v>138</v>
      </c>
      <c r="N86" t="s">
        <v>487</v>
      </c>
      <c r="O86">
        <v>38500</v>
      </c>
      <c r="P86" t="s">
        <v>487</v>
      </c>
      <c r="Q86">
        <v>20000</v>
      </c>
      <c r="R86">
        <v>18500</v>
      </c>
      <c r="S86" s="2">
        <v>0.51948051948051943</v>
      </c>
      <c r="V86">
        <v>21500</v>
      </c>
      <c r="W86" s="2">
        <v>1.7906976744186049</v>
      </c>
      <c r="AA86" t="s">
        <v>203</v>
      </c>
    </row>
    <row r="87" spans="1:27" x14ac:dyDescent="0.3">
      <c r="A87" s="3">
        <v>85</v>
      </c>
      <c r="B87">
        <v>22752</v>
      </c>
      <c r="C87" t="s">
        <v>26</v>
      </c>
      <c r="D87" t="s">
        <v>27</v>
      </c>
      <c r="E87" t="s">
        <v>31</v>
      </c>
      <c r="F87" t="s">
        <v>432</v>
      </c>
      <c r="G87" s="1" t="str">
        <f>HYPERLINK("https://new.land.naver.com/complexes/22752", "클릭")</f>
        <v>클릭</v>
      </c>
      <c r="H87">
        <v>1993</v>
      </c>
      <c r="I87">
        <v>3</v>
      </c>
      <c r="J87">
        <v>1262</v>
      </c>
      <c r="K87">
        <v>42</v>
      </c>
      <c r="L87" t="s">
        <v>136</v>
      </c>
      <c r="M87" t="s">
        <v>235</v>
      </c>
      <c r="N87" t="s">
        <v>483</v>
      </c>
      <c r="O87">
        <v>38000</v>
      </c>
      <c r="P87" t="s">
        <v>483</v>
      </c>
      <c r="Q87">
        <v>16000</v>
      </c>
      <c r="R87">
        <v>22000</v>
      </c>
      <c r="S87" s="2">
        <v>0.42105263157894729</v>
      </c>
      <c r="V87">
        <v>23200</v>
      </c>
      <c r="W87" s="2">
        <v>1.6379310344827589</v>
      </c>
      <c r="AA87" t="s">
        <v>198</v>
      </c>
    </row>
    <row r="88" spans="1:27" x14ac:dyDescent="0.3">
      <c r="A88" s="3">
        <v>86</v>
      </c>
      <c r="B88">
        <v>25744</v>
      </c>
      <c r="C88" t="s">
        <v>26</v>
      </c>
      <c r="D88" t="s">
        <v>27</v>
      </c>
      <c r="E88" t="s">
        <v>31</v>
      </c>
      <c r="F88" t="s">
        <v>309</v>
      </c>
      <c r="G88" s="1" t="str">
        <f>HYPERLINK("https://new.land.naver.com/complexes/25744", "클릭")</f>
        <v>클릭</v>
      </c>
      <c r="H88">
        <v>1988</v>
      </c>
      <c r="I88">
        <v>4</v>
      </c>
      <c r="J88">
        <v>40</v>
      </c>
      <c r="K88">
        <v>50</v>
      </c>
      <c r="L88" t="s">
        <v>135</v>
      </c>
      <c r="M88" t="s">
        <v>235</v>
      </c>
      <c r="N88" t="s">
        <v>466</v>
      </c>
      <c r="O88">
        <v>38000</v>
      </c>
      <c r="AA88" t="s">
        <v>198</v>
      </c>
    </row>
    <row r="89" spans="1:27" x14ac:dyDescent="0.3">
      <c r="A89" s="3">
        <v>87</v>
      </c>
      <c r="B89">
        <v>1971</v>
      </c>
      <c r="C89" t="s">
        <v>26</v>
      </c>
      <c r="D89" t="s">
        <v>27</v>
      </c>
      <c r="E89" t="s">
        <v>29</v>
      </c>
      <c r="F89" t="s">
        <v>227</v>
      </c>
      <c r="G89" s="1" t="str">
        <f>HYPERLINK("https://new.land.naver.com/complexes/1971", "클릭")</f>
        <v>클릭</v>
      </c>
      <c r="H89">
        <v>1986</v>
      </c>
      <c r="I89">
        <v>6</v>
      </c>
      <c r="J89">
        <v>140</v>
      </c>
      <c r="K89">
        <v>54</v>
      </c>
      <c r="L89" t="s">
        <v>135</v>
      </c>
      <c r="M89" t="s">
        <v>138</v>
      </c>
      <c r="N89" t="s">
        <v>371</v>
      </c>
      <c r="O89">
        <v>38000</v>
      </c>
      <c r="P89" t="s">
        <v>371</v>
      </c>
      <c r="Q89">
        <v>22000</v>
      </c>
      <c r="R89">
        <v>16000</v>
      </c>
      <c r="S89" s="2">
        <v>0.57894736842105265</v>
      </c>
      <c r="V89">
        <v>23200</v>
      </c>
      <c r="W89" s="2">
        <v>1.6379310344827589</v>
      </c>
      <c r="AA89" t="s">
        <v>198</v>
      </c>
    </row>
    <row r="90" spans="1:27" x14ac:dyDescent="0.3">
      <c r="A90" s="3">
        <v>88</v>
      </c>
      <c r="B90">
        <v>1464</v>
      </c>
      <c r="C90" t="s">
        <v>26</v>
      </c>
      <c r="D90" t="s">
        <v>27</v>
      </c>
      <c r="E90" t="s">
        <v>29</v>
      </c>
      <c r="F90" t="s">
        <v>222</v>
      </c>
      <c r="G90" s="1" t="str">
        <f>HYPERLINK("https://new.land.naver.com/complexes/1464", "클릭")</f>
        <v>클릭</v>
      </c>
      <c r="H90">
        <v>1992</v>
      </c>
      <c r="I90">
        <v>7</v>
      </c>
      <c r="J90">
        <v>1068</v>
      </c>
      <c r="K90">
        <v>45</v>
      </c>
      <c r="L90" t="s">
        <v>136</v>
      </c>
      <c r="M90" t="s">
        <v>235</v>
      </c>
      <c r="N90" t="s">
        <v>485</v>
      </c>
      <c r="O90">
        <v>38000</v>
      </c>
      <c r="P90" t="s">
        <v>485</v>
      </c>
      <c r="Q90">
        <v>20000</v>
      </c>
      <c r="R90">
        <v>18000</v>
      </c>
      <c r="S90" s="2">
        <v>0.52631578947368418</v>
      </c>
      <c r="AA90" t="s">
        <v>198</v>
      </c>
    </row>
    <row r="91" spans="1:27" x14ac:dyDescent="0.3">
      <c r="A91" s="3">
        <v>89</v>
      </c>
      <c r="B91">
        <v>1454</v>
      </c>
      <c r="C91" t="s">
        <v>26</v>
      </c>
      <c r="D91" t="s">
        <v>27</v>
      </c>
      <c r="E91" t="s">
        <v>31</v>
      </c>
      <c r="F91" t="s">
        <v>57</v>
      </c>
      <c r="G91" s="1" t="str">
        <f>HYPERLINK("https://new.land.naver.com/complexes/1454", "클릭")</f>
        <v>클릭</v>
      </c>
      <c r="H91">
        <v>1993</v>
      </c>
      <c r="I91">
        <v>4</v>
      </c>
      <c r="J91">
        <v>1482</v>
      </c>
      <c r="K91">
        <v>41</v>
      </c>
      <c r="L91" t="s">
        <v>136</v>
      </c>
      <c r="M91" t="s">
        <v>235</v>
      </c>
      <c r="N91" t="s">
        <v>477</v>
      </c>
      <c r="O91">
        <v>37000</v>
      </c>
      <c r="P91" t="s">
        <v>477</v>
      </c>
      <c r="Q91">
        <v>16000</v>
      </c>
      <c r="R91">
        <v>21000</v>
      </c>
      <c r="S91" s="2">
        <v>0.43243243243243251</v>
      </c>
      <c r="V91">
        <v>22600</v>
      </c>
      <c r="W91" s="2">
        <v>1.63716814159292</v>
      </c>
      <c r="AA91" t="s">
        <v>198</v>
      </c>
    </row>
    <row r="92" spans="1:27" x14ac:dyDescent="0.3">
      <c r="A92" s="3">
        <v>90</v>
      </c>
      <c r="B92">
        <v>113473</v>
      </c>
      <c r="C92" t="s">
        <v>26</v>
      </c>
      <c r="D92" t="s">
        <v>27</v>
      </c>
      <c r="E92" t="s">
        <v>29</v>
      </c>
      <c r="F92" t="s">
        <v>434</v>
      </c>
      <c r="G92" s="1" t="str">
        <f>HYPERLINK("https://new.land.naver.com/complexes/113473", "클릭")</f>
        <v>클릭</v>
      </c>
      <c r="H92">
        <v>1988</v>
      </c>
      <c r="I92">
        <v>5</v>
      </c>
      <c r="J92">
        <v>40</v>
      </c>
      <c r="K92">
        <v>51</v>
      </c>
      <c r="L92" t="s">
        <v>135</v>
      </c>
      <c r="M92" t="s">
        <v>138</v>
      </c>
      <c r="N92" t="s">
        <v>385</v>
      </c>
      <c r="O92">
        <v>37000</v>
      </c>
      <c r="P92" t="s">
        <v>385</v>
      </c>
      <c r="Q92">
        <v>19000</v>
      </c>
      <c r="R92">
        <v>18000</v>
      </c>
      <c r="S92" s="2">
        <v>0.51351351351351349</v>
      </c>
      <c r="V92">
        <v>21500</v>
      </c>
      <c r="W92" s="2">
        <v>1.720930232558139</v>
      </c>
      <c r="AA92" t="s">
        <v>204</v>
      </c>
    </row>
    <row r="93" spans="1:27" x14ac:dyDescent="0.3">
      <c r="A93" s="3">
        <v>91</v>
      </c>
      <c r="B93">
        <v>25744</v>
      </c>
      <c r="C93" t="s">
        <v>26</v>
      </c>
      <c r="D93" t="s">
        <v>27</v>
      </c>
      <c r="E93" t="s">
        <v>31</v>
      </c>
      <c r="F93" t="s">
        <v>309</v>
      </c>
      <c r="G93" s="1" t="str">
        <f>HYPERLINK("https://new.land.naver.com/complexes/25744", "클릭")</f>
        <v>클릭</v>
      </c>
      <c r="H93">
        <v>1988</v>
      </c>
      <c r="I93">
        <v>4</v>
      </c>
      <c r="J93">
        <v>40</v>
      </c>
      <c r="K93">
        <v>40</v>
      </c>
      <c r="L93" t="s">
        <v>135</v>
      </c>
      <c r="M93" t="s">
        <v>235</v>
      </c>
      <c r="N93" t="s">
        <v>472</v>
      </c>
      <c r="O93">
        <v>37000</v>
      </c>
      <c r="P93" t="s">
        <v>472</v>
      </c>
      <c r="Q93">
        <v>16000</v>
      </c>
      <c r="R93">
        <v>21000</v>
      </c>
      <c r="S93" s="2">
        <v>0.43243243243243251</v>
      </c>
      <c r="AA93" t="s">
        <v>198</v>
      </c>
    </row>
    <row r="94" spans="1:27" x14ac:dyDescent="0.3">
      <c r="A94" s="3">
        <v>92</v>
      </c>
      <c r="B94">
        <v>107946</v>
      </c>
      <c r="C94" t="s">
        <v>26</v>
      </c>
      <c r="D94" t="s">
        <v>27</v>
      </c>
      <c r="E94" t="s">
        <v>29</v>
      </c>
      <c r="F94" t="s">
        <v>435</v>
      </c>
      <c r="G94" s="1" t="str">
        <f>HYPERLINK("https://new.land.naver.com/complexes/107946", "클릭")</f>
        <v>클릭</v>
      </c>
      <c r="H94">
        <v>1982</v>
      </c>
      <c r="I94">
        <v>9</v>
      </c>
      <c r="J94">
        <v>32</v>
      </c>
      <c r="K94">
        <v>52</v>
      </c>
      <c r="L94" t="s">
        <v>135</v>
      </c>
      <c r="M94" t="s">
        <v>235</v>
      </c>
      <c r="N94" t="s">
        <v>463</v>
      </c>
      <c r="O94">
        <v>37000</v>
      </c>
      <c r="P94" t="s">
        <v>463</v>
      </c>
      <c r="Q94">
        <v>22000</v>
      </c>
      <c r="R94">
        <v>15000</v>
      </c>
      <c r="S94" s="2">
        <v>0.59459459459459463</v>
      </c>
      <c r="V94">
        <v>21700</v>
      </c>
      <c r="W94" s="2">
        <v>1.7050691244239631</v>
      </c>
      <c r="AA94" t="s">
        <v>387</v>
      </c>
    </row>
    <row r="95" spans="1:27" x14ac:dyDescent="0.3">
      <c r="A95" s="3">
        <v>93</v>
      </c>
      <c r="B95">
        <v>1985</v>
      </c>
      <c r="C95" t="s">
        <v>26</v>
      </c>
      <c r="D95" t="s">
        <v>27</v>
      </c>
      <c r="E95" t="s">
        <v>31</v>
      </c>
      <c r="F95" t="s">
        <v>430</v>
      </c>
      <c r="G95" s="1" t="str">
        <f>HYPERLINK("https://new.land.naver.com/complexes/1985", "클릭")</f>
        <v>클릭</v>
      </c>
      <c r="H95">
        <v>1993</v>
      </c>
      <c r="I95">
        <v>7</v>
      </c>
      <c r="J95">
        <v>790</v>
      </c>
      <c r="K95">
        <v>40</v>
      </c>
      <c r="L95" t="s">
        <v>136</v>
      </c>
      <c r="M95" t="s">
        <v>235</v>
      </c>
      <c r="N95" t="s">
        <v>485</v>
      </c>
      <c r="O95">
        <v>36500</v>
      </c>
      <c r="P95" t="s">
        <v>485</v>
      </c>
      <c r="Q95">
        <v>20000</v>
      </c>
      <c r="R95">
        <v>16500</v>
      </c>
      <c r="S95" s="2">
        <v>0.54794520547945202</v>
      </c>
      <c r="V95">
        <v>23400</v>
      </c>
      <c r="W95" s="2">
        <v>1.5598290598290601</v>
      </c>
      <c r="AA95" t="s">
        <v>198</v>
      </c>
    </row>
    <row r="96" spans="1:27" x14ac:dyDescent="0.3">
      <c r="A96" s="3">
        <v>94</v>
      </c>
      <c r="B96">
        <v>105053</v>
      </c>
      <c r="C96" t="s">
        <v>26</v>
      </c>
      <c r="D96" t="s">
        <v>27</v>
      </c>
      <c r="E96" t="s">
        <v>29</v>
      </c>
      <c r="F96" t="s">
        <v>225</v>
      </c>
      <c r="G96" s="1" t="str">
        <f>HYPERLINK("https://new.land.naver.com/complexes/105053", "클릭")</f>
        <v>클릭</v>
      </c>
      <c r="H96">
        <v>1985</v>
      </c>
      <c r="I96">
        <v>10</v>
      </c>
      <c r="J96">
        <v>80</v>
      </c>
      <c r="K96">
        <v>38</v>
      </c>
      <c r="L96" t="s">
        <v>135</v>
      </c>
      <c r="M96" t="s">
        <v>235</v>
      </c>
      <c r="N96" t="s">
        <v>472</v>
      </c>
      <c r="O96">
        <v>36000</v>
      </c>
      <c r="P96" t="s">
        <v>472</v>
      </c>
      <c r="Q96">
        <v>12000</v>
      </c>
      <c r="R96">
        <v>24000</v>
      </c>
      <c r="S96" s="2">
        <v>0.33333333333333331</v>
      </c>
      <c r="V96">
        <v>15600</v>
      </c>
      <c r="W96" s="2">
        <v>2.307692307692307</v>
      </c>
      <c r="AA96" t="s">
        <v>198</v>
      </c>
    </row>
    <row r="97" spans="1:27" x14ac:dyDescent="0.3">
      <c r="A97" s="3">
        <v>95</v>
      </c>
      <c r="B97">
        <v>13276</v>
      </c>
      <c r="C97" t="s">
        <v>26</v>
      </c>
      <c r="D97" t="s">
        <v>27</v>
      </c>
      <c r="E97" t="s">
        <v>29</v>
      </c>
      <c r="F97" t="s">
        <v>226</v>
      </c>
      <c r="G97" s="1" t="str">
        <f>HYPERLINK("https://new.land.naver.com/complexes/13276", "클릭")</f>
        <v>클릭</v>
      </c>
      <c r="H97">
        <v>1986</v>
      </c>
      <c r="I97">
        <v>9</v>
      </c>
      <c r="J97">
        <v>80</v>
      </c>
      <c r="K97">
        <v>51</v>
      </c>
      <c r="L97" t="s">
        <v>135</v>
      </c>
      <c r="M97" t="s">
        <v>235</v>
      </c>
      <c r="N97" t="s">
        <v>339</v>
      </c>
      <c r="O97">
        <v>35500</v>
      </c>
      <c r="P97" t="s">
        <v>339</v>
      </c>
      <c r="Q97">
        <v>20000</v>
      </c>
      <c r="R97">
        <v>15500</v>
      </c>
      <c r="S97" s="2">
        <v>0.56338028169014087</v>
      </c>
      <c r="V97">
        <v>20500</v>
      </c>
      <c r="W97" s="2">
        <v>1.7317073170731709</v>
      </c>
      <c r="AA97" t="s">
        <v>198</v>
      </c>
    </row>
    <row r="98" spans="1:27" x14ac:dyDescent="0.3">
      <c r="A98" s="3">
        <v>96</v>
      </c>
      <c r="B98">
        <v>3015</v>
      </c>
      <c r="C98" t="s">
        <v>26</v>
      </c>
      <c r="D98" t="s">
        <v>27</v>
      </c>
      <c r="E98" t="s">
        <v>28</v>
      </c>
      <c r="F98" t="s">
        <v>216</v>
      </c>
      <c r="G98" s="1" t="str">
        <f>HYPERLINK("https://new.land.naver.com/complexes/3015", "클릭")</f>
        <v>클릭</v>
      </c>
      <c r="H98">
        <v>1992</v>
      </c>
      <c r="I98">
        <v>3</v>
      </c>
      <c r="J98">
        <v>994</v>
      </c>
      <c r="K98">
        <v>34</v>
      </c>
      <c r="L98" t="s">
        <v>136</v>
      </c>
      <c r="M98" t="s">
        <v>236</v>
      </c>
      <c r="N98" t="s">
        <v>488</v>
      </c>
      <c r="O98">
        <v>35000</v>
      </c>
      <c r="P98" t="s">
        <v>488</v>
      </c>
      <c r="Q98">
        <v>18000</v>
      </c>
      <c r="R98">
        <v>17000</v>
      </c>
      <c r="S98" s="2">
        <v>0.51428571428571423</v>
      </c>
      <c r="V98">
        <v>24000</v>
      </c>
      <c r="W98" s="2">
        <v>1.458333333333333</v>
      </c>
      <c r="AA98" t="s">
        <v>198</v>
      </c>
    </row>
    <row r="99" spans="1:27" x14ac:dyDescent="0.3">
      <c r="A99" s="3">
        <v>97</v>
      </c>
      <c r="B99">
        <v>1992</v>
      </c>
      <c r="C99" t="s">
        <v>26</v>
      </c>
      <c r="D99" t="s">
        <v>27</v>
      </c>
      <c r="E99" t="s">
        <v>31</v>
      </c>
      <c r="F99" t="s">
        <v>220</v>
      </c>
      <c r="G99" s="1" t="str">
        <f>HYPERLINK("https://new.land.naver.com/complexes/1992", "클릭")</f>
        <v>클릭</v>
      </c>
      <c r="H99">
        <v>1993</v>
      </c>
      <c r="I99">
        <v>11</v>
      </c>
      <c r="J99">
        <v>3227</v>
      </c>
      <c r="K99">
        <v>35</v>
      </c>
      <c r="L99" t="s">
        <v>136</v>
      </c>
      <c r="M99" t="s">
        <v>235</v>
      </c>
      <c r="N99" t="s">
        <v>489</v>
      </c>
      <c r="O99">
        <v>35000</v>
      </c>
      <c r="P99" t="s">
        <v>489</v>
      </c>
      <c r="Q99">
        <v>14000</v>
      </c>
      <c r="R99">
        <v>21000</v>
      </c>
      <c r="S99" s="2">
        <v>0.4</v>
      </c>
      <c r="V99">
        <v>22100</v>
      </c>
      <c r="W99" s="2">
        <v>1.5837104072398189</v>
      </c>
      <c r="AA99" t="s">
        <v>198</v>
      </c>
    </row>
    <row r="100" spans="1:27" x14ac:dyDescent="0.3">
      <c r="A100" s="3">
        <v>98</v>
      </c>
      <c r="B100">
        <v>22752</v>
      </c>
      <c r="C100" t="s">
        <v>26</v>
      </c>
      <c r="D100" t="s">
        <v>27</v>
      </c>
      <c r="E100" t="s">
        <v>31</v>
      </c>
      <c r="F100" t="s">
        <v>432</v>
      </c>
      <c r="G100" s="1" t="str">
        <f>HYPERLINK("https://new.land.naver.com/complexes/22752", "클릭")</f>
        <v>클릭</v>
      </c>
      <c r="H100">
        <v>1993</v>
      </c>
      <c r="I100">
        <v>3</v>
      </c>
      <c r="J100">
        <v>1262</v>
      </c>
      <c r="K100">
        <v>35</v>
      </c>
      <c r="L100" t="s">
        <v>136</v>
      </c>
      <c r="M100" t="s">
        <v>235</v>
      </c>
      <c r="N100" t="s">
        <v>488</v>
      </c>
      <c r="O100">
        <v>35000</v>
      </c>
      <c r="P100" t="s">
        <v>488</v>
      </c>
      <c r="Q100">
        <v>18000</v>
      </c>
      <c r="R100">
        <v>17000</v>
      </c>
      <c r="S100" s="2">
        <v>0.51428571428571423</v>
      </c>
      <c r="V100">
        <v>19700</v>
      </c>
      <c r="W100" s="2">
        <v>1.776649746192893</v>
      </c>
      <c r="AA100" t="s">
        <v>198</v>
      </c>
    </row>
    <row r="101" spans="1:27" x14ac:dyDescent="0.3">
      <c r="A101" s="3">
        <v>99</v>
      </c>
      <c r="B101">
        <v>11636</v>
      </c>
      <c r="C101" t="s">
        <v>26</v>
      </c>
      <c r="D101" t="s">
        <v>27</v>
      </c>
      <c r="E101" t="s">
        <v>28</v>
      </c>
      <c r="F101" t="s">
        <v>231</v>
      </c>
      <c r="G101" s="1" t="str">
        <f>HYPERLINK("https://new.land.naver.com/complexes/11636", "클릭")</f>
        <v>클릭</v>
      </c>
      <c r="H101">
        <v>1988</v>
      </c>
      <c r="I101">
        <v>3</v>
      </c>
      <c r="J101">
        <v>75</v>
      </c>
      <c r="K101">
        <v>51</v>
      </c>
      <c r="L101" t="s">
        <v>135</v>
      </c>
      <c r="M101" t="s">
        <v>235</v>
      </c>
      <c r="N101" t="s">
        <v>461</v>
      </c>
      <c r="O101">
        <v>35000</v>
      </c>
      <c r="P101" t="s">
        <v>461</v>
      </c>
      <c r="Q101">
        <v>15000</v>
      </c>
      <c r="R101">
        <v>20000</v>
      </c>
      <c r="S101" s="2">
        <v>0.42857142857142849</v>
      </c>
      <c r="V101">
        <v>19000</v>
      </c>
      <c r="W101" s="2">
        <v>1.8421052631578949</v>
      </c>
      <c r="AA101" t="s">
        <v>198</v>
      </c>
    </row>
    <row r="102" spans="1:27" x14ac:dyDescent="0.3">
      <c r="A102" s="3">
        <v>100</v>
      </c>
      <c r="B102">
        <v>13303</v>
      </c>
      <c r="C102" t="s">
        <v>26</v>
      </c>
      <c r="D102" t="s">
        <v>27</v>
      </c>
      <c r="E102" t="s">
        <v>29</v>
      </c>
      <c r="F102" t="s">
        <v>436</v>
      </c>
      <c r="G102" s="1" t="str">
        <f>HYPERLINK("https://new.land.naver.com/complexes/13303", "클릭")</f>
        <v>클릭</v>
      </c>
      <c r="H102">
        <v>1987</v>
      </c>
      <c r="I102">
        <v>9</v>
      </c>
      <c r="J102">
        <v>40</v>
      </c>
      <c r="K102">
        <v>45</v>
      </c>
      <c r="L102" t="s">
        <v>135</v>
      </c>
      <c r="M102" t="s">
        <v>138</v>
      </c>
      <c r="N102" t="s">
        <v>487</v>
      </c>
      <c r="O102">
        <v>35000</v>
      </c>
      <c r="P102" t="s">
        <v>487</v>
      </c>
      <c r="Q102">
        <v>14500</v>
      </c>
      <c r="R102">
        <v>20500</v>
      </c>
      <c r="S102" s="2">
        <v>0.41428571428571431</v>
      </c>
      <c r="AA102" t="s">
        <v>207</v>
      </c>
    </row>
    <row r="103" spans="1:27" x14ac:dyDescent="0.3">
      <c r="A103" s="3">
        <v>101</v>
      </c>
      <c r="B103">
        <v>1464</v>
      </c>
      <c r="C103" t="s">
        <v>26</v>
      </c>
      <c r="D103" t="s">
        <v>27</v>
      </c>
      <c r="E103" t="s">
        <v>29</v>
      </c>
      <c r="F103" t="s">
        <v>222</v>
      </c>
      <c r="G103" s="1" t="str">
        <f>HYPERLINK("https://new.land.naver.com/complexes/1464", "클릭")</f>
        <v>클릭</v>
      </c>
      <c r="H103">
        <v>1992</v>
      </c>
      <c r="I103">
        <v>7</v>
      </c>
      <c r="J103">
        <v>1068</v>
      </c>
      <c r="K103">
        <v>42</v>
      </c>
      <c r="L103" t="s">
        <v>136</v>
      </c>
      <c r="M103" t="s">
        <v>235</v>
      </c>
      <c r="N103" t="s">
        <v>484</v>
      </c>
      <c r="O103">
        <v>35000</v>
      </c>
      <c r="P103" t="s">
        <v>484</v>
      </c>
      <c r="Q103">
        <v>20000</v>
      </c>
      <c r="R103">
        <v>15000</v>
      </c>
      <c r="S103" s="2">
        <v>0.5714285714285714</v>
      </c>
      <c r="AA103" t="s">
        <v>198</v>
      </c>
    </row>
    <row r="104" spans="1:27" x14ac:dyDescent="0.3">
      <c r="A104" s="3">
        <v>102</v>
      </c>
      <c r="B104">
        <v>25290</v>
      </c>
      <c r="C104" t="s">
        <v>26</v>
      </c>
      <c r="D104" t="s">
        <v>27</v>
      </c>
      <c r="E104" t="s">
        <v>29</v>
      </c>
      <c r="F104" t="s">
        <v>437</v>
      </c>
      <c r="G104" s="1" t="str">
        <f>HYPERLINK("https://new.land.naver.com/complexes/25290", "클릭")</f>
        <v>클릭</v>
      </c>
      <c r="H104">
        <v>1990</v>
      </c>
      <c r="I104">
        <v>3</v>
      </c>
      <c r="J104">
        <v>65</v>
      </c>
      <c r="K104">
        <v>53</v>
      </c>
      <c r="L104" t="s">
        <v>135</v>
      </c>
      <c r="M104" t="s">
        <v>138</v>
      </c>
      <c r="N104" t="s">
        <v>463</v>
      </c>
      <c r="O104">
        <v>35000</v>
      </c>
      <c r="P104" t="s">
        <v>463</v>
      </c>
      <c r="Q104">
        <v>17000</v>
      </c>
      <c r="R104">
        <v>18000</v>
      </c>
      <c r="S104" s="2">
        <v>0.48571428571428571</v>
      </c>
      <c r="AA104" t="s">
        <v>399</v>
      </c>
    </row>
    <row r="105" spans="1:27" x14ac:dyDescent="0.3">
      <c r="A105" s="3">
        <v>103</v>
      </c>
      <c r="B105">
        <v>8038</v>
      </c>
      <c r="C105" t="s">
        <v>26</v>
      </c>
      <c r="D105" t="s">
        <v>27</v>
      </c>
      <c r="E105" t="s">
        <v>28</v>
      </c>
      <c r="F105" t="s">
        <v>126</v>
      </c>
      <c r="G105" s="1" t="str">
        <f>HYPERLINK("https://new.land.naver.com/complexes/8038", "클릭")</f>
        <v>클릭</v>
      </c>
      <c r="H105">
        <v>2000</v>
      </c>
      <c r="I105">
        <v>10</v>
      </c>
      <c r="J105">
        <v>168</v>
      </c>
      <c r="K105">
        <v>55</v>
      </c>
      <c r="L105" t="s">
        <v>136</v>
      </c>
      <c r="M105" t="s">
        <v>138</v>
      </c>
      <c r="N105" t="s">
        <v>248</v>
      </c>
      <c r="O105">
        <v>35000</v>
      </c>
      <c r="P105" t="s">
        <v>248</v>
      </c>
      <c r="Q105">
        <v>25000</v>
      </c>
      <c r="R105">
        <v>10000</v>
      </c>
      <c r="S105" s="2">
        <v>0.7142857142857143</v>
      </c>
      <c r="V105">
        <v>20300</v>
      </c>
      <c r="W105" s="2">
        <v>1.7241379310344831</v>
      </c>
      <c r="AA105" t="s">
        <v>287</v>
      </c>
    </row>
    <row r="106" spans="1:27" x14ac:dyDescent="0.3">
      <c r="A106" s="3">
        <v>104</v>
      </c>
      <c r="B106">
        <v>14304</v>
      </c>
      <c r="C106" t="s">
        <v>26</v>
      </c>
      <c r="D106" t="s">
        <v>27</v>
      </c>
      <c r="E106" t="s">
        <v>28</v>
      </c>
      <c r="F106" t="s">
        <v>438</v>
      </c>
      <c r="G106" s="1" t="str">
        <f>HYPERLINK("https://new.land.naver.com/complexes/14304", "클릭")</f>
        <v>클릭</v>
      </c>
      <c r="H106">
        <v>1978</v>
      </c>
      <c r="I106">
        <v>12</v>
      </c>
      <c r="J106">
        <v>29</v>
      </c>
      <c r="K106">
        <v>50</v>
      </c>
      <c r="L106" t="s">
        <v>135</v>
      </c>
      <c r="M106" t="s">
        <v>138</v>
      </c>
      <c r="N106" t="s">
        <v>485</v>
      </c>
      <c r="O106">
        <v>35000</v>
      </c>
      <c r="P106" t="s">
        <v>485</v>
      </c>
      <c r="Q106">
        <v>10000</v>
      </c>
      <c r="R106">
        <v>25000</v>
      </c>
      <c r="S106" s="2">
        <v>0.2857142857142857</v>
      </c>
      <c r="V106">
        <v>18200</v>
      </c>
      <c r="W106" s="2">
        <v>1.9230769230769229</v>
      </c>
      <c r="AA106" t="s">
        <v>198</v>
      </c>
    </row>
    <row r="107" spans="1:27" x14ac:dyDescent="0.3">
      <c r="A107" s="3">
        <v>105</v>
      </c>
      <c r="B107">
        <v>3080</v>
      </c>
      <c r="C107" t="s">
        <v>26</v>
      </c>
      <c r="D107" t="s">
        <v>27</v>
      </c>
      <c r="E107" t="s">
        <v>31</v>
      </c>
      <c r="F107" t="s">
        <v>102</v>
      </c>
      <c r="G107" s="1" t="str">
        <f>HYPERLINK("https://new.land.naver.com/complexes/3080", "클릭")</f>
        <v>클릭</v>
      </c>
      <c r="H107">
        <v>2003</v>
      </c>
      <c r="I107">
        <v>3</v>
      </c>
      <c r="J107">
        <v>2044</v>
      </c>
      <c r="K107">
        <v>49</v>
      </c>
      <c r="L107" t="s">
        <v>136</v>
      </c>
      <c r="M107" t="s">
        <v>235</v>
      </c>
      <c r="N107" t="s">
        <v>356</v>
      </c>
      <c r="O107">
        <v>34000</v>
      </c>
      <c r="P107" t="s">
        <v>356</v>
      </c>
      <c r="Q107">
        <v>25000</v>
      </c>
      <c r="R107">
        <v>9000</v>
      </c>
      <c r="S107" s="2">
        <v>0.73529411764705888</v>
      </c>
      <c r="V107">
        <v>20200</v>
      </c>
      <c r="W107" s="2">
        <v>1.6831683168316831</v>
      </c>
      <c r="AA107" t="s">
        <v>198</v>
      </c>
    </row>
    <row r="108" spans="1:27" x14ac:dyDescent="0.3">
      <c r="A108" s="3">
        <v>106</v>
      </c>
      <c r="B108">
        <v>1464</v>
      </c>
      <c r="C108" t="s">
        <v>26</v>
      </c>
      <c r="D108" t="s">
        <v>27</v>
      </c>
      <c r="E108" t="s">
        <v>29</v>
      </c>
      <c r="F108" t="s">
        <v>222</v>
      </c>
      <c r="G108" s="1" t="str">
        <f>HYPERLINK("https://new.land.naver.com/complexes/1464", "클릭")</f>
        <v>클릭</v>
      </c>
      <c r="H108">
        <v>1992</v>
      </c>
      <c r="I108">
        <v>7</v>
      </c>
      <c r="J108">
        <v>1068</v>
      </c>
      <c r="K108">
        <v>38</v>
      </c>
      <c r="L108" t="s">
        <v>136</v>
      </c>
      <c r="M108" t="s">
        <v>235</v>
      </c>
      <c r="N108" t="s">
        <v>490</v>
      </c>
      <c r="O108">
        <v>34000</v>
      </c>
      <c r="P108" t="s">
        <v>514</v>
      </c>
      <c r="Q108">
        <v>18000</v>
      </c>
      <c r="R108">
        <v>16000</v>
      </c>
      <c r="S108" s="2">
        <v>0.52941176470588236</v>
      </c>
      <c r="AA108" t="s">
        <v>198</v>
      </c>
    </row>
    <row r="109" spans="1:27" x14ac:dyDescent="0.3">
      <c r="A109" s="3">
        <v>107</v>
      </c>
      <c r="B109">
        <v>1462</v>
      </c>
      <c r="C109" t="s">
        <v>26</v>
      </c>
      <c r="D109" t="s">
        <v>27</v>
      </c>
      <c r="E109" t="s">
        <v>29</v>
      </c>
      <c r="F109" t="s">
        <v>219</v>
      </c>
      <c r="G109" s="1" t="str">
        <f>HYPERLINK("https://new.land.naver.com/complexes/1462", "클릭")</f>
        <v>클릭</v>
      </c>
      <c r="H109">
        <v>1993</v>
      </c>
      <c r="I109">
        <v>2</v>
      </c>
      <c r="J109">
        <v>750</v>
      </c>
      <c r="K109">
        <v>39</v>
      </c>
      <c r="L109" t="s">
        <v>136</v>
      </c>
      <c r="M109" t="s">
        <v>235</v>
      </c>
      <c r="N109" t="s">
        <v>472</v>
      </c>
      <c r="O109">
        <v>33500</v>
      </c>
      <c r="P109" t="s">
        <v>472</v>
      </c>
      <c r="Q109">
        <v>20000</v>
      </c>
      <c r="R109">
        <v>13500</v>
      </c>
      <c r="S109" s="2">
        <v>0.59701492537313428</v>
      </c>
      <c r="V109">
        <v>22600</v>
      </c>
      <c r="W109" s="2">
        <v>1.482300884955752</v>
      </c>
      <c r="AA109" t="s">
        <v>198</v>
      </c>
    </row>
    <row r="110" spans="1:27" x14ac:dyDescent="0.3">
      <c r="A110" s="3">
        <v>108</v>
      </c>
      <c r="B110">
        <v>1463</v>
      </c>
      <c r="C110" t="s">
        <v>26</v>
      </c>
      <c r="D110" t="s">
        <v>27</v>
      </c>
      <c r="E110" t="s">
        <v>29</v>
      </c>
      <c r="F110" t="s">
        <v>304</v>
      </c>
      <c r="G110" s="1" t="str">
        <f>HYPERLINK("https://new.land.naver.com/complexes/1463", "클릭")</f>
        <v>클릭</v>
      </c>
      <c r="H110">
        <v>1993</v>
      </c>
      <c r="I110">
        <v>3</v>
      </c>
      <c r="J110">
        <v>1710</v>
      </c>
      <c r="K110">
        <v>37</v>
      </c>
      <c r="L110" t="s">
        <v>136</v>
      </c>
      <c r="M110" t="s">
        <v>235</v>
      </c>
      <c r="N110" t="s">
        <v>473</v>
      </c>
      <c r="O110">
        <v>33000</v>
      </c>
      <c r="P110" t="s">
        <v>473</v>
      </c>
      <c r="Q110">
        <v>19000</v>
      </c>
      <c r="R110">
        <v>14000</v>
      </c>
      <c r="S110" s="2">
        <v>0.5757575757575758</v>
      </c>
      <c r="V110">
        <v>23200</v>
      </c>
      <c r="W110" s="2">
        <v>1.422413793103448</v>
      </c>
      <c r="AA110" t="s">
        <v>198</v>
      </c>
    </row>
    <row r="111" spans="1:27" x14ac:dyDescent="0.3">
      <c r="A111" s="3">
        <v>109</v>
      </c>
      <c r="B111">
        <v>24006</v>
      </c>
      <c r="C111" t="s">
        <v>26</v>
      </c>
      <c r="D111" t="s">
        <v>27</v>
      </c>
      <c r="E111" t="s">
        <v>29</v>
      </c>
      <c r="F111" t="s">
        <v>228</v>
      </c>
      <c r="G111" s="1" t="str">
        <f>HYPERLINK("https://new.land.naver.com/complexes/24006", "클릭")</f>
        <v>클릭</v>
      </c>
      <c r="H111">
        <v>1988</v>
      </c>
      <c r="I111">
        <v>10</v>
      </c>
      <c r="J111">
        <v>34</v>
      </c>
      <c r="K111">
        <v>35</v>
      </c>
      <c r="M111" t="s">
        <v>235</v>
      </c>
      <c r="N111" t="s">
        <v>491</v>
      </c>
      <c r="O111">
        <v>33000</v>
      </c>
      <c r="P111" t="s">
        <v>491</v>
      </c>
      <c r="Q111">
        <v>14000</v>
      </c>
      <c r="R111">
        <v>19000</v>
      </c>
      <c r="S111" s="2">
        <v>0.42424242424242431</v>
      </c>
      <c r="AA111" t="s">
        <v>410</v>
      </c>
    </row>
    <row r="112" spans="1:27" x14ac:dyDescent="0.3">
      <c r="A112" s="3">
        <v>110</v>
      </c>
      <c r="B112">
        <v>27012</v>
      </c>
      <c r="C112" t="s">
        <v>26</v>
      </c>
      <c r="D112" t="s">
        <v>27</v>
      </c>
      <c r="E112" t="s">
        <v>30</v>
      </c>
      <c r="F112" t="s">
        <v>317</v>
      </c>
      <c r="G112" s="1" t="str">
        <f>HYPERLINK("https://new.land.naver.com/complexes/27012", "클릭")</f>
        <v>클릭</v>
      </c>
      <c r="H112">
        <v>2008</v>
      </c>
      <c r="I112">
        <v>10</v>
      </c>
      <c r="J112">
        <v>41</v>
      </c>
      <c r="K112">
        <v>52</v>
      </c>
      <c r="L112" t="s">
        <v>135</v>
      </c>
      <c r="M112" t="s">
        <v>235</v>
      </c>
      <c r="N112" t="s">
        <v>461</v>
      </c>
      <c r="O112">
        <v>33000</v>
      </c>
      <c r="P112" t="s">
        <v>461</v>
      </c>
      <c r="Q112">
        <v>28000</v>
      </c>
      <c r="R112">
        <v>5000</v>
      </c>
      <c r="S112" s="2">
        <v>0.84848484848484851</v>
      </c>
      <c r="V112">
        <v>27200</v>
      </c>
      <c r="W112" s="2">
        <v>1.213235294117647</v>
      </c>
      <c r="AA112" t="s">
        <v>198</v>
      </c>
    </row>
    <row r="113" spans="1:27" x14ac:dyDescent="0.3">
      <c r="A113" s="3">
        <v>111</v>
      </c>
      <c r="B113">
        <v>1985</v>
      </c>
      <c r="C113" t="s">
        <v>26</v>
      </c>
      <c r="D113" t="s">
        <v>27</v>
      </c>
      <c r="E113" t="s">
        <v>31</v>
      </c>
      <c r="F113" t="s">
        <v>430</v>
      </c>
      <c r="G113" s="1" t="str">
        <f>HYPERLINK("https://new.land.naver.com/complexes/1985", "클릭")</f>
        <v>클릭</v>
      </c>
      <c r="H113">
        <v>1993</v>
      </c>
      <c r="I113">
        <v>7</v>
      </c>
      <c r="J113">
        <v>790</v>
      </c>
      <c r="K113">
        <v>33</v>
      </c>
      <c r="L113" t="s">
        <v>136</v>
      </c>
      <c r="M113" t="s">
        <v>236</v>
      </c>
      <c r="N113" t="s">
        <v>492</v>
      </c>
      <c r="O113">
        <v>33000</v>
      </c>
      <c r="P113" t="s">
        <v>492</v>
      </c>
      <c r="Q113">
        <v>17000</v>
      </c>
      <c r="R113">
        <v>16000</v>
      </c>
      <c r="S113" s="2">
        <v>0.51515151515151514</v>
      </c>
      <c r="V113">
        <v>19000</v>
      </c>
      <c r="W113" s="2">
        <v>1.736842105263158</v>
      </c>
      <c r="AA113" t="s">
        <v>198</v>
      </c>
    </row>
    <row r="114" spans="1:27" x14ac:dyDescent="0.3">
      <c r="A114" s="3">
        <v>112</v>
      </c>
      <c r="B114">
        <v>125237</v>
      </c>
      <c r="C114" t="s">
        <v>26</v>
      </c>
      <c r="D114" t="s">
        <v>27</v>
      </c>
      <c r="E114" t="s">
        <v>28</v>
      </c>
      <c r="F114" t="s">
        <v>234</v>
      </c>
      <c r="G114" s="1" t="str">
        <f>HYPERLINK("https://new.land.naver.com/complexes/125237", "클릭")</f>
        <v>클릭</v>
      </c>
      <c r="H114">
        <v>2019</v>
      </c>
      <c r="I114">
        <v>2</v>
      </c>
      <c r="J114">
        <v>41</v>
      </c>
      <c r="K114">
        <v>56</v>
      </c>
      <c r="L114" t="s">
        <v>135</v>
      </c>
      <c r="M114" t="s">
        <v>137</v>
      </c>
      <c r="N114" t="s">
        <v>478</v>
      </c>
      <c r="O114">
        <v>33000</v>
      </c>
      <c r="P114" t="s">
        <v>478</v>
      </c>
      <c r="Q114">
        <v>29000</v>
      </c>
      <c r="R114">
        <v>4000</v>
      </c>
      <c r="S114" s="2">
        <v>0.87878787878787878</v>
      </c>
      <c r="AA114" t="s">
        <v>198</v>
      </c>
    </row>
    <row r="115" spans="1:27" x14ac:dyDescent="0.3">
      <c r="A115" s="3">
        <v>113</v>
      </c>
      <c r="B115">
        <v>11385</v>
      </c>
      <c r="C115" t="s">
        <v>26</v>
      </c>
      <c r="D115" t="s">
        <v>27</v>
      </c>
      <c r="E115" t="s">
        <v>28</v>
      </c>
      <c r="F115" t="s">
        <v>300</v>
      </c>
      <c r="G115" s="1" t="str">
        <f>HYPERLINK("https://new.land.naver.com/complexes/11385", "클릭")</f>
        <v>클릭</v>
      </c>
      <c r="H115">
        <v>1982</v>
      </c>
      <c r="I115">
        <v>5</v>
      </c>
      <c r="J115">
        <v>22</v>
      </c>
      <c r="K115">
        <v>49</v>
      </c>
      <c r="L115" t="s">
        <v>135</v>
      </c>
      <c r="M115" t="s">
        <v>138</v>
      </c>
      <c r="N115" t="s">
        <v>493</v>
      </c>
      <c r="O115">
        <v>32000</v>
      </c>
      <c r="P115" t="s">
        <v>493</v>
      </c>
      <c r="Q115">
        <v>16000</v>
      </c>
      <c r="R115">
        <v>16000</v>
      </c>
      <c r="S115" s="2">
        <v>0.5</v>
      </c>
      <c r="V115">
        <v>13600</v>
      </c>
      <c r="W115" s="2">
        <v>2.3529411764705879</v>
      </c>
      <c r="AA115" t="s">
        <v>391</v>
      </c>
    </row>
    <row r="116" spans="1:27" x14ac:dyDescent="0.3">
      <c r="A116" s="3">
        <v>114</v>
      </c>
      <c r="B116">
        <v>8918</v>
      </c>
      <c r="C116" t="s">
        <v>26</v>
      </c>
      <c r="D116" t="s">
        <v>27</v>
      </c>
      <c r="E116" t="s">
        <v>28</v>
      </c>
      <c r="F116" t="s">
        <v>439</v>
      </c>
      <c r="G116" s="1" t="str">
        <f>HYPERLINK("https://new.land.naver.com/complexes/8918", "클릭")</f>
        <v>클릭</v>
      </c>
      <c r="H116">
        <v>1985</v>
      </c>
      <c r="I116">
        <v>12</v>
      </c>
      <c r="J116">
        <v>90</v>
      </c>
      <c r="K116">
        <v>55</v>
      </c>
      <c r="L116" t="s">
        <v>135</v>
      </c>
      <c r="M116" t="s">
        <v>235</v>
      </c>
      <c r="N116" t="s">
        <v>468</v>
      </c>
      <c r="O116">
        <v>32000</v>
      </c>
      <c r="P116" t="s">
        <v>468</v>
      </c>
      <c r="Q116">
        <v>13000</v>
      </c>
      <c r="R116">
        <v>19000</v>
      </c>
      <c r="S116" s="2">
        <v>0.40625</v>
      </c>
      <c r="V116">
        <v>20800</v>
      </c>
      <c r="W116" s="2">
        <v>1.538461538461539</v>
      </c>
      <c r="AA116" t="s">
        <v>198</v>
      </c>
    </row>
    <row r="117" spans="1:27" x14ac:dyDescent="0.3">
      <c r="A117" s="3">
        <v>115</v>
      </c>
      <c r="B117">
        <v>25290</v>
      </c>
      <c r="C117" t="s">
        <v>26</v>
      </c>
      <c r="D117" t="s">
        <v>27</v>
      </c>
      <c r="E117" t="s">
        <v>29</v>
      </c>
      <c r="F117" t="s">
        <v>437</v>
      </c>
      <c r="G117" s="1" t="str">
        <f>HYPERLINK("https://new.land.naver.com/complexes/25290", "클릭")</f>
        <v>클릭</v>
      </c>
      <c r="H117">
        <v>1990</v>
      </c>
      <c r="I117">
        <v>3</v>
      </c>
      <c r="J117">
        <v>65</v>
      </c>
      <c r="K117">
        <v>51</v>
      </c>
      <c r="L117" t="s">
        <v>135</v>
      </c>
      <c r="M117" t="s">
        <v>138</v>
      </c>
      <c r="N117" t="s">
        <v>339</v>
      </c>
      <c r="O117">
        <v>32000</v>
      </c>
      <c r="P117" t="s">
        <v>339</v>
      </c>
      <c r="Q117">
        <v>18000</v>
      </c>
      <c r="R117">
        <v>14000</v>
      </c>
      <c r="S117" s="2">
        <v>0.5625</v>
      </c>
      <c r="V117">
        <v>21600</v>
      </c>
      <c r="W117" s="2">
        <v>1.481481481481481</v>
      </c>
      <c r="AA117" t="s">
        <v>198</v>
      </c>
    </row>
    <row r="118" spans="1:27" x14ac:dyDescent="0.3">
      <c r="A118" s="3">
        <v>116</v>
      </c>
      <c r="B118">
        <v>9821</v>
      </c>
      <c r="C118" t="s">
        <v>26</v>
      </c>
      <c r="D118" t="s">
        <v>27</v>
      </c>
      <c r="E118" t="s">
        <v>28</v>
      </c>
      <c r="F118" t="s">
        <v>431</v>
      </c>
      <c r="G118" s="1" t="str">
        <f>HYPERLINK("https://new.land.naver.com/complexes/9821", "클릭")</f>
        <v>클릭</v>
      </c>
      <c r="H118">
        <v>1983</v>
      </c>
      <c r="I118">
        <v>11</v>
      </c>
      <c r="J118">
        <v>49</v>
      </c>
      <c r="K118">
        <v>43</v>
      </c>
      <c r="L118" t="s">
        <v>136</v>
      </c>
      <c r="M118" t="s">
        <v>235</v>
      </c>
      <c r="N118" t="s">
        <v>490</v>
      </c>
      <c r="O118">
        <v>31500</v>
      </c>
      <c r="V118">
        <v>12900</v>
      </c>
      <c r="W118" s="2">
        <v>2.441860465116279</v>
      </c>
      <c r="AA118" t="s">
        <v>198</v>
      </c>
    </row>
    <row r="119" spans="1:27" x14ac:dyDescent="0.3">
      <c r="A119" s="3">
        <v>117</v>
      </c>
      <c r="B119">
        <v>24277</v>
      </c>
      <c r="C119" t="s">
        <v>26</v>
      </c>
      <c r="D119" t="s">
        <v>27</v>
      </c>
      <c r="E119" t="s">
        <v>29</v>
      </c>
      <c r="F119" t="s">
        <v>427</v>
      </c>
      <c r="G119" s="1" t="str">
        <f>HYPERLINK("https://new.land.naver.com/complexes/24277", "클릭")</f>
        <v>클릭</v>
      </c>
      <c r="H119">
        <v>1988</v>
      </c>
      <c r="I119">
        <v>1</v>
      </c>
      <c r="J119">
        <v>55</v>
      </c>
      <c r="K119">
        <v>46</v>
      </c>
      <c r="L119" t="s">
        <v>135</v>
      </c>
      <c r="M119" t="s">
        <v>138</v>
      </c>
      <c r="N119" t="s">
        <v>494</v>
      </c>
      <c r="O119">
        <v>31000</v>
      </c>
      <c r="P119" t="s">
        <v>494</v>
      </c>
      <c r="Q119">
        <v>15000</v>
      </c>
      <c r="R119">
        <v>16000</v>
      </c>
      <c r="S119" s="2">
        <v>0.4838709677419355</v>
      </c>
      <c r="V119">
        <v>20200</v>
      </c>
      <c r="W119" s="2">
        <v>1.5346534653465349</v>
      </c>
      <c r="AA119" t="s">
        <v>204</v>
      </c>
    </row>
    <row r="120" spans="1:27" x14ac:dyDescent="0.3">
      <c r="A120" s="3">
        <v>118</v>
      </c>
      <c r="B120">
        <v>9821</v>
      </c>
      <c r="C120" t="s">
        <v>26</v>
      </c>
      <c r="D120" t="s">
        <v>27</v>
      </c>
      <c r="E120" t="s">
        <v>28</v>
      </c>
      <c r="F120" t="s">
        <v>431</v>
      </c>
      <c r="G120" s="1" t="str">
        <f>HYPERLINK("https://new.land.naver.com/complexes/9821", "클릭")</f>
        <v>클릭</v>
      </c>
      <c r="H120">
        <v>1983</v>
      </c>
      <c r="I120">
        <v>11</v>
      </c>
      <c r="J120">
        <v>49</v>
      </c>
      <c r="K120">
        <v>36</v>
      </c>
      <c r="L120" t="s">
        <v>136</v>
      </c>
      <c r="M120" t="s">
        <v>235</v>
      </c>
      <c r="N120" t="s">
        <v>495</v>
      </c>
      <c r="O120">
        <v>30000</v>
      </c>
      <c r="P120" t="s">
        <v>495</v>
      </c>
      <c r="Q120">
        <v>12000</v>
      </c>
      <c r="R120">
        <v>18000</v>
      </c>
      <c r="S120" s="2">
        <v>0.4</v>
      </c>
      <c r="V120">
        <v>12300</v>
      </c>
      <c r="W120" s="2">
        <v>2.4390243902439019</v>
      </c>
      <c r="AA120" t="s">
        <v>198</v>
      </c>
    </row>
    <row r="121" spans="1:27" x14ac:dyDescent="0.3">
      <c r="A121" s="3">
        <v>119</v>
      </c>
      <c r="B121">
        <v>2032</v>
      </c>
      <c r="C121" t="s">
        <v>26</v>
      </c>
      <c r="D121" t="s">
        <v>27</v>
      </c>
      <c r="E121" t="s">
        <v>28</v>
      </c>
      <c r="F121" t="s">
        <v>440</v>
      </c>
      <c r="G121" s="1" t="str">
        <f>HYPERLINK("https://new.land.naver.com/complexes/2032", "클릭")</f>
        <v>클릭</v>
      </c>
      <c r="H121">
        <v>1984</v>
      </c>
      <c r="I121">
        <v>12</v>
      </c>
      <c r="J121">
        <v>100</v>
      </c>
      <c r="K121">
        <v>45</v>
      </c>
      <c r="L121" t="s">
        <v>135</v>
      </c>
      <c r="M121" t="s">
        <v>138</v>
      </c>
      <c r="N121" t="s">
        <v>496</v>
      </c>
      <c r="O121">
        <v>30000</v>
      </c>
      <c r="P121" t="s">
        <v>496</v>
      </c>
      <c r="Q121">
        <v>12000</v>
      </c>
      <c r="R121">
        <v>18000</v>
      </c>
      <c r="S121" s="2">
        <v>0.4</v>
      </c>
      <c r="V121">
        <v>18000</v>
      </c>
      <c r="W121" s="2">
        <v>1.666666666666667</v>
      </c>
      <c r="AA121" t="s">
        <v>198</v>
      </c>
    </row>
    <row r="122" spans="1:27" x14ac:dyDescent="0.3">
      <c r="A122" s="3">
        <v>120</v>
      </c>
      <c r="B122">
        <v>10801</v>
      </c>
      <c r="C122" t="s">
        <v>26</v>
      </c>
      <c r="D122" t="s">
        <v>27</v>
      </c>
      <c r="E122" t="s">
        <v>28</v>
      </c>
      <c r="F122" t="s">
        <v>429</v>
      </c>
      <c r="G122" s="1" t="str">
        <f>HYPERLINK("https://new.land.naver.com/complexes/10801", "클릭")</f>
        <v>클릭</v>
      </c>
      <c r="H122">
        <v>1980</v>
      </c>
      <c r="I122">
        <v>10</v>
      </c>
      <c r="J122">
        <v>44</v>
      </c>
      <c r="K122">
        <v>43</v>
      </c>
      <c r="L122" t="s">
        <v>135</v>
      </c>
      <c r="M122" t="s">
        <v>235</v>
      </c>
      <c r="N122" t="s">
        <v>497</v>
      </c>
      <c r="O122">
        <v>30000</v>
      </c>
      <c r="P122" t="s">
        <v>497</v>
      </c>
      <c r="Q122">
        <v>12000</v>
      </c>
      <c r="R122">
        <v>18000</v>
      </c>
      <c r="S122" s="2">
        <v>0.4</v>
      </c>
      <c r="V122">
        <v>12700</v>
      </c>
      <c r="W122" s="2">
        <v>2.3622047244094491</v>
      </c>
      <c r="AA122" t="s">
        <v>198</v>
      </c>
    </row>
    <row r="123" spans="1:27" x14ac:dyDescent="0.3">
      <c r="A123" s="3">
        <v>121</v>
      </c>
      <c r="B123">
        <v>10801</v>
      </c>
      <c r="C123" t="s">
        <v>26</v>
      </c>
      <c r="D123" t="s">
        <v>27</v>
      </c>
      <c r="E123" t="s">
        <v>28</v>
      </c>
      <c r="F123" t="s">
        <v>429</v>
      </c>
      <c r="G123" s="1" t="str">
        <f>HYPERLINK("https://new.land.naver.com/complexes/10801", "클릭")</f>
        <v>클릭</v>
      </c>
      <c r="H123">
        <v>1980</v>
      </c>
      <c r="I123">
        <v>10</v>
      </c>
      <c r="J123">
        <v>44</v>
      </c>
      <c r="K123">
        <v>48</v>
      </c>
      <c r="L123" t="s">
        <v>135</v>
      </c>
      <c r="M123" t="s">
        <v>235</v>
      </c>
      <c r="N123" t="s">
        <v>498</v>
      </c>
      <c r="O123">
        <v>30000</v>
      </c>
      <c r="P123" t="s">
        <v>498</v>
      </c>
      <c r="Q123">
        <v>15000</v>
      </c>
      <c r="R123">
        <v>15000</v>
      </c>
      <c r="S123" s="2">
        <v>0.5</v>
      </c>
      <c r="V123">
        <v>13700</v>
      </c>
      <c r="W123" s="2">
        <v>2.1897810218978102</v>
      </c>
      <c r="AA123" t="s">
        <v>198</v>
      </c>
    </row>
    <row r="124" spans="1:27" x14ac:dyDescent="0.3">
      <c r="A124" s="3">
        <v>122</v>
      </c>
      <c r="B124">
        <v>10801</v>
      </c>
      <c r="C124" t="s">
        <v>26</v>
      </c>
      <c r="D124" t="s">
        <v>27</v>
      </c>
      <c r="E124" t="s">
        <v>28</v>
      </c>
      <c r="F124" t="s">
        <v>429</v>
      </c>
      <c r="G124" s="1" t="str">
        <f>HYPERLINK("https://new.land.naver.com/complexes/10801", "클릭")</f>
        <v>클릭</v>
      </c>
      <c r="H124">
        <v>1980</v>
      </c>
      <c r="I124">
        <v>10</v>
      </c>
      <c r="J124">
        <v>44</v>
      </c>
      <c r="K124">
        <v>51</v>
      </c>
      <c r="L124" t="s">
        <v>135</v>
      </c>
      <c r="M124" t="s">
        <v>235</v>
      </c>
      <c r="N124" t="s">
        <v>469</v>
      </c>
      <c r="O124">
        <v>30000</v>
      </c>
      <c r="P124" t="s">
        <v>238</v>
      </c>
      <c r="Q124">
        <v>14000</v>
      </c>
      <c r="R124">
        <v>16000</v>
      </c>
      <c r="S124" s="2">
        <v>0.46666666666666667</v>
      </c>
      <c r="V124">
        <v>13700</v>
      </c>
      <c r="W124" s="2">
        <v>2.1897810218978102</v>
      </c>
      <c r="AA124" t="s">
        <v>198</v>
      </c>
    </row>
    <row r="125" spans="1:27" x14ac:dyDescent="0.3">
      <c r="A125" s="3">
        <v>123</v>
      </c>
      <c r="B125">
        <v>25744</v>
      </c>
      <c r="C125" t="s">
        <v>26</v>
      </c>
      <c r="D125" t="s">
        <v>27</v>
      </c>
      <c r="E125" t="s">
        <v>31</v>
      </c>
      <c r="F125" t="s">
        <v>309</v>
      </c>
      <c r="G125" s="1" t="str">
        <f>HYPERLINK("https://new.land.naver.com/complexes/25744", "클릭")</f>
        <v>클릭</v>
      </c>
      <c r="H125">
        <v>1988</v>
      </c>
      <c r="I125">
        <v>4</v>
      </c>
      <c r="J125">
        <v>40</v>
      </c>
      <c r="K125">
        <v>42</v>
      </c>
      <c r="N125" t="s">
        <v>479</v>
      </c>
      <c r="O125">
        <v>30000</v>
      </c>
      <c r="AA125" t="s">
        <v>526</v>
      </c>
    </row>
    <row r="126" spans="1:27" x14ac:dyDescent="0.3">
      <c r="A126" s="3">
        <v>124</v>
      </c>
      <c r="B126">
        <v>26428</v>
      </c>
      <c r="C126" t="s">
        <v>26</v>
      </c>
      <c r="D126" t="s">
        <v>27</v>
      </c>
      <c r="E126" t="s">
        <v>30</v>
      </c>
      <c r="F126" t="s">
        <v>293</v>
      </c>
      <c r="G126" s="1" t="str">
        <f>HYPERLINK("https://new.land.naver.com/complexes/26428", "클릭")</f>
        <v>클릭</v>
      </c>
      <c r="H126">
        <v>1984</v>
      </c>
      <c r="I126">
        <v>12</v>
      </c>
      <c r="J126">
        <v>60</v>
      </c>
      <c r="K126">
        <v>51</v>
      </c>
      <c r="L126" t="s">
        <v>135</v>
      </c>
      <c r="M126" t="s">
        <v>235</v>
      </c>
      <c r="N126" t="s">
        <v>474</v>
      </c>
      <c r="O126">
        <v>30000</v>
      </c>
      <c r="P126" t="s">
        <v>474</v>
      </c>
      <c r="Q126">
        <v>17000</v>
      </c>
      <c r="R126">
        <v>13000</v>
      </c>
      <c r="S126" s="2">
        <v>0.56666666666666665</v>
      </c>
      <c r="V126">
        <v>18700</v>
      </c>
      <c r="W126" s="2">
        <v>1.6042780748663099</v>
      </c>
      <c r="AA126" t="s">
        <v>198</v>
      </c>
    </row>
    <row r="127" spans="1:27" x14ac:dyDescent="0.3">
      <c r="A127" s="3">
        <v>125</v>
      </c>
      <c r="B127">
        <v>13303</v>
      </c>
      <c r="C127" t="s">
        <v>26</v>
      </c>
      <c r="D127" t="s">
        <v>27</v>
      </c>
      <c r="E127" t="s">
        <v>29</v>
      </c>
      <c r="F127" t="s">
        <v>436</v>
      </c>
      <c r="G127" s="1" t="str">
        <f>HYPERLINK("https://new.land.naver.com/complexes/13303", "클릭")</f>
        <v>클릭</v>
      </c>
      <c r="H127">
        <v>1987</v>
      </c>
      <c r="I127">
        <v>9</v>
      </c>
      <c r="J127">
        <v>40</v>
      </c>
      <c r="K127">
        <v>37</v>
      </c>
      <c r="L127" t="s">
        <v>135</v>
      </c>
      <c r="M127" t="s">
        <v>235</v>
      </c>
      <c r="N127" t="s">
        <v>473</v>
      </c>
      <c r="O127">
        <v>30000</v>
      </c>
      <c r="P127" t="s">
        <v>473</v>
      </c>
      <c r="Q127">
        <v>14000</v>
      </c>
      <c r="R127">
        <v>16000</v>
      </c>
      <c r="S127" s="2">
        <v>0.46666666666666667</v>
      </c>
      <c r="V127">
        <v>16400</v>
      </c>
      <c r="W127" s="2">
        <v>1.8292682926829269</v>
      </c>
      <c r="AA127" t="s">
        <v>395</v>
      </c>
    </row>
    <row r="128" spans="1:27" x14ac:dyDescent="0.3">
      <c r="A128" s="3">
        <v>126</v>
      </c>
      <c r="B128">
        <v>2040</v>
      </c>
      <c r="C128" t="s">
        <v>26</v>
      </c>
      <c r="D128" t="s">
        <v>27</v>
      </c>
      <c r="E128" t="s">
        <v>28</v>
      </c>
      <c r="F128" t="s">
        <v>318</v>
      </c>
      <c r="G128" s="1" t="str">
        <f>HYPERLINK("https://new.land.naver.com/complexes/2040", "클릭")</f>
        <v>클릭</v>
      </c>
      <c r="H128">
        <v>1984</v>
      </c>
      <c r="I128">
        <v>12</v>
      </c>
      <c r="J128">
        <v>190</v>
      </c>
      <c r="K128">
        <v>56</v>
      </c>
      <c r="L128" t="s">
        <v>135</v>
      </c>
      <c r="M128" t="s">
        <v>138</v>
      </c>
      <c r="N128" t="s">
        <v>494</v>
      </c>
      <c r="O128">
        <v>29000</v>
      </c>
      <c r="P128" t="s">
        <v>494</v>
      </c>
      <c r="Q128">
        <v>16000</v>
      </c>
      <c r="R128">
        <v>13000</v>
      </c>
      <c r="S128" s="2">
        <v>0.55172413793103448</v>
      </c>
      <c r="V128">
        <v>21700</v>
      </c>
      <c r="W128" s="2">
        <v>1.336405529953917</v>
      </c>
      <c r="AA128" t="s">
        <v>198</v>
      </c>
    </row>
    <row r="129" spans="1:27" x14ac:dyDescent="0.3">
      <c r="A129" s="3">
        <v>127</v>
      </c>
      <c r="B129">
        <v>9821</v>
      </c>
      <c r="C129" t="s">
        <v>26</v>
      </c>
      <c r="D129" t="s">
        <v>27</v>
      </c>
      <c r="E129" t="s">
        <v>28</v>
      </c>
      <c r="F129" t="s">
        <v>431</v>
      </c>
      <c r="G129" s="1" t="str">
        <f>HYPERLINK("https://new.land.naver.com/complexes/9821", "클릭")</f>
        <v>클릭</v>
      </c>
      <c r="H129">
        <v>1983</v>
      </c>
      <c r="I129">
        <v>11</v>
      </c>
      <c r="J129">
        <v>49</v>
      </c>
      <c r="K129">
        <v>39</v>
      </c>
      <c r="L129" t="s">
        <v>135</v>
      </c>
      <c r="M129" t="s">
        <v>236</v>
      </c>
      <c r="N129" t="s">
        <v>499</v>
      </c>
      <c r="O129">
        <v>29000</v>
      </c>
      <c r="P129" t="s">
        <v>499</v>
      </c>
      <c r="Q129">
        <v>14000</v>
      </c>
      <c r="R129">
        <v>15000</v>
      </c>
      <c r="S129" s="2">
        <v>0.48275862068965519</v>
      </c>
      <c r="V129">
        <v>12700</v>
      </c>
      <c r="W129" s="2">
        <v>2.2834645669291338</v>
      </c>
      <c r="AA129" t="s">
        <v>198</v>
      </c>
    </row>
    <row r="130" spans="1:27" x14ac:dyDescent="0.3">
      <c r="A130" s="3">
        <v>128</v>
      </c>
      <c r="B130">
        <v>11114</v>
      </c>
      <c r="C130" t="s">
        <v>26</v>
      </c>
      <c r="D130" t="s">
        <v>27</v>
      </c>
      <c r="E130" t="s">
        <v>31</v>
      </c>
      <c r="F130" t="s">
        <v>441</v>
      </c>
      <c r="G130" s="1" t="str">
        <f>HYPERLINK("https://new.land.naver.com/complexes/11114", "클릭")</f>
        <v>클릭</v>
      </c>
      <c r="H130">
        <v>1982</v>
      </c>
      <c r="I130">
        <v>6</v>
      </c>
      <c r="J130">
        <v>40</v>
      </c>
      <c r="K130">
        <v>49</v>
      </c>
      <c r="L130" t="s">
        <v>135</v>
      </c>
      <c r="M130" t="s">
        <v>235</v>
      </c>
      <c r="N130" t="s">
        <v>371</v>
      </c>
      <c r="O130">
        <v>29000</v>
      </c>
      <c r="AA130" t="s">
        <v>199</v>
      </c>
    </row>
    <row r="131" spans="1:27" x14ac:dyDescent="0.3">
      <c r="A131" s="3">
        <v>129</v>
      </c>
      <c r="B131">
        <v>2805</v>
      </c>
      <c r="C131" t="s">
        <v>26</v>
      </c>
      <c r="D131" t="s">
        <v>27</v>
      </c>
      <c r="E131" t="s">
        <v>30</v>
      </c>
      <c r="F131" t="s">
        <v>94</v>
      </c>
      <c r="G131" s="1" t="str">
        <f>HYPERLINK("https://new.land.naver.com/complexes/2805", "클릭")</f>
        <v>클릭</v>
      </c>
      <c r="H131">
        <v>2000</v>
      </c>
      <c r="I131">
        <v>4</v>
      </c>
      <c r="J131">
        <v>230</v>
      </c>
      <c r="K131">
        <v>36</v>
      </c>
      <c r="L131" t="s">
        <v>136</v>
      </c>
      <c r="M131" t="s">
        <v>236</v>
      </c>
      <c r="N131" t="s">
        <v>500</v>
      </c>
      <c r="O131">
        <v>29000</v>
      </c>
      <c r="P131" t="s">
        <v>500</v>
      </c>
      <c r="Q131">
        <v>21000</v>
      </c>
      <c r="R131">
        <v>8000</v>
      </c>
      <c r="S131" s="2">
        <v>0.72413793103448276</v>
      </c>
      <c r="V131">
        <v>17400</v>
      </c>
      <c r="W131" s="2">
        <v>1.666666666666667</v>
      </c>
      <c r="AA131" t="s">
        <v>198</v>
      </c>
    </row>
    <row r="132" spans="1:27" x14ac:dyDescent="0.3">
      <c r="A132" s="3">
        <v>130</v>
      </c>
      <c r="B132">
        <v>13276</v>
      </c>
      <c r="C132" t="s">
        <v>26</v>
      </c>
      <c r="D132" t="s">
        <v>27</v>
      </c>
      <c r="E132" t="s">
        <v>29</v>
      </c>
      <c r="F132" t="s">
        <v>226</v>
      </c>
      <c r="G132" s="1" t="str">
        <f>HYPERLINK("https://new.land.naver.com/complexes/13276", "클릭")</f>
        <v>클릭</v>
      </c>
      <c r="H132">
        <v>1986</v>
      </c>
      <c r="I132">
        <v>9</v>
      </c>
      <c r="J132">
        <v>80</v>
      </c>
      <c r="K132">
        <v>46</v>
      </c>
      <c r="L132" t="s">
        <v>135</v>
      </c>
      <c r="M132" t="s">
        <v>235</v>
      </c>
      <c r="N132" t="s">
        <v>487</v>
      </c>
      <c r="O132">
        <v>29000</v>
      </c>
      <c r="V132">
        <v>18900</v>
      </c>
      <c r="W132" s="2">
        <v>1.534391534391534</v>
      </c>
      <c r="AA132" t="s">
        <v>201</v>
      </c>
    </row>
    <row r="133" spans="1:27" x14ac:dyDescent="0.3">
      <c r="A133" s="3">
        <v>131</v>
      </c>
      <c r="B133">
        <v>8197</v>
      </c>
      <c r="C133" t="s">
        <v>26</v>
      </c>
      <c r="D133" t="s">
        <v>27</v>
      </c>
      <c r="E133" t="s">
        <v>30</v>
      </c>
      <c r="F133" t="s">
        <v>214</v>
      </c>
      <c r="G133" s="1" t="str">
        <f>HYPERLINK("https://new.land.naver.com/complexes/8197", "클릭")</f>
        <v>클릭</v>
      </c>
      <c r="H133">
        <v>1985</v>
      </c>
      <c r="I133">
        <v>7</v>
      </c>
      <c r="J133">
        <v>120</v>
      </c>
      <c r="K133">
        <v>42</v>
      </c>
      <c r="L133" t="s">
        <v>135</v>
      </c>
      <c r="M133" t="s">
        <v>235</v>
      </c>
      <c r="N133" t="s">
        <v>484</v>
      </c>
      <c r="O133">
        <v>28500</v>
      </c>
      <c r="P133" t="s">
        <v>484</v>
      </c>
      <c r="Q133">
        <v>15000</v>
      </c>
      <c r="R133">
        <v>13500</v>
      </c>
      <c r="S133" s="2">
        <v>0.52631578947368418</v>
      </c>
      <c r="V133">
        <v>20700</v>
      </c>
      <c r="W133" s="2">
        <v>1.376811594202898</v>
      </c>
      <c r="AA133" t="s">
        <v>198</v>
      </c>
    </row>
    <row r="134" spans="1:27" x14ac:dyDescent="0.3">
      <c r="A134" s="3">
        <v>132</v>
      </c>
      <c r="B134">
        <v>12997</v>
      </c>
      <c r="C134" t="s">
        <v>26</v>
      </c>
      <c r="D134" t="s">
        <v>27</v>
      </c>
      <c r="E134" t="s">
        <v>31</v>
      </c>
      <c r="F134" t="s">
        <v>442</v>
      </c>
      <c r="G134" s="1" t="str">
        <f>HYPERLINK("https://new.land.naver.com/complexes/12997", "클릭")</f>
        <v>클릭</v>
      </c>
      <c r="H134">
        <v>1982</v>
      </c>
      <c r="I134">
        <v>9</v>
      </c>
      <c r="J134">
        <v>30</v>
      </c>
      <c r="K134">
        <v>51</v>
      </c>
      <c r="L134" t="s">
        <v>135</v>
      </c>
      <c r="M134" t="s">
        <v>138</v>
      </c>
      <c r="N134" t="s">
        <v>238</v>
      </c>
      <c r="O134">
        <v>28500</v>
      </c>
      <c r="V134">
        <v>17600</v>
      </c>
      <c r="W134" s="2">
        <v>1.6193181818181821</v>
      </c>
      <c r="AA134" t="s">
        <v>198</v>
      </c>
    </row>
    <row r="135" spans="1:27" x14ac:dyDescent="0.3">
      <c r="A135" s="3">
        <v>133</v>
      </c>
      <c r="B135">
        <v>122827</v>
      </c>
      <c r="C135" t="s">
        <v>26</v>
      </c>
      <c r="D135" t="s">
        <v>27</v>
      </c>
      <c r="E135" t="s">
        <v>31</v>
      </c>
      <c r="F135" t="s">
        <v>320</v>
      </c>
      <c r="G135" s="1" t="str">
        <f>HYPERLINK("https://new.land.naver.com/complexes/122827", "클릭")</f>
        <v>클릭</v>
      </c>
      <c r="H135">
        <v>2018</v>
      </c>
      <c r="I135">
        <v>6</v>
      </c>
      <c r="J135">
        <v>27</v>
      </c>
      <c r="K135">
        <v>49</v>
      </c>
      <c r="L135" t="s">
        <v>135</v>
      </c>
      <c r="M135" t="s">
        <v>138</v>
      </c>
      <c r="N135" t="s">
        <v>466</v>
      </c>
      <c r="O135">
        <v>28000</v>
      </c>
      <c r="AA135" t="s">
        <v>198</v>
      </c>
    </row>
    <row r="136" spans="1:27" x14ac:dyDescent="0.3">
      <c r="A136" s="3">
        <v>134</v>
      </c>
      <c r="B136">
        <v>2032</v>
      </c>
      <c r="C136" t="s">
        <v>26</v>
      </c>
      <c r="D136" t="s">
        <v>27</v>
      </c>
      <c r="E136" t="s">
        <v>28</v>
      </c>
      <c r="F136" t="s">
        <v>440</v>
      </c>
      <c r="G136" s="1" t="str">
        <f>HYPERLINK("https://new.land.naver.com/complexes/2032", "클릭")</f>
        <v>클릭</v>
      </c>
      <c r="H136">
        <v>1984</v>
      </c>
      <c r="I136">
        <v>12</v>
      </c>
      <c r="J136">
        <v>100</v>
      </c>
      <c r="K136">
        <v>44</v>
      </c>
      <c r="L136" t="s">
        <v>135</v>
      </c>
      <c r="M136" t="s">
        <v>138</v>
      </c>
      <c r="N136" t="s">
        <v>501</v>
      </c>
      <c r="O136">
        <v>28000</v>
      </c>
      <c r="P136" t="s">
        <v>501</v>
      </c>
      <c r="Q136">
        <v>14000</v>
      </c>
      <c r="R136">
        <v>14000</v>
      </c>
      <c r="S136" s="2">
        <v>0.5</v>
      </c>
      <c r="V136">
        <v>18000</v>
      </c>
      <c r="W136" s="2">
        <v>1.555555555555556</v>
      </c>
      <c r="AA136" t="s">
        <v>198</v>
      </c>
    </row>
    <row r="137" spans="1:27" x14ac:dyDescent="0.3">
      <c r="A137" s="3">
        <v>135</v>
      </c>
      <c r="B137">
        <v>2031</v>
      </c>
      <c r="C137" t="s">
        <v>26</v>
      </c>
      <c r="D137" t="s">
        <v>27</v>
      </c>
      <c r="E137" t="s">
        <v>28</v>
      </c>
      <c r="F137" t="s">
        <v>443</v>
      </c>
      <c r="G137" s="1" t="str">
        <f>HYPERLINK("https://new.land.naver.com/complexes/2031", "클릭")</f>
        <v>클릭</v>
      </c>
      <c r="H137">
        <v>1982</v>
      </c>
      <c r="I137">
        <v>12</v>
      </c>
      <c r="J137">
        <v>30</v>
      </c>
      <c r="K137">
        <v>50</v>
      </c>
      <c r="L137" t="s">
        <v>135</v>
      </c>
      <c r="M137" t="s">
        <v>138</v>
      </c>
      <c r="N137" t="s">
        <v>461</v>
      </c>
      <c r="O137">
        <v>28000</v>
      </c>
      <c r="P137" t="s">
        <v>461</v>
      </c>
      <c r="Q137">
        <v>18000</v>
      </c>
      <c r="R137">
        <v>10000</v>
      </c>
      <c r="S137" s="2">
        <v>0.6428571428571429</v>
      </c>
      <c r="V137">
        <v>15900</v>
      </c>
      <c r="W137" s="2">
        <v>1.7610062893081759</v>
      </c>
      <c r="AA137" t="s">
        <v>198</v>
      </c>
    </row>
    <row r="138" spans="1:27" x14ac:dyDescent="0.3">
      <c r="A138" s="3">
        <v>136</v>
      </c>
      <c r="B138">
        <v>1992</v>
      </c>
      <c r="C138" t="s">
        <v>26</v>
      </c>
      <c r="D138" t="s">
        <v>27</v>
      </c>
      <c r="E138" t="s">
        <v>31</v>
      </c>
      <c r="F138" t="s">
        <v>220</v>
      </c>
      <c r="G138" s="1" t="str">
        <f>HYPERLINK("https://new.land.naver.com/complexes/1992", "클릭")</f>
        <v>클릭</v>
      </c>
      <c r="H138">
        <v>1993</v>
      </c>
      <c r="I138">
        <v>11</v>
      </c>
      <c r="J138">
        <v>3227</v>
      </c>
      <c r="K138">
        <v>28</v>
      </c>
      <c r="L138" t="s">
        <v>136</v>
      </c>
      <c r="M138" t="s">
        <v>236</v>
      </c>
      <c r="N138" t="s">
        <v>502</v>
      </c>
      <c r="O138">
        <v>27500</v>
      </c>
      <c r="P138" t="s">
        <v>502</v>
      </c>
      <c r="Q138">
        <v>13100</v>
      </c>
      <c r="R138">
        <v>14400</v>
      </c>
      <c r="S138" s="2">
        <v>0.47636363636363638</v>
      </c>
      <c r="V138">
        <v>17500</v>
      </c>
      <c r="W138" s="2">
        <v>1.571428571428571</v>
      </c>
      <c r="AA138" t="s">
        <v>198</v>
      </c>
    </row>
    <row r="139" spans="1:27" x14ac:dyDescent="0.3">
      <c r="A139" s="3">
        <v>137</v>
      </c>
      <c r="B139">
        <v>113140</v>
      </c>
      <c r="C139" t="s">
        <v>26</v>
      </c>
      <c r="D139" t="s">
        <v>27</v>
      </c>
      <c r="E139" t="s">
        <v>28</v>
      </c>
      <c r="F139" t="s">
        <v>444</v>
      </c>
      <c r="G139" s="1" t="str">
        <f>HYPERLINK("https://new.land.naver.com/complexes/113140", "클릭")</f>
        <v>클릭</v>
      </c>
      <c r="H139">
        <v>2016</v>
      </c>
      <c r="I139">
        <v>4</v>
      </c>
      <c r="J139">
        <v>16</v>
      </c>
      <c r="K139">
        <v>49</v>
      </c>
      <c r="L139" t="s">
        <v>135</v>
      </c>
      <c r="M139" t="s">
        <v>236</v>
      </c>
      <c r="N139" t="s">
        <v>384</v>
      </c>
      <c r="O139">
        <v>27500</v>
      </c>
      <c r="P139" t="s">
        <v>384</v>
      </c>
      <c r="Q139">
        <v>25000</v>
      </c>
      <c r="R139">
        <v>2500</v>
      </c>
      <c r="S139" s="2">
        <v>0.90909090909090906</v>
      </c>
      <c r="AA139" t="s">
        <v>198</v>
      </c>
    </row>
    <row r="140" spans="1:27" x14ac:dyDescent="0.3">
      <c r="A140" s="3">
        <v>138</v>
      </c>
      <c r="B140">
        <v>2040</v>
      </c>
      <c r="C140" t="s">
        <v>26</v>
      </c>
      <c r="D140" t="s">
        <v>27</v>
      </c>
      <c r="E140" t="s">
        <v>28</v>
      </c>
      <c r="F140" t="s">
        <v>318</v>
      </c>
      <c r="G140" s="1" t="str">
        <f>HYPERLINK("https://new.land.naver.com/complexes/2040", "클릭")</f>
        <v>클릭</v>
      </c>
      <c r="H140">
        <v>1984</v>
      </c>
      <c r="I140">
        <v>12</v>
      </c>
      <c r="J140">
        <v>190</v>
      </c>
      <c r="K140">
        <v>53</v>
      </c>
      <c r="L140" t="s">
        <v>135</v>
      </c>
      <c r="M140" t="s">
        <v>138</v>
      </c>
      <c r="N140" t="s">
        <v>485</v>
      </c>
      <c r="O140">
        <v>27000</v>
      </c>
      <c r="P140" t="s">
        <v>485</v>
      </c>
      <c r="Q140">
        <v>14000</v>
      </c>
      <c r="R140">
        <v>13000</v>
      </c>
      <c r="S140" s="2">
        <v>0.51851851851851849</v>
      </c>
      <c r="V140">
        <v>21000</v>
      </c>
      <c r="W140" s="2">
        <v>1.285714285714286</v>
      </c>
      <c r="AA140" t="s">
        <v>198</v>
      </c>
    </row>
    <row r="141" spans="1:27" x14ac:dyDescent="0.3">
      <c r="A141" s="3">
        <v>139</v>
      </c>
      <c r="B141">
        <v>9821</v>
      </c>
      <c r="C141" t="s">
        <v>26</v>
      </c>
      <c r="D141" t="s">
        <v>27</v>
      </c>
      <c r="E141" t="s">
        <v>28</v>
      </c>
      <c r="F141" t="s">
        <v>431</v>
      </c>
      <c r="G141" s="1" t="str">
        <f>HYPERLINK("https://new.land.naver.com/complexes/9821", "클릭")</f>
        <v>클릭</v>
      </c>
      <c r="H141">
        <v>1983</v>
      </c>
      <c r="I141">
        <v>11</v>
      </c>
      <c r="J141">
        <v>49</v>
      </c>
      <c r="K141">
        <v>37</v>
      </c>
      <c r="L141" t="s">
        <v>135</v>
      </c>
      <c r="M141" t="s">
        <v>236</v>
      </c>
      <c r="N141" t="s">
        <v>503</v>
      </c>
      <c r="O141">
        <v>25000</v>
      </c>
      <c r="P141" t="s">
        <v>503</v>
      </c>
      <c r="Q141">
        <v>12000</v>
      </c>
      <c r="R141">
        <v>13000</v>
      </c>
      <c r="S141" s="2">
        <v>0.48</v>
      </c>
      <c r="V141">
        <v>12400</v>
      </c>
      <c r="W141" s="2">
        <v>2.0161290322580649</v>
      </c>
      <c r="AA141" t="s">
        <v>198</v>
      </c>
    </row>
    <row r="142" spans="1:27" x14ac:dyDescent="0.3">
      <c r="A142" s="3">
        <v>140</v>
      </c>
      <c r="B142">
        <v>11636</v>
      </c>
      <c r="C142" t="s">
        <v>26</v>
      </c>
      <c r="D142" t="s">
        <v>27</v>
      </c>
      <c r="E142" t="s">
        <v>28</v>
      </c>
      <c r="F142" t="s">
        <v>231</v>
      </c>
      <c r="G142" s="1" t="str">
        <f>HYPERLINK("https://new.land.naver.com/complexes/11636", "클릭")</f>
        <v>클릭</v>
      </c>
      <c r="H142">
        <v>1988</v>
      </c>
      <c r="I142">
        <v>3</v>
      </c>
      <c r="J142">
        <v>75</v>
      </c>
      <c r="K142">
        <v>42</v>
      </c>
      <c r="L142" t="s">
        <v>135</v>
      </c>
      <c r="M142" t="s">
        <v>235</v>
      </c>
      <c r="N142" t="s">
        <v>484</v>
      </c>
      <c r="O142">
        <v>25000</v>
      </c>
      <c r="P142" t="s">
        <v>484</v>
      </c>
      <c r="Q142">
        <v>16000</v>
      </c>
      <c r="R142">
        <v>9000</v>
      </c>
      <c r="S142" s="2">
        <v>0.64</v>
      </c>
      <c r="V142">
        <v>15900</v>
      </c>
      <c r="W142" s="2">
        <v>1.5723270440251571</v>
      </c>
      <c r="AA142" t="s">
        <v>198</v>
      </c>
    </row>
    <row r="143" spans="1:27" x14ac:dyDescent="0.3">
      <c r="A143" s="3">
        <v>141</v>
      </c>
      <c r="B143">
        <v>3080</v>
      </c>
      <c r="C143" t="s">
        <v>26</v>
      </c>
      <c r="D143" t="s">
        <v>27</v>
      </c>
      <c r="E143" t="s">
        <v>31</v>
      </c>
      <c r="F143" t="s">
        <v>102</v>
      </c>
      <c r="G143" s="1" t="str">
        <f>HYPERLINK("https://new.land.naver.com/complexes/3080", "클릭")</f>
        <v>클릭</v>
      </c>
      <c r="H143">
        <v>2003</v>
      </c>
      <c r="I143">
        <v>3</v>
      </c>
      <c r="J143">
        <v>2044</v>
      </c>
      <c r="K143">
        <v>39</v>
      </c>
      <c r="L143" t="s">
        <v>136</v>
      </c>
      <c r="M143" t="s">
        <v>236</v>
      </c>
      <c r="N143" t="s">
        <v>485</v>
      </c>
      <c r="O143">
        <v>24200</v>
      </c>
      <c r="P143" t="s">
        <v>485</v>
      </c>
      <c r="Q143">
        <v>16000</v>
      </c>
      <c r="R143">
        <v>8200</v>
      </c>
      <c r="S143" s="2">
        <v>0.66115702479338845</v>
      </c>
      <c r="V143">
        <v>17300</v>
      </c>
      <c r="W143" s="2">
        <v>1.398843930635838</v>
      </c>
      <c r="AA143" t="s">
        <v>198</v>
      </c>
    </row>
    <row r="144" spans="1:27" x14ac:dyDescent="0.3">
      <c r="A144" s="3">
        <v>142</v>
      </c>
      <c r="B144">
        <v>8812</v>
      </c>
      <c r="C144" t="s">
        <v>26</v>
      </c>
      <c r="D144" t="s">
        <v>27</v>
      </c>
      <c r="E144" t="s">
        <v>28</v>
      </c>
      <c r="F144" t="s">
        <v>103</v>
      </c>
      <c r="G144" s="1" t="str">
        <f>HYPERLINK("https://new.land.naver.com/complexes/8812", "클릭")</f>
        <v>클릭</v>
      </c>
      <c r="H144">
        <v>2001</v>
      </c>
      <c r="I144">
        <v>4</v>
      </c>
      <c r="J144">
        <v>136</v>
      </c>
      <c r="K144">
        <v>46</v>
      </c>
      <c r="L144" t="s">
        <v>135</v>
      </c>
      <c r="M144" t="s">
        <v>236</v>
      </c>
      <c r="N144" t="s">
        <v>371</v>
      </c>
      <c r="O144">
        <v>23000</v>
      </c>
      <c r="P144" t="s">
        <v>371</v>
      </c>
      <c r="Q144">
        <v>16000</v>
      </c>
      <c r="R144">
        <v>7000</v>
      </c>
      <c r="S144" s="2">
        <v>0.69565217391304346</v>
      </c>
      <c r="V144">
        <v>13200</v>
      </c>
      <c r="W144" s="2">
        <v>1.742424242424242</v>
      </c>
      <c r="AA144" t="s">
        <v>198</v>
      </c>
    </row>
    <row r="145" spans="1:27" x14ac:dyDescent="0.3">
      <c r="A145" s="3">
        <v>143</v>
      </c>
      <c r="B145">
        <v>8606</v>
      </c>
      <c r="C145" t="s">
        <v>26</v>
      </c>
      <c r="D145" t="s">
        <v>27</v>
      </c>
      <c r="E145" t="s">
        <v>28</v>
      </c>
      <c r="F145" t="s">
        <v>445</v>
      </c>
      <c r="G145" s="1" t="str">
        <f>HYPERLINK("https://new.land.naver.com/complexes/8606", "클릭")</f>
        <v>클릭</v>
      </c>
      <c r="H145">
        <v>1984</v>
      </c>
      <c r="I145">
        <v>3</v>
      </c>
      <c r="J145">
        <v>102</v>
      </c>
      <c r="K145">
        <v>52</v>
      </c>
      <c r="L145" t="s">
        <v>135</v>
      </c>
      <c r="M145" t="s">
        <v>138</v>
      </c>
      <c r="N145" t="s">
        <v>371</v>
      </c>
      <c r="O145">
        <v>23000</v>
      </c>
      <c r="P145" t="s">
        <v>371</v>
      </c>
      <c r="Q145">
        <v>10000</v>
      </c>
      <c r="R145">
        <v>13000</v>
      </c>
      <c r="S145" s="2">
        <v>0.43478260869565222</v>
      </c>
      <c r="AA145" t="s">
        <v>198</v>
      </c>
    </row>
    <row r="146" spans="1:27" x14ac:dyDescent="0.3">
      <c r="A146" s="3">
        <v>144</v>
      </c>
      <c r="B146">
        <v>8812</v>
      </c>
      <c r="C146" t="s">
        <v>26</v>
      </c>
      <c r="D146" t="s">
        <v>27</v>
      </c>
      <c r="E146" t="s">
        <v>28</v>
      </c>
      <c r="F146" t="s">
        <v>103</v>
      </c>
      <c r="G146" s="1" t="str">
        <f>HYPERLINK("https://new.land.naver.com/complexes/8812", "클릭")</f>
        <v>클릭</v>
      </c>
      <c r="H146">
        <v>2001</v>
      </c>
      <c r="I146">
        <v>4</v>
      </c>
      <c r="J146">
        <v>136</v>
      </c>
      <c r="K146">
        <v>36</v>
      </c>
      <c r="L146" t="s">
        <v>135</v>
      </c>
      <c r="M146" t="s">
        <v>236</v>
      </c>
      <c r="N146" t="s">
        <v>484</v>
      </c>
      <c r="O146">
        <v>20000</v>
      </c>
      <c r="V146">
        <v>11500</v>
      </c>
      <c r="W146" s="2">
        <v>1.7391304347826091</v>
      </c>
      <c r="AA146" t="s">
        <v>198</v>
      </c>
    </row>
    <row r="147" spans="1:27" x14ac:dyDescent="0.3">
      <c r="A147" s="3">
        <v>145</v>
      </c>
      <c r="B147">
        <v>112875</v>
      </c>
      <c r="C147" t="s">
        <v>26</v>
      </c>
      <c r="D147" t="s">
        <v>27</v>
      </c>
      <c r="E147" t="s">
        <v>29</v>
      </c>
      <c r="F147" t="s">
        <v>446</v>
      </c>
      <c r="G147" s="1" t="str">
        <f>HYPERLINK("https://new.land.naver.com/complexes/112875", "클릭")</f>
        <v>클릭</v>
      </c>
      <c r="H147">
        <v>2016</v>
      </c>
      <c r="I147">
        <v>6</v>
      </c>
      <c r="J147">
        <v>28</v>
      </c>
      <c r="K147">
        <v>25</v>
      </c>
      <c r="N147" t="s">
        <v>504</v>
      </c>
      <c r="O147">
        <v>16500</v>
      </c>
      <c r="AA147" t="s">
        <v>291</v>
      </c>
    </row>
    <row r="148" spans="1:27" x14ac:dyDescent="0.3">
      <c r="A148" s="3">
        <v>146</v>
      </c>
      <c r="B148">
        <v>112875</v>
      </c>
      <c r="C148" t="s">
        <v>26</v>
      </c>
      <c r="D148" t="s">
        <v>27</v>
      </c>
      <c r="E148" t="s">
        <v>29</v>
      </c>
      <c r="F148" t="s">
        <v>446</v>
      </c>
      <c r="G148" s="1" t="str">
        <f>HYPERLINK("https://new.land.naver.com/complexes/112875", "클릭")</f>
        <v>클릭</v>
      </c>
      <c r="H148">
        <v>2016</v>
      </c>
      <c r="I148">
        <v>6</v>
      </c>
      <c r="J148">
        <v>28</v>
      </c>
      <c r="K148">
        <v>27</v>
      </c>
      <c r="N148" t="s">
        <v>505</v>
      </c>
      <c r="O148">
        <v>15000</v>
      </c>
      <c r="AA148" t="s">
        <v>527</v>
      </c>
    </row>
    <row r="149" spans="1:27" x14ac:dyDescent="0.3">
      <c r="A149" s="3">
        <v>147</v>
      </c>
      <c r="B149">
        <v>115416</v>
      </c>
      <c r="C149" t="s">
        <v>26</v>
      </c>
      <c r="D149" t="s">
        <v>27</v>
      </c>
      <c r="E149" t="s">
        <v>28</v>
      </c>
      <c r="F149" t="s">
        <v>447</v>
      </c>
      <c r="G149" s="1" t="str">
        <f>HYPERLINK("https://new.land.naver.com/complexes/115416", "클릭")</f>
        <v>클릭</v>
      </c>
      <c r="H149">
        <v>2018</v>
      </c>
      <c r="I149">
        <v>2</v>
      </c>
      <c r="J149">
        <v>122</v>
      </c>
      <c r="K149">
        <v>16</v>
      </c>
      <c r="L149" t="s">
        <v>136</v>
      </c>
      <c r="M149" t="s">
        <v>236</v>
      </c>
      <c r="N149" t="s">
        <v>506</v>
      </c>
      <c r="O149">
        <v>14500</v>
      </c>
      <c r="P149" t="s">
        <v>506</v>
      </c>
      <c r="Q149">
        <v>12500</v>
      </c>
      <c r="R149">
        <v>2000</v>
      </c>
      <c r="S149" s="2">
        <v>0.86206896551724133</v>
      </c>
      <c r="V149">
        <v>9190</v>
      </c>
      <c r="W149" s="2">
        <v>1.577801958650707</v>
      </c>
      <c r="AA149" t="s">
        <v>198</v>
      </c>
    </row>
    <row r="150" spans="1:27" x14ac:dyDescent="0.3">
      <c r="A150" s="3">
        <v>148</v>
      </c>
      <c r="B150">
        <v>112002</v>
      </c>
      <c r="C150" t="s">
        <v>26</v>
      </c>
      <c r="D150" t="s">
        <v>27</v>
      </c>
      <c r="E150" t="s">
        <v>28</v>
      </c>
      <c r="F150" t="s">
        <v>448</v>
      </c>
      <c r="G150" s="1" t="str">
        <f>HYPERLINK("https://new.land.naver.com/complexes/112002", "클릭")</f>
        <v>클릭</v>
      </c>
      <c r="H150">
        <v>2013</v>
      </c>
      <c r="I150">
        <v>12</v>
      </c>
      <c r="J150">
        <v>72</v>
      </c>
      <c r="K150">
        <v>15</v>
      </c>
      <c r="L150" t="s">
        <v>136</v>
      </c>
      <c r="M150" t="s">
        <v>236</v>
      </c>
      <c r="N150" t="s">
        <v>507</v>
      </c>
      <c r="O150">
        <v>14300</v>
      </c>
      <c r="V150">
        <v>7930</v>
      </c>
      <c r="W150" s="2">
        <v>1.8032786885245899</v>
      </c>
      <c r="AA150" t="s">
        <v>198</v>
      </c>
    </row>
    <row r="151" spans="1:27" x14ac:dyDescent="0.3">
      <c r="A151" s="3">
        <v>149</v>
      </c>
      <c r="B151">
        <v>112467</v>
      </c>
      <c r="C151" t="s">
        <v>26</v>
      </c>
      <c r="D151" t="s">
        <v>27</v>
      </c>
      <c r="E151" t="s">
        <v>29</v>
      </c>
      <c r="F151" t="s">
        <v>449</v>
      </c>
      <c r="G151" s="1" t="str">
        <f>HYPERLINK("https://new.land.naver.com/complexes/112467", "클릭")</f>
        <v>클릭</v>
      </c>
      <c r="H151">
        <v>2014</v>
      </c>
      <c r="I151">
        <v>11</v>
      </c>
      <c r="J151">
        <v>90</v>
      </c>
      <c r="K151">
        <v>14</v>
      </c>
      <c r="L151" t="s">
        <v>136</v>
      </c>
      <c r="M151" t="s">
        <v>236</v>
      </c>
      <c r="N151" t="s">
        <v>508</v>
      </c>
      <c r="O151">
        <v>13000</v>
      </c>
      <c r="AA151" t="s">
        <v>388</v>
      </c>
    </row>
    <row r="152" spans="1:27" x14ac:dyDescent="0.3">
      <c r="A152" s="3">
        <v>150</v>
      </c>
      <c r="B152">
        <v>112002</v>
      </c>
      <c r="C152" t="s">
        <v>26</v>
      </c>
      <c r="D152" t="s">
        <v>27</v>
      </c>
      <c r="E152" t="s">
        <v>28</v>
      </c>
      <c r="F152" t="s">
        <v>448</v>
      </c>
      <c r="G152" s="1" t="str">
        <f>HYPERLINK("https://new.land.naver.com/complexes/112002", "클릭")</f>
        <v>클릭</v>
      </c>
      <c r="H152">
        <v>2013</v>
      </c>
      <c r="I152">
        <v>12</v>
      </c>
      <c r="J152">
        <v>72</v>
      </c>
      <c r="K152">
        <v>16</v>
      </c>
      <c r="N152" t="s">
        <v>509</v>
      </c>
      <c r="O152">
        <v>12500</v>
      </c>
      <c r="AA152" t="s">
        <v>528</v>
      </c>
    </row>
    <row r="153" spans="1:27" x14ac:dyDescent="0.3">
      <c r="A153" s="3">
        <v>151</v>
      </c>
      <c r="B153">
        <v>112467</v>
      </c>
      <c r="C153" t="s">
        <v>26</v>
      </c>
      <c r="D153" t="s">
        <v>27</v>
      </c>
      <c r="E153" t="s">
        <v>29</v>
      </c>
      <c r="F153" t="s">
        <v>449</v>
      </c>
      <c r="G153" s="1" t="str">
        <f>HYPERLINK("https://new.land.naver.com/complexes/112467", "클릭")</f>
        <v>클릭</v>
      </c>
      <c r="H153">
        <v>2014</v>
      </c>
      <c r="I153">
        <v>11</v>
      </c>
      <c r="J153">
        <v>90</v>
      </c>
      <c r="K153">
        <v>13</v>
      </c>
      <c r="L153" t="s">
        <v>136</v>
      </c>
      <c r="M153" t="s">
        <v>236</v>
      </c>
      <c r="N153" t="s">
        <v>510</v>
      </c>
      <c r="O153">
        <v>11500</v>
      </c>
      <c r="P153" t="s">
        <v>515</v>
      </c>
      <c r="Q153">
        <v>9500</v>
      </c>
      <c r="R153">
        <v>2000</v>
      </c>
      <c r="S153" s="2">
        <v>0.82608695652173914</v>
      </c>
      <c r="AA153" t="s">
        <v>198</v>
      </c>
    </row>
    <row r="154" spans="1:27" x14ac:dyDescent="0.3">
      <c r="A154" s="3">
        <v>152</v>
      </c>
      <c r="B154">
        <v>112002</v>
      </c>
      <c r="C154" t="s">
        <v>26</v>
      </c>
      <c r="D154" t="s">
        <v>27</v>
      </c>
      <c r="E154" t="s">
        <v>28</v>
      </c>
      <c r="F154" t="s">
        <v>448</v>
      </c>
      <c r="G154" s="1" t="str">
        <f>HYPERLINK("https://new.land.naver.com/complexes/112002", "클릭")</f>
        <v>클릭</v>
      </c>
      <c r="H154">
        <v>2013</v>
      </c>
      <c r="I154">
        <v>12</v>
      </c>
      <c r="J154">
        <v>72</v>
      </c>
      <c r="K154">
        <v>12</v>
      </c>
      <c r="N154" t="s">
        <v>511</v>
      </c>
      <c r="O154">
        <v>11000</v>
      </c>
      <c r="AA154" t="s">
        <v>411</v>
      </c>
    </row>
    <row r="155" spans="1:27" x14ac:dyDescent="0.3">
      <c r="A155" s="3">
        <v>153</v>
      </c>
      <c r="B155">
        <v>122261</v>
      </c>
      <c r="C155" t="s">
        <v>26</v>
      </c>
      <c r="D155" t="s">
        <v>27</v>
      </c>
      <c r="E155" t="s">
        <v>28</v>
      </c>
      <c r="F155" t="s">
        <v>450</v>
      </c>
      <c r="G155" s="1" t="str">
        <f>HYPERLINK("https://new.land.naver.com/complexes/122261", "클릭")</f>
        <v>클릭</v>
      </c>
      <c r="H155">
        <v>2014</v>
      </c>
      <c r="I155">
        <v>3</v>
      </c>
      <c r="J155">
        <v>95</v>
      </c>
      <c r="K155">
        <v>18</v>
      </c>
      <c r="L155" t="s">
        <v>136</v>
      </c>
      <c r="M155" t="s">
        <v>236</v>
      </c>
      <c r="N155" t="s">
        <v>512</v>
      </c>
      <c r="O155">
        <v>9000</v>
      </c>
      <c r="P155" t="s">
        <v>512</v>
      </c>
      <c r="Q155">
        <v>8500</v>
      </c>
      <c r="R155">
        <v>500</v>
      </c>
      <c r="S155" s="2">
        <v>0.94444444444444442</v>
      </c>
      <c r="AA155" t="s">
        <v>198</v>
      </c>
    </row>
    <row r="156" spans="1:27" x14ac:dyDescent="0.3">
      <c r="A156" s="3">
        <v>154</v>
      </c>
      <c r="B156">
        <v>14854</v>
      </c>
      <c r="C156" t="s">
        <v>26</v>
      </c>
      <c r="D156" t="s">
        <v>27</v>
      </c>
      <c r="E156" t="s">
        <v>29</v>
      </c>
      <c r="F156" t="s">
        <v>332</v>
      </c>
      <c r="G156" s="1" t="str">
        <f>HYPERLINK("https://new.land.naver.com/complexes/14854", "클릭")</f>
        <v>클릭</v>
      </c>
      <c r="H156">
        <v>1985</v>
      </c>
      <c r="I156">
        <v>8</v>
      </c>
      <c r="J156">
        <v>50</v>
      </c>
      <c r="K156">
        <v>52</v>
      </c>
      <c r="L156" t="s">
        <v>135</v>
      </c>
      <c r="M156" t="s">
        <v>138</v>
      </c>
      <c r="P156" t="s">
        <v>385</v>
      </c>
      <c r="Q156">
        <v>18000</v>
      </c>
    </row>
    <row r="157" spans="1:27" x14ac:dyDescent="0.3">
      <c r="A157" s="3">
        <v>155</v>
      </c>
      <c r="B157">
        <v>122827</v>
      </c>
      <c r="C157" t="s">
        <v>26</v>
      </c>
      <c r="D157" t="s">
        <v>27</v>
      </c>
      <c r="E157" t="s">
        <v>31</v>
      </c>
      <c r="F157" t="s">
        <v>320</v>
      </c>
      <c r="G157" s="1" t="str">
        <f>HYPERLINK("https://new.land.naver.com/complexes/122827", "클릭")</f>
        <v>클릭</v>
      </c>
      <c r="H157">
        <v>2018</v>
      </c>
      <c r="I157">
        <v>6</v>
      </c>
      <c r="J157">
        <v>27</v>
      </c>
      <c r="K157">
        <v>56</v>
      </c>
      <c r="P157" t="s">
        <v>254</v>
      </c>
      <c r="Q157">
        <v>25500</v>
      </c>
    </row>
    <row r="158" spans="1:27" x14ac:dyDescent="0.3">
      <c r="A158" s="3">
        <v>156</v>
      </c>
      <c r="B158">
        <v>134034</v>
      </c>
      <c r="C158" t="s">
        <v>26</v>
      </c>
      <c r="D158" t="s">
        <v>27</v>
      </c>
      <c r="E158" t="s">
        <v>29</v>
      </c>
      <c r="F158" t="s">
        <v>333</v>
      </c>
      <c r="G158" s="1" t="str">
        <f>HYPERLINK("https://new.land.naver.com/complexes/134034", "클릭")</f>
        <v>클릭</v>
      </c>
      <c r="H158">
        <v>2020</v>
      </c>
      <c r="I158">
        <v>7</v>
      </c>
      <c r="J158">
        <v>10</v>
      </c>
      <c r="K158">
        <v>48</v>
      </c>
      <c r="P158" t="s">
        <v>516</v>
      </c>
      <c r="Q158">
        <v>30000</v>
      </c>
    </row>
    <row r="159" spans="1:27" x14ac:dyDescent="0.3">
      <c r="A159" s="3">
        <v>157</v>
      </c>
      <c r="B159">
        <v>10777</v>
      </c>
      <c r="C159" t="s">
        <v>26</v>
      </c>
      <c r="D159" t="s">
        <v>27</v>
      </c>
      <c r="E159" t="s">
        <v>28</v>
      </c>
      <c r="F159" t="s">
        <v>209</v>
      </c>
      <c r="G159" s="1" t="str">
        <f>HYPERLINK("https://new.land.naver.com/complexes/10777", "클릭")</f>
        <v>클릭</v>
      </c>
      <c r="H159">
        <v>1988</v>
      </c>
      <c r="I159">
        <v>11</v>
      </c>
      <c r="J159">
        <v>45</v>
      </c>
      <c r="K159">
        <v>30</v>
      </c>
      <c r="L159" t="s">
        <v>135</v>
      </c>
      <c r="M159" t="s">
        <v>235</v>
      </c>
      <c r="P159" t="s">
        <v>517</v>
      </c>
      <c r="Q159">
        <v>60000</v>
      </c>
    </row>
    <row r="160" spans="1:27" x14ac:dyDescent="0.3">
      <c r="A160" s="3">
        <v>158</v>
      </c>
      <c r="B160">
        <v>108673</v>
      </c>
      <c r="C160" t="s">
        <v>26</v>
      </c>
      <c r="D160" t="s">
        <v>27</v>
      </c>
      <c r="E160" t="s">
        <v>28</v>
      </c>
      <c r="F160" t="s">
        <v>451</v>
      </c>
      <c r="G160" s="1" t="str">
        <f>HYPERLINK("https://new.land.naver.com/complexes/108673", "클릭")</f>
        <v>클릭</v>
      </c>
      <c r="H160">
        <v>2014</v>
      </c>
      <c r="I160">
        <v>4</v>
      </c>
      <c r="J160">
        <v>63</v>
      </c>
      <c r="K160">
        <v>13</v>
      </c>
      <c r="L160" t="s">
        <v>136</v>
      </c>
      <c r="M160" t="s">
        <v>236</v>
      </c>
      <c r="P160" t="s">
        <v>518</v>
      </c>
      <c r="Q160">
        <v>7000</v>
      </c>
      <c r="V160">
        <v>6060</v>
      </c>
    </row>
    <row r="161" spans="1:22" x14ac:dyDescent="0.3">
      <c r="A161" s="3">
        <v>159</v>
      </c>
      <c r="B161">
        <v>108673</v>
      </c>
      <c r="C161" t="s">
        <v>26</v>
      </c>
      <c r="D161" t="s">
        <v>27</v>
      </c>
      <c r="E161" t="s">
        <v>28</v>
      </c>
      <c r="F161" t="s">
        <v>451</v>
      </c>
      <c r="G161" s="1" t="str">
        <f>HYPERLINK("https://new.land.naver.com/complexes/108673", "클릭")</f>
        <v>클릭</v>
      </c>
      <c r="H161">
        <v>2014</v>
      </c>
      <c r="I161">
        <v>4</v>
      </c>
      <c r="J161">
        <v>63</v>
      </c>
      <c r="K161">
        <v>12</v>
      </c>
      <c r="P161" t="s">
        <v>519</v>
      </c>
      <c r="Q161">
        <v>8900</v>
      </c>
    </row>
    <row r="162" spans="1:22" x14ac:dyDescent="0.3">
      <c r="A162" s="3">
        <v>160</v>
      </c>
      <c r="B162">
        <v>25744</v>
      </c>
      <c r="C162" t="s">
        <v>26</v>
      </c>
      <c r="D162" t="s">
        <v>27</v>
      </c>
      <c r="E162" t="s">
        <v>31</v>
      </c>
      <c r="F162" t="s">
        <v>309</v>
      </c>
      <c r="G162" s="1" t="str">
        <f>HYPERLINK("https://new.land.naver.com/complexes/25744", "클릭")</f>
        <v>클릭</v>
      </c>
      <c r="H162">
        <v>1988</v>
      </c>
      <c r="I162">
        <v>4</v>
      </c>
      <c r="J162">
        <v>40</v>
      </c>
      <c r="K162">
        <v>49</v>
      </c>
      <c r="P162" t="s">
        <v>461</v>
      </c>
      <c r="Q162">
        <v>18000</v>
      </c>
    </row>
    <row r="163" spans="1:22" x14ac:dyDescent="0.3">
      <c r="A163" s="3">
        <v>161</v>
      </c>
      <c r="B163">
        <v>108176</v>
      </c>
      <c r="C163" t="s">
        <v>26</v>
      </c>
      <c r="D163" t="s">
        <v>27</v>
      </c>
      <c r="E163" t="s">
        <v>31</v>
      </c>
      <c r="F163" t="s">
        <v>452</v>
      </c>
      <c r="G163" s="1" t="str">
        <f>HYPERLINK("https://new.land.naver.com/complexes/108176", "클릭")</f>
        <v>클릭</v>
      </c>
      <c r="H163">
        <v>1983</v>
      </c>
      <c r="I163">
        <v>11</v>
      </c>
      <c r="J163">
        <v>19</v>
      </c>
      <c r="K163">
        <v>54</v>
      </c>
      <c r="L163" t="s">
        <v>135</v>
      </c>
      <c r="M163" t="s">
        <v>138</v>
      </c>
      <c r="P163" t="s">
        <v>371</v>
      </c>
      <c r="Q163">
        <v>13000</v>
      </c>
      <c r="V163">
        <v>27100</v>
      </c>
    </row>
    <row r="164" spans="1:22" x14ac:dyDescent="0.3">
      <c r="A164" s="3">
        <v>162</v>
      </c>
      <c r="B164">
        <v>13303</v>
      </c>
      <c r="C164" t="s">
        <v>26</v>
      </c>
      <c r="D164" t="s">
        <v>27</v>
      </c>
      <c r="E164" t="s">
        <v>29</v>
      </c>
      <c r="F164" t="s">
        <v>436</v>
      </c>
      <c r="G164" s="1" t="str">
        <f>HYPERLINK("https://new.land.naver.com/complexes/13303", "클릭")</f>
        <v>클릭</v>
      </c>
      <c r="H164">
        <v>1987</v>
      </c>
      <c r="I164">
        <v>9</v>
      </c>
      <c r="J164">
        <v>40</v>
      </c>
      <c r="K164">
        <v>49</v>
      </c>
      <c r="P164" t="s">
        <v>461</v>
      </c>
      <c r="Q164">
        <v>15000</v>
      </c>
    </row>
    <row r="165" spans="1:22" x14ac:dyDescent="0.3">
      <c r="A165" s="3">
        <v>163</v>
      </c>
      <c r="B165">
        <v>144023</v>
      </c>
      <c r="C165" t="s">
        <v>26</v>
      </c>
      <c r="D165" t="s">
        <v>27</v>
      </c>
      <c r="E165" t="s">
        <v>31</v>
      </c>
      <c r="F165" t="s">
        <v>40</v>
      </c>
      <c r="G165" s="1" t="str">
        <f>HYPERLINK("https://new.land.naver.com/complexes/144023", "클릭")</f>
        <v>클릭</v>
      </c>
      <c r="H165">
        <v>2024</v>
      </c>
      <c r="I165">
        <v>6</v>
      </c>
      <c r="J165">
        <v>2739</v>
      </c>
      <c r="K165">
        <v>39</v>
      </c>
      <c r="L165" t="s">
        <v>135</v>
      </c>
      <c r="M165" t="s">
        <v>235</v>
      </c>
      <c r="P165" t="s">
        <v>485</v>
      </c>
      <c r="Q165">
        <v>21000</v>
      </c>
    </row>
    <row r="166" spans="1:22" x14ac:dyDescent="0.3">
      <c r="A166" s="3">
        <v>164</v>
      </c>
      <c r="B166">
        <v>115416</v>
      </c>
      <c r="C166" t="s">
        <v>26</v>
      </c>
      <c r="D166" t="s">
        <v>27</v>
      </c>
      <c r="E166" t="s">
        <v>28</v>
      </c>
      <c r="F166" t="s">
        <v>447</v>
      </c>
      <c r="G166" s="1" t="str">
        <f>HYPERLINK("https://new.land.naver.com/complexes/115416", "클릭")</f>
        <v>클릭</v>
      </c>
      <c r="H166">
        <v>2018</v>
      </c>
      <c r="I166">
        <v>2</v>
      </c>
      <c r="J166">
        <v>122</v>
      </c>
      <c r="K166">
        <v>32</v>
      </c>
      <c r="P166" t="s">
        <v>520</v>
      </c>
      <c r="Q166">
        <v>24000</v>
      </c>
    </row>
    <row r="167" spans="1:22" x14ac:dyDescent="0.3">
      <c r="A167" s="3">
        <v>165</v>
      </c>
      <c r="B167">
        <v>137583</v>
      </c>
      <c r="C167" t="s">
        <v>26</v>
      </c>
      <c r="D167" t="s">
        <v>27</v>
      </c>
      <c r="E167" t="s">
        <v>28</v>
      </c>
      <c r="F167" t="s">
        <v>453</v>
      </c>
      <c r="G167" s="1" t="str">
        <f>HYPERLINK("https://new.land.naver.com/complexes/137583", "클릭")</f>
        <v>클릭</v>
      </c>
      <c r="H167">
        <v>2017</v>
      </c>
      <c r="I167">
        <v>9</v>
      </c>
      <c r="J167">
        <v>7</v>
      </c>
      <c r="K167">
        <v>49</v>
      </c>
      <c r="P167" t="s">
        <v>280</v>
      </c>
      <c r="Q167">
        <v>22000</v>
      </c>
    </row>
  </sheetData>
  <phoneticPr fontId="4" type="noConversion"/>
  <conditionalFormatting sqref="H2:H1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67">
    <cfRule type="containsBlanks" dxfId="17" priority="4">
      <formula>LEN(TRIM(R2))=0</formula>
    </cfRule>
    <cfRule type="cellIs" dxfId="16" priority="5" operator="lessThanOrEqual">
      <formula>10000</formula>
    </cfRule>
  </conditionalFormatting>
  <conditionalFormatting sqref="S2:S167">
    <cfRule type="cellIs" dxfId="15" priority="1" operator="greaterThanOrEqual">
      <formula>0.7</formula>
    </cfRule>
  </conditionalFormatting>
  <conditionalFormatting sqref="U2:U1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57"/>
  <sheetViews>
    <sheetView tabSelected="1" topLeftCell="A612" workbookViewId="0">
      <selection activeCell="Q632" sqref="Q632"/>
    </sheetView>
  </sheetViews>
  <sheetFormatPr defaultRowHeight="16.5" x14ac:dyDescent="0.3"/>
  <cols>
    <col min="1" max="1" width="4.375" bestFit="1" customWidth="1"/>
    <col min="2" max="2" width="18.375" bestFit="1" customWidth="1"/>
    <col min="3" max="3" width="7.875" style="1" bestFit="1" customWidth="1"/>
    <col min="4" max="4" width="5.625" bestFit="1" customWidth="1"/>
    <col min="5" max="5" width="4.375" bestFit="1" customWidth="1"/>
    <col min="6" max="6" width="5" bestFit="1" customWidth="1"/>
    <col min="7" max="7" width="5.625" bestFit="1" customWidth="1"/>
    <col min="8" max="8" width="8.125" bestFit="1" customWidth="1"/>
    <col min="9" max="9" width="9" bestFit="1" customWidth="1"/>
    <col min="10" max="10" width="6.625" bestFit="1" customWidth="1"/>
    <col min="11" max="11" width="9" bestFit="1" customWidth="1"/>
    <col min="12" max="12" width="6.25" bestFit="1" customWidth="1"/>
    <col min="13" max="14" width="9" bestFit="1" customWidth="1"/>
    <col min="15" max="15" width="20" style="2" bestFit="1" customWidth="1"/>
    <col min="16" max="16" width="9" bestFit="1" customWidth="1"/>
    <col min="17" max="17" width="23" style="2" bestFit="1" customWidth="1"/>
    <col min="18" max="18" width="9" bestFit="1" customWidth="1"/>
    <col min="19" max="19" width="19" style="2" bestFit="1" customWidth="1"/>
    <col min="20" max="21" width="7.125" bestFit="1" customWidth="1"/>
    <col min="22" max="22" width="5.625" bestFit="1" customWidth="1"/>
    <col min="23" max="23" width="10.75" bestFit="1" customWidth="1"/>
  </cols>
  <sheetData>
    <row r="1" spans="1:23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</row>
    <row r="2" spans="1:23" x14ac:dyDescent="0.3">
      <c r="A2" t="s">
        <v>28</v>
      </c>
      <c r="B2" t="s">
        <v>529</v>
      </c>
      <c r="C2" s="1" t="str">
        <f>HYPERLINK("https://new.land.naver.com/complexes/1456", "클릭")</f>
        <v>클릭</v>
      </c>
      <c r="D2">
        <v>1993</v>
      </c>
      <c r="E2">
        <v>7</v>
      </c>
      <c r="F2">
        <v>440</v>
      </c>
      <c r="G2">
        <v>161</v>
      </c>
      <c r="H2" t="s">
        <v>135</v>
      </c>
      <c r="I2" t="s">
        <v>551</v>
      </c>
      <c r="J2" t="s">
        <v>555</v>
      </c>
      <c r="K2">
        <v>190000</v>
      </c>
      <c r="L2" t="s">
        <v>555</v>
      </c>
      <c r="M2">
        <v>100000</v>
      </c>
      <c r="N2">
        <v>90000</v>
      </c>
      <c r="O2" s="2">
        <v>0.52631578947368418</v>
      </c>
      <c r="R2">
        <v>103200</v>
      </c>
      <c r="S2" s="2">
        <v>1.841085271317829</v>
      </c>
      <c r="W2" t="s">
        <v>198</v>
      </c>
    </row>
    <row r="3" spans="1:23" x14ac:dyDescent="0.3">
      <c r="A3" t="s">
        <v>30</v>
      </c>
      <c r="B3" t="s">
        <v>530</v>
      </c>
      <c r="C3" s="1" t="str">
        <f>HYPERLINK("https://new.land.naver.com/complexes/1451", "클릭")</f>
        <v>클릭</v>
      </c>
      <c r="D3">
        <v>1993</v>
      </c>
      <c r="E3">
        <v>11</v>
      </c>
      <c r="F3">
        <v>422</v>
      </c>
      <c r="G3">
        <v>158</v>
      </c>
      <c r="H3" t="s">
        <v>135</v>
      </c>
      <c r="I3" t="s">
        <v>139</v>
      </c>
      <c r="J3" t="s">
        <v>556</v>
      </c>
      <c r="K3">
        <v>180000</v>
      </c>
      <c r="L3" t="s">
        <v>556</v>
      </c>
      <c r="M3">
        <v>95000</v>
      </c>
      <c r="N3">
        <v>85000</v>
      </c>
      <c r="O3" s="2">
        <v>0.52777777777777779</v>
      </c>
      <c r="R3">
        <v>89700</v>
      </c>
      <c r="S3" s="2">
        <v>2.0066889632107019</v>
      </c>
      <c r="W3" t="s">
        <v>198</v>
      </c>
    </row>
    <row r="4" spans="1:23" x14ac:dyDescent="0.3">
      <c r="A4" t="s">
        <v>31</v>
      </c>
      <c r="B4" t="s">
        <v>40</v>
      </c>
      <c r="C4" s="1" t="str">
        <f>HYPERLINK("https://new.land.naver.com/complexes/144023", "클릭")</f>
        <v>클릭</v>
      </c>
      <c r="D4">
        <v>2024</v>
      </c>
      <c r="E4">
        <v>6</v>
      </c>
      <c r="F4">
        <v>2739</v>
      </c>
      <c r="G4">
        <v>110</v>
      </c>
      <c r="H4" t="s">
        <v>135</v>
      </c>
      <c r="I4" t="s">
        <v>137</v>
      </c>
      <c r="J4" t="s">
        <v>557</v>
      </c>
      <c r="K4">
        <v>180000</v>
      </c>
      <c r="L4" t="s">
        <v>557</v>
      </c>
      <c r="M4">
        <v>90000</v>
      </c>
      <c r="N4">
        <v>90000</v>
      </c>
      <c r="O4" s="2">
        <v>0.5</v>
      </c>
      <c r="W4" t="s">
        <v>198</v>
      </c>
    </row>
    <row r="5" spans="1:23" x14ac:dyDescent="0.3">
      <c r="A5" t="s">
        <v>28</v>
      </c>
      <c r="B5" t="s">
        <v>531</v>
      </c>
      <c r="C5" s="1" t="str">
        <f>HYPERLINK("https://new.land.naver.com/complexes/1459", "클릭")</f>
        <v>클릭</v>
      </c>
      <c r="D5">
        <v>1992</v>
      </c>
      <c r="E5">
        <v>9</v>
      </c>
      <c r="F5">
        <v>466</v>
      </c>
      <c r="G5">
        <v>158</v>
      </c>
      <c r="H5" t="s">
        <v>135</v>
      </c>
      <c r="I5" t="s">
        <v>139</v>
      </c>
      <c r="J5" t="s">
        <v>558</v>
      </c>
      <c r="K5">
        <v>175000</v>
      </c>
      <c r="L5" t="s">
        <v>558</v>
      </c>
      <c r="M5">
        <v>85000</v>
      </c>
      <c r="N5">
        <v>90000</v>
      </c>
      <c r="O5" s="2">
        <v>0.48571428571428571</v>
      </c>
      <c r="R5">
        <v>100000</v>
      </c>
      <c r="S5" s="2">
        <v>1.75</v>
      </c>
      <c r="W5" t="s">
        <v>198</v>
      </c>
    </row>
    <row r="6" spans="1:23" x14ac:dyDescent="0.3">
      <c r="A6" t="s">
        <v>28</v>
      </c>
      <c r="B6" t="s">
        <v>532</v>
      </c>
      <c r="C6" s="1" t="str">
        <f>HYPERLINK("https://new.land.naver.com/complexes/1457", "클릭")</f>
        <v>클릭</v>
      </c>
      <c r="D6">
        <v>1992</v>
      </c>
      <c r="E6">
        <v>11</v>
      </c>
      <c r="F6">
        <v>480</v>
      </c>
      <c r="G6">
        <v>172</v>
      </c>
      <c r="H6" t="s">
        <v>135</v>
      </c>
      <c r="I6" t="s">
        <v>552</v>
      </c>
      <c r="J6" t="s">
        <v>559</v>
      </c>
      <c r="K6">
        <v>172000</v>
      </c>
      <c r="L6" t="s">
        <v>559</v>
      </c>
      <c r="M6">
        <v>120000</v>
      </c>
      <c r="N6">
        <v>52000</v>
      </c>
      <c r="O6" s="2">
        <v>0.69767441860465118</v>
      </c>
      <c r="R6">
        <v>94900</v>
      </c>
      <c r="S6" s="2">
        <v>1.812434141201265</v>
      </c>
      <c r="W6" t="s">
        <v>198</v>
      </c>
    </row>
    <row r="7" spans="1:23" x14ac:dyDescent="0.3">
      <c r="A7" t="s">
        <v>30</v>
      </c>
      <c r="B7" t="s">
        <v>533</v>
      </c>
      <c r="C7" s="1" t="str">
        <f>HYPERLINK("https://new.land.naver.com/complexes/1448", "클릭")</f>
        <v>클릭</v>
      </c>
      <c r="D7">
        <v>1993</v>
      </c>
      <c r="E7">
        <v>9</v>
      </c>
      <c r="F7">
        <v>250</v>
      </c>
      <c r="G7">
        <v>133</v>
      </c>
      <c r="H7" t="s">
        <v>135</v>
      </c>
      <c r="I7" t="s">
        <v>139</v>
      </c>
      <c r="J7" t="s">
        <v>560</v>
      </c>
      <c r="K7">
        <v>170000</v>
      </c>
      <c r="L7" t="s">
        <v>560</v>
      </c>
      <c r="M7">
        <v>89000</v>
      </c>
      <c r="N7">
        <v>81000</v>
      </c>
      <c r="O7" s="2">
        <v>0.52352941176470591</v>
      </c>
      <c r="R7">
        <v>87800</v>
      </c>
      <c r="S7" s="2">
        <v>1.93621867881549</v>
      </c>
      <c r="W7" t="s">
        <v>198</v>
      </c>
    </row>
    <row r="8" spans="1:23" x14ac:dyDescent="0.3">
      <c r="A8" t="s">
        <v>30</v>
      </c>
      <c r="B8" t="s">
        <v>42</v>
      </c>
      <c r="C8" s="1" t="str">
        <f>HYPERLINK("https://new.land.naver.com/complexes/1450", "클릭")</f>
        <v>클릭</v>
      </c>
      <c r="D8">
        <v>1992</v>
      </c>
      <c r="E8">
        <v>9</v>
      </c>
      <c r="F8">
        <v>548</v>
      </c>
      <c r="G8">
        <v>154</v>
      </c>
      <c r="H8" t="s">
        <v>135</v>
      </c>
      <c r="I8" t="s">
        <v>551</v>
      </c>
      <c r="J8" t="s">
        <v>561</v>
      </c>
      <c r="K8">
        <v>170000</v>
      </c>
      <c r="L8" t="s">
        <v>561</v>
      </c>
      <c r="M8">
        <v>83000</v>
      </c>
      <c r="N8">
        <v>87000</v>
      </c>
      <c r="O8" s="2">
        <v>0.48823529411764699</v>
      </c>
      <c r="R8">
        <v>80800</v>
      </c>
      <c r="S8" s="2">
        <v>2.1039603960396041</v>
      </c>
      <c r="W8" t="s">
        <v>198</v>
      </c>
    </row>
    <row r="9" spans="1:23" x14ac:dyDescent="0.3">
      <c r="A9" t="s">
        <v>30</v>
      </c>
      <c r="B9" t="s">
        <v>534</v>
      </c>
      <c r="C9" s="1" t="str">
        <f>HYPERLINK("https://new.land.naver.com/complexes/26459", "클릭")</f>
        <v>클릭</v>
      </c>
      <c r="D9">
        <v>2010</v>
      </c>
      <c r="E9">
        <v>6</v>
      </c>
      <c r="F9">
        <v>220</v>
      </c>
      <c r="G9">
        <v>157</v>
      </c>
      <c r="H9" t="s">
        <v>135</v>
      </c>
      <c r="I9" t="s">
        <v>139</v>
      </c>
      <c r="J9" t="s">
        <v>562</v>
      </c>
      <c r="K9">
        <v>170000</v>
      </c>
      <c r="L9" t="s">
        <v>562</v>
      </c>
      <c r="M9">
        <v>95000</v>
      </c>
      <c r="N9">
        <v>75000</v>
      </c>
      <c r="O9" s="2">
        <v>0.55882352941176472</v>
      </c>
      <c r="R9">
        <v>96000</v>
      </c>
      <c r="S9" s="2">
        <v>1.770833333333333</v>
      </c>
      <c r="W9" t="s">
        <v>198</v>
      </c>
    </row>
    <row r="10" spans="1:23" x14ac:dyDescent="0.3">
      <c r="A10" t="s">
        <v>30</v>
      </c>
      <c r="B10" t="s">
        <v>535</v>
      </c>
      <c r="C10" s="1" t="str">
        <f>HYPERLINK("https://new.land.naver.com/complexes/1453", "클릭")</f>
        <v>클릭</v>
      </c>
      <c r="D10">
        <v>1993</v>
      </c>
      <c r="E10">
        <v>11</v>
      </c>
      <c r="F10">
        <v>386</v>
      </c>
      <c r="G10">
        <v>183</v>
      </c>
      <c r="H10" t="s">
        <v>135</v>
      </c>
      <c r="I10" t="s">
        <v>551</v>
      </c>
      <c r="J10" t="s">
        <v>563</v>
      </c>
      <c r="K10">
        <v>170000</v>
      </c>
      <c r="L10" t="s">
        <v>563</v>
      </c>
      <c r="M10">
        <v>95000</v>
      </c>
      <c r="N10">
        <v>75000</v>
      </c>
      <c r="O10" s="2">
        <v>0.55882352941176472</v>
      </c>
      <c r="R10">
        <v>95600</v>
      </c>
      <c r="S10" s="2">
        <v>1.7782426778242679</v>
      </c>
      <c r="W10" t="s">
        <v>198</v>
      </c>
    </row>
    <row r="11" spans="1:23" x14ac:dyDescent="0.3">
      <c r="A11" t="s">
        <v>28</v>
      </c>
      <c r="B11" t="s">
        <v>532</v>
      </c>
      <c r="C11" s="1" t="str">
        <f>HYPERLINK("https://new.land.naver.com/complexes/1457", "클릭")</f>
        <v>클릭</v>
      </c>
      <c r="D11">
        <v>1992</v>
      </c>
      <c r="E11">
        <v>11</v>
      </c>
      <c r="F11">
        <v>480</v>
      </c>
      <c r="G11">
        <v>152</v>
      </c>
      <c r="H11" t="s">
        <v>135</v>
      </c>
      <c r="I11" t="s">
        <v>139</v>
      </c>
      <c r="J11" t="s">
        <v>564</v>
      </c>
      <c r="K11">
        <v>168000</v>
      </c>
      <c r="L11" t="s">
        <v>564</v>
      </c>
      <c r="M11">
        <v>80000</v>
      </c>
      <c r="N11">
        <v>88000</v>
      </c>
      <c r="O11" s="2">
        <v>0.47619047619047622</v>
      </c>
      <c r="R11">
        <v>98500</v>
      </c>
      <c r="S11" s="2">
        <v>1.7055837563451779</v>
      </c>
      <c r="W11" t="s">
        <v>198</v>
      </c>
    </row>
    <row r="12" spans="1:23" x14ac:dyDescent="0.3">
      <c r="A12" t="s">
        <v>30</v>
      </c>
      <c r="B12" t="s">
        <v>534</v>
      </c>
      <c r="C12" s="1" t="str">
        <f>HYPERLINK("https://new.land.naver.com/complexes/26459", "클릭")</f>
        <v>클릭</v>
      </c>
      <c r="D12">
        <v>2010</v>
      </c>
      <c r="E12">
        <v>6</v>
      </c>
      <c r="F12">
        <v>220</v>
      </c>
      <c r="G12">
        <v>151</v>
      </c>
      <c r="H12" t="s">
        <v>135</v>
      </c>
      <c r="I12" t="s">
        <v>139</v>
      </c>
      <c r="J12" t="s">
        <v>565</v>
      </c>
      <c r="K12">
        <v>165000</v>
      </c>
      <c r="L12" t="s">
        <v>565</v>
      </c>
      <c r="M12">
        <v>80000</v>
      </c>
      <c r="N12">
        <v>85000</v>
      </c>
      <c r="O12" s="2">
        <v>0.48484848484848492</v>
      </c>
      <c r="R12">
        <v>94000</v>
      </c>
      <c r="S12" s="2">
        <v>1.7553191489361699</v>
      </c>
      <c r="W12" t="s">
        <v>198</v>
      </c>
    </row>
    <row r="13" spans="1:23" x14ac:dyDescent="0.3">
      <c r="A13" t="s">
        <v>30</v>
      </c>
      <c r="B13" t="s">
        <v>534</v>
      </c>
      <c r="C13" s="1" t="str">
        <f>HYPERLINK("https://new.land.naver.com/complexes/26459", "클릭")</f>
        <v>클릭</v>
      </c>
      <c r="D13">
        <v>2010</v>
      </c>
      <c r="E13">
        <v>6</v>
      </c>
      <c r="F13">
        <v>220</v>
      </c>
      <c r="G13">
        <v>152</v>
      </c>
      <c r="H13" t="s">
        <v>135</v>
      </c>
      <c r="I13" t="s">
        <v>139</v>
      </c>
      <c r="J13" t="s">
        <v>566</v>
      </c>
      <c r="K13">
        <v>165000</v>
      </c>
      <c r="L13" t="s">
        <v>566</v>
      </c>
      <c r="M13">
        <v>90000</v>
      </c>
      <c r="N13">
        <v>75000</v>
      </c>
      <c r="O13" s="2">
        <v>0.54545454545454541</v>
      </c>
      <c r="R13">
        <v>94000</v>
      </c>
      <c r="S13" s="2">
        <v>1.7553191489361699</v>
      </c>
      <c r="W13" t="s">
        <v>198</v>
      </c>
    </row>
    <row r="14" spans="1:23" x14ac:dyDescent="0.3">
      <c r="A14" t="s">
        <v>30</v>
      </c>
      <c r="B14" t="s">
        <v>536</v>
      </c>
      <c r="C14" s="1" t="str">
        <f>HYPERLINK("https://new.land.naver.com/complexes/1446", "클릭")</f>
        <v>클릭</v>
      </c>
      <c r="D14">
        <v>1994</v>
      </c>
      <c r="E14">
        <v>4</v>
      </c>
      <c r="F14">
        <v>386</v>
      </c>
      <c r="G14">
        <v>145</v>
      </c>
      <c r="H14" t="s">
        <v>135</v>
      </c>
      <c r="I14" t="s">
        <v>551</v>
      </c>
      <c r="J14" t="s">
        <v>567</v>
      </c>
      <c r="K14">
        <v>160000</v>
      </c>
      <c r="L14" t="s">
        <v>567</v>
      </c>
      <c r="M14">
        <v>82500</v>
      </c>
      <c r="N14">
        <v>77500</v>
      </c>
      <c r="O14" s="2">
        <v>0.515625</v>
      </c>
      <c r="R14">
        <v>81600</v>
      </c>
      <c r="S14" s="2">
        <v>1.9607843137254899</v>
      </c>
      <c r="W14" t="s">
        <v>198</v>
      </c>
    </row>
    <row r="15" spans="1:23" x14ac:dyDescent="0.3">
      <c r="A15" t="s">
        <v>30</v>
      </c>
      <c r="B15" t="s">
        <v>537</v>
      </c>
      <c r="C15" s="1" t="str">
        <f>HYPERLINK("https://new.land.naver.com/complexes/1452", "클릭")</f>
        <v>클릭</v>
      </c>
      <c r="D15">
        <v>1993</v>
      </c>
      <c r="E15">
        <v>8</v>
      </c>
      <c r="F15">
        <v>566</v>
      </c>
      <c r="G15">
        <v>172</v>
      </c>
      <c r="H15" t="s">
        <v>135</v>
      </c>
      <c r="I15" t="s">
        <v>553</v>
      </c>
      <c r="J15" t="s">
        <v>568</v>
      </c>
      <c r="K15">
        <v>160000</v>
      </c>
      <c r="L15" t="s">
        <v>568</v>
      </c>
      <c r="M15">
        <v>100000</v>
      </c>
      <c r="N15">
        <v>60000</v>
      </c>
      <c r="O15" s="2">
        <v>0.625</v>
      </c>
      <c r="R15">
        <v>94700</v>
      </c>
      <c r="S15" s="2">
        <v>1.6895459345300949</v>
      </c>
      <c r="W15" t="s">
        <v>643</v>
      </c>
    </row>
    <row r="16" spans="1:23" x14ac:dyDescent="0.3">
      <c r="A16" t="s">
        <v>28</v>
      </c>
      <c r="B16" t="s">
        <v>529</v>
      </c>
      <c r="C16" s="1" t="str">
        <f>HYPERLINK("https://new.land.naver.com/complexes/1456", "클릭")</f>
        <v>클릭</v>
      </c>
      <c r="D16">
        <v>1993</v>
      </c>
      <c r="E16">
        <v>7</v>
      </c>
      <c r="F16">
        <v>440</v>
      </c>
      <c r="G16">
        <v>131</v>
      </c>
      <c r="H16" t="s">
        <v>135</v>
      </c>
      <c r="I16" t="s">
        <v>139</v>
      </c>
      <c r="J16" t="s">
        <v>569</v>
      </c>
      <c r="K16">
        <v>160000</v>
      </c>
      <c r="L16" t="s">
        <v>569</v>
      </c>
      <c r="M16">
        <v>92000</v>
      </c>
      <c r="N16">
        <v>68000</v>
      </c>
      <c r="O16" s="2">
        <v>0.57499999999999996</v>
      </c>
      <c r="R16">
        <v>96500</v>
      </c>
      <c r="S16" s="2">
        <v>1.658031088082901</v>
      </c>
      <c r="W16" t="s">
        <v>198</v>
      </c>
    </row>
    <row r="17" spans="1:23" x14ac:dyDescent="0.3">
      <c r="A17" t="s">
        <v>28</v>
      </c>
      <c r="B17" t="s">
        <v>532</v>
      </c>
      <c r="C17" s="1" t="str">
        <f>HYPERLINK("https://new.land.naver.com/complexes/1457", "클릭")</f>
        <v>클릭</v>
      </c>
      <c r="D17">
        <v>1992</v>
      </c>
      <c r="E17">
        <v>11</v>
      </c>
      <c r="F17">
        <v>480</v>
      </c>
      <c r="G17">
        <v>134</v>
      </c>
      <c r="H17" t="s">
        <v>135</v>
      </c>
      <c r="I17" t="s">
        <v>139</v>
      </c>
      <c r="J17" t="s">
        <v>570</v>
      </c>
      <c r="K17">
        <v>160000</v>
      </c>
      <c r="L17" t="s">
        <v>570</v>
      </c>
      <c r="M17">
        <v>90000</v>
      </c>
      <c r="N17">
        <v>70000</v>
      </c>
      <c r="O17" s="2">
        <v>0.5625</v>
      </c>
      <c r="R17">
        <v>98200</v>
      </c>
      <c r="S17" s="2">
        <v>1.629327902240326</v>
      </c>
      <c r="W17" t="s">
        <v>198</v>
      </c>
    </row>
    <row r="18" spans="1:23" x14ac:dyDescent="0.3">
      <c r="A18" t="s">
        <v>28</v>
      </c>
      <c r="B18" t="s">
        <v>531</v>
      </c>
      <c r="C18" s="1" t="str">
        <f>HYPERLINK("https://new.land.naver.com/complexes/1459", "클릭")</f>
        <v>클릭</v>
      </c>
      <c r="D18">
        <v>1992</v>
      </c>
      <c r="E18">
        <v>9</v>
      </c>
      <c r="F18">
        <v>466</v>
      </c>
      <c r="G18">
        <v>133</v>
      </c>
      <c r="H18" t="s">
        <v>135</v>
      </c>
      <c r="I18" t="s">
        <v>139</v>
      </c>
      <c r="J18" t="s">
        <v>571</v>
      </c>
      <c r="K18">
        <v>160000</v>
      </c>
      <c r="L18" t="s">
        <v>571</v>
      </c>
      <c r="M18">
        <v>95000</v>
      </c>
      <c r="N18">
        <v>65000</v>
      </c>
      <c r="O18" s="2">
        <v>0.59375</v>
      </c>
      <c r="R18">
        <v>95700</v>
      </c>
      <c r="S18" s="2">
        <v>1.671891327063741</v>
      </c>
      <c r="W18" t="s">
        <v>198</v>
      </c>
    </row>
    <row r="19" spans="1:23" x14ac:dyDescent="0.3">
      <c r="A19" t="s">
        <v>28</v>
      </c>
      <c r="B19" t="s">
        <v>37</v>
      </c>
      <c r="C19" s="1" t="str">
        <f>HYPERLINK("https://new.land.naver.com/complexes/113297", "클릭")</f>
        <v>클릭</v>
      </c>
      <c r="D19">
        <v>2019</v>
      </c>
      <c r="E19">
        <v>3</v>
      </c>
      <c r="F19">
        <v>1174</v>
      </c>
      <c r="G19">
        <v>114</v>
      </c>
      <c r="H19" t="s">
        <v>135</v>
      </c>
      <c r="I19" t="s">
        <v>139</v>
      </c>
      <c r="J19" t="s">
        <v>572</v>
      </c>
      <c r="K19">
        <v>159000</v>
      </c>
      <c r="L19" t="s">
        <v>572</v>
      </c>
      <c r="M19">
        <v>80000</v>
      </c>
      <c r="N19">
        <v>79000</v>
      </c>
      <c r="O19" s="2">
        <v>0.50314465408805031</v>
      </c>
      <c r="R19">
        <v>74400</v>
      </c>
      <c r="S19" s="2">
        <v>2.137096774193548</v>
      </c>
      <c r="W19" t="s">
        <v>198</v>
      </c>
    </row>
    <row r="20" spans="1:23" x14ac:dyDescent="0.3">
      <c r="A20" t="s">
        <v>30</v>
      </c>
      <c r="B20" t="s">
        <v>538</v>
      </c>
      <c r="C20" s="1" t="str">
        <f>HYPERLINK("https://new.land.naver.com/complexes/1447", "클릭")</f>
        <v>클릭</v>
      </c>
      <c r="D20">
        <v>1993</v>
      </c>
      <c r="E20">
        <v>10</v>
      </c>
      <c r="F20">
        <v>196</v>
      </c>
      <c r="G20">
        <v>133</v>
      </c>
      <c r="H20" t="s">
        <v>135</v>
      </c>
      <c r="I20" t="s">
        <v>139</v>
      </c>
      <c r="J20" t="s">
        <v>560</v>
      </c>
      <c r="K20">
        <v>155000</v>
      </c>
      <c r="L20" t="s">
        <v>560</v>
      </c>
      <c r="M20">
        <v>76000</v>
      </c>
      <c r="N20">
        <v>79000</v>
      </c>
      <c r="O20" s="2">
        <v>0.49032258064516132</v>
      </c>
      <c r="R20">
        <v>77600</v>
      </c>
      <c r="S20" s="2">
        <v>1.9974226804123709</v>
      </c>
      <c r="W20" t="s">
        <v>287</v>
      </c>
    </row>
    <row r="21" spans="1:23" x14ac:dyDescent="0.3">
      <c r="A21" t="s">
        <v>30</v>
      </c>
      <c r="B21" t="s">
        <v>534</v>
      </c>
      <c r="C21" s="1" t="str">
        <f>HYPERLINK("https://new.land.naver.com/complexes/26459", "클릭")</f>
        <v>클릭</v>
      </c>
      <c r="D21">
        <v>2010</v>
      </c>
      <c r="E21">
        <v>6</v>
      </c>
      <c r="F21">
        <v>220</v>
      </c>
      <c r="G21">
        <v>130</v>
      </c>
      <c r="H21" t="s">
        <v>135</v>
      </c>
      <c r="I21" t="s">
        <v>139</v>
      </c>
      <c r="J21" t="s">
        <v>560</v>
      </c>
      <c r="K21">
        <v>155000</v>
      </c>
      <c r="L21" t="s">
        <v>560</v>
      </c>
      <c r="M21">
        <v>75000</v>
      </c>
      <c r="N21">
        <v>80000</v>
      </c>
      <c r="O21" s="2">
        <v>0.4838709677419355</v>
      </c>
      <c r="R21">
        <v>85800</v>
      </c>
      <c r="S21" s="2">
        <v>1.806526806526807</v>
      </c>
      <c r="W21" t="s">
        <v>198</v>
      </c>
    </row>
    <row r="22" spans="1:23" x14ac:dyDescent="0.3">
      <c r="A22" t="s">
        <v>29</v>
      </c>
      <c r="B22" t="s">
        <v>539</v>
      </c>
      <c r="C22" s="1" t="str">
        <f>HYPERLINK("https://new.land.naver.com/complexes/102625", "클릭")</f>
        <v>클릭</v>
      </c>
      <c r="D22">
        <v>2012</v>
      </c>
      <c r="E22">
        <v>3</v>
      </c>
      <c r="F22">
        <v>711</v>
      </c>
      <c r="G22">
        <v>135</v>
      </c>
      <c r="H22" t="s">
        <v>135</v>
      </c>
      <c r="I22" t="s">
        <v>139</v>
      </c>
      <c r="J22" t="s">
        <v>573</v>
      </c>
      <c r="K22">
        <v>155000</v>
      </c>
      <c r="L22" t="s">
        <v>638</v>
      </c>
      <c r="M22">
        <v>85000</v>
      </c>
      <c r="N22">
        <v>70000</v>
      </c>
      <c r="O22" s="2">
        <v>0.54838709677419351</v>
      </c>
      <c r="R22">
        <v>104600</v>
      </c>
      <c r="S22" s="2">
        <v>1.481835564053537</v>
      </c>
      <c r="W22" t="s">
        <v>198</v>
      </c>
    </row>
    <row r="23" spans="1:23" x14ac:dyDescent="0.3">
      <c r="A23" t="s">
        <v>28</v>
      </c>
      <c r="B23" t="s">
        <v>532</v>
      </c>
      <c r="C23" s="1" t="str">
        <f>HYPERLINK("https://new.land.naver.com/complexes/1457", "클릭")</f>
        <v>클릭</v>
      </c>
      <c r="D23">
        <v>1992</v>
      </c>
      <c r="E23">
        <v>11</v>
      </c>
      <c r="F23">
        <v>480</v>
      </c>
      <c r="G23">
        <v>122</v>
      </c>
      <c r="H23" t="s">
        <v>135</v>
      </c>
      <c r="I23" t="s">
        <v>139</v>
      </c>
      <c r="J23" t="s">
        <v>574</v>
      </c>
      <c r="K23">
        <v>153000</v>
      </c>
      <c r="L23" t="s">
        <v>574</v>
      </c>
      <c r="M23">
        <v>70000</v>
      </c>
      <c r="N23">
        <v>83000</v>
      </c>
      <c r="O23" s="2">
        <v>0.45751633986928097</v>
      </c>
      <c r="R23">
        <v>89800</v>
      </c>
      <c r="S23" s="2">
        <v>1.703786191536748</v>
      </c>
      <c r="W23" t="s">
        <v>198</v>
      </c>
    </row>
    <row r="24" spans="1:23" x14ac:dyDescent="0.3">
      <c r="A24" t="s">
        <v>28</v>
      </c>
      <c r="B24" t="s">
        <v>540</v>
      </c>
      <c r="C24" s="1" t="str">
        <f>HYPERLINK("https://new.land.naver.com/complexes/1442", "클릭")</f>
        <v>클릭</v>
      </c>
      <c r="D24">
        <v>1992</v>
      </c>
      <c r="E24">
        <v>9</v>
      </c>
      <c r="F24">
        <v>384</v>
      </c>
      <c r="G24">
        <v>175</v>
      </c>
      <c r="H24" t="s">
        <v>135</v>
      </c>
      <c r="I24" t="s">
        <v>139</v>
      </c>
      <c r="J24" t="s">
        <v>575</v>
      </c>
      <c r="K24">
        <v>150000</v>
      </c>
      <c r="L24" t="s">
        <v>575</v>
      </c>
      <c r="M24">
        <v>62000</v>
      </c>
      <c r="N24">
        <v>88000</v>
      </c>
      <c r="O24" s="2">
        <v>0.41333333333333327</v>
      </c>
      <c r="R24">
        <v>70100</v>
      </c>
      <c r="S24" s="2">
        <v>2.1398002853067051</v>
      </c>
      <c r="W24" t="s">
        <v>198</v>
      </c>
    </row>
    <row r="25" spans="1:23" x14ac:dyDescent="0.3">
      <c r="A25" t="s">
        <v>28</v>
      </c>
      <c r="B25" t="s">
        <v>414</v>
      </c>
      <c r="C25" s="1" t="str">
        <f>HYPERLINK("https://new.land.naver.com/complexes/8961", "클릭")</f>
        <v>클릭</v>
      </c>
      <c r="D25">
        <v>1986</v>
      </c>
      <c r="E25">
        <v>2</v>
      </c>
      <c r="F25">
        <v>80</v>
      </c>
      <c r="G25">
        <v>47</v>
      </c>
      <c r="H25" t="s">
        <v>135</v>
      </c>
      <c r="I25" t="s">
        <v>235</v>
      </c>
      <c r="J25" t="s">
        <v>238</v>
      </c>
      <c r="K25">
        <v>150000</v>
      </c>
      <c r="L25" t="s">
        <v>238</v>
      </c>
      <c r="M25">
        <v>50000</v>
      </c>
      <c r="N25">
        <v>100000</v>
      </c>
      <c r="O25" s="2">
        <v>0.33333333333333331</v>
      </c>
      <c r="R25">
        <v>39800</v>
      </c>
      <c r="S25" s="2">
        <v>3.7688442211055282</v>
      </c>
      <c r="W25" t="s">
        <v>198</v>
      </c>
    </row>
    <row r="26" spans="1:23" x14ac:dyDescent="0.3">
      <c r="A26" t="s">
        <v>30</v>
      </c>
      <c r="B26" t="s">
        <v>535</v>
      </c>
      <c r="C26" s="1" t="str">
        <f>HYPERLINK("https://new.land.naver.com/complexes/1453", "클릭")</f>
        <v>클릭</v>
      </c>
      <c r="D26">
        <v>1993</v>
      </c>
      <c r="E26">
        <v>11</v>
      </c>
      <c r="F26">
        <v>386</v>
      </c>
      <c r="G26">
        <v>134</v>
      </c>
      <c r="H26" t="s">
        <v>135</v>
      </c>
      <c r="I26" t="s">
        <v>139</v>
      </c>
      <c r="J26" t="s">
        <v>560</v>
      </c>
      <c r="K26">
        <v>150000</v>
      </c>
      <c r="L26" t="s">
        <v>560</v>
      </c>
      <c r="M26">
        <v>85000</v>
      </c>
      <c r="N26">
        <v>65000</v>
      </c>
      <c r="O26" s="2">
        <v>0.56666666666666665</v>
      </c>
      <c r="R26">
        <v>81500</v>
      </c>
      <c r="S26" s="2">
        <v>1.8404907975460121</v>
      </c>
      <c r="W26" t="s">
        <v>198</v>
      </c>
    </row>
    <row r="27" spans="1:23" x14ac:dyDescent="0.3">
      <c r="A27" t="s">
        <v>28</v>
      </c>
      <c r="B27" t="s">
        <v>541</v>
      </c>
      <c r="C27" s="1" t="str">
        <f>HYPERLINK("https://new.land.naver.com/complexes/1458", "클릭")</f>
        <v>클릭</v>
      </c>
      <c r="D27">
        <v>1994</v>
      </c>
      <c r="E27">
        <v>7</v>
      </c>
      <c r="F27">
        <v>578</v>
      </c>
      <c r="G27">
        <v>150</v>
      </c>
      <c r="H27" t="s">
        <v>135</v>
      </c>
      <c r="I27" t="s">
        <v>139</v>
      </c>
      <c r="J27" t="s">
        <v>576</v>
      </c>
      <c r="K27">
        <v>150000</v>
      </c>
      <c r="L27" t="s">
        <v>576</v>
      </c>
      <c r="M27">
        <v>85000</v>
      </c>
      <c r="N27">
        <v>65000</v>
      </c>
      <c r="O27" s="2">
        <v>0.56666666666666665</v>
      </c>
      <c r="R27">
        <v>95600</v>
      </c>
      <c r="S27" s="2">
        <v>1.5690376569037661</v>
      </c>
      <c r="W27" t="s">
        <v>198</v>
      </c>
    </row>
    <row r="28" spans="1:23" x14ac:dyDescent="0.3">
      <c r="A28" t="s">
        <v>29</v>
      </c>
      <c r="B28" t="s">
        <v>542</v>
      </c>
      <c r="C28" s="1" t="str">
        <f>HYPERLINK("https://new.land.naver.com/complexes/16151", "클릭")</f>
        <v>클릭</v>
      </c>
      <c r="D28">
        <v>1985</v>
      </c>
      <c r="E28">
        <v>9</v>
      </c>
      <c r="F28">
        <v>60</v>
      </c>
      <c r="G28">
        <v>153</v>
      </c>
      <c r="H28" t="s">
        <v>135</v>
      </c>
      <c r="I28" t="s">
        <v>139</v>
      </c>
      <c r="J28" t="s">
        <v>566</v>
      </c>
      <c r="K28">
        <v>150000</v>
      </c>
      <c r="W28" t="s">
        <v>198</v>
      </c>
    </row>
    <row r="29" spans="1:23" x14ac:dyDescent="0.3">
      <c r="A29" t="s">
        <v>31</v>
      </c>
      <c r="B29" t="s">
        <v>58</v>
      </c>
      <c r="C29" s="1" t="str">
        <f>HYPERLINK("https://new.land.naver.com/complexes/1995", "클릭")</f>
        <v>클릭</v>
      </c>
      <c r="D29">
        <v>1985</v>
      </c>
      <c r="E29">
        <v>11</v>
      </c>
      <c r="F29">
        <v>540</v>
      </c>
      <c r="G29">
        <v>164</v>
      </c>
      <c r="H29" t="s">
        <v>135</v>
      </c>
      <c r="I29" t="s">
        <v>551</v>
      </c>
      <c r="J29" t="s">
        <v>577</v>
      </c>
      <c r="K29">
        <v>148400</v>
      </c>
      <c r="R29">
        <v>78800</v>
      </c>
      <c r="S29" s="2">
        <v>1.883248730964467</v>
      </c>
      <c r="W29" t="s">
        <v>198</v>
      </c>
    </row>
    <row r="30" spans="1:23" x14ac:dyDescent="0.3">
      <c r="A30" t="s">
        <v>28</v>
      </c>
      <c r="B30" t="s">
        <v>209</v>
      </c>
      <c r="C30" s="1" t="str">
        <f>HYPERLINK("https://new.land.naver.com/complexes/10777", "클릭")</f>
        <v>클릭</v>
      </c>
      <c r="D30">
        <v>1988</v>
      </c>
      <c r="E30">
        <v>11</v>
      </c>
      <c r="F30">
        <v>45</v>
      </c>
      <c r="G30">
        <v>36</v>
      </c>
      <c r="H30" t="s">
        <v>135</v>
      </c>
      <c r="I30" t="s">
        <v>235</v>
      </c>
      <c r="J30" t="s">
        <v>454</v>
      </c>
      <c r="K30">
        <v>145000</v>
      </c>
      <c r="L30" t="s">
        <v>454</v>
      </c>
      <c r="M30">
        <v>50000</v>
      </c>
      <c r="N30">
        <v>95000</v>
      </c>
      <c r="O30" s="2">
        <v>0.34482758620689657</v>
      </c>
      <c r="W30" t="s">
        <v>198</v>
      </c>
    </row>
    <row r="31" spans="1:23" x14ac:dyDescent="0.3">
      <c r="A31" t="s">
        <v>28</v>
      </c>
      <c r="B31" t="s">
        <v>209</v>
      </c>
      <c r="C31" s="1" t="str">
        <f>HYPERLINK("https://new.land.naver.com/complexes/10777", "클릭")</f>
        <v>클릭</v>
      </c>
      <c r="D31">
        <v>1988</v>
      </c>
      <c r="E31">
        <v>11</v>
      </c>
      <c r="F31">
        <v>45</v>
      </c>
      <c r="G31">
        <v>58</v>
      </c>
      <c r="H31" t="s">
        <v>135</v>
      </c>
      <c r="I31" t="s">
        <v>138</v>
      </c>
      <c r="J31" t="s">
        <v>237</v>
      </c>
      <c r="K31">
        <v>145000</v>
      </c>
      <c r="L31" t="s">
        <v>237</v>
      </c>
      <c r="M31">
        <v>53000</v>
      </c>
      <c r="N31">
        <v>92000</v>
      </c>
      <c r="O31" s="2">
        <v>0.36551724137931041</v>
      </c>
      <c r="W31" t="s">
        <v>198</v>
      </c>
    </row>
    <row r="32" spans="1:23" x14ac:dyDescent="0.3">
      <c r="A32" t="s">
        <v>30</v>
      </c>
      <c r="B32" t="s">
        <v>530</v>
      </c>
      <c r="C32" s="1" t="str">
        <f>HYPERLINK("https://new.land.naver.com/complexes/1451", "클릭")</f>
        <v>클릭</v>
      </c>
      <c r="D32">
        <v>1993</v>
      </c>
      <c r="E32">
        <v>11</v>
      </c>
      <c r="F32">
        <v>422</v>
      </c>
      <c r="G32">
        <v>132</v>
      </c>
      <c r="H32" t="s">
        <v>135</v>
      </c>
      <c r="I32" t="s">
        <v>139</v>
      </c>
      <c r="J32" t="s">
        <v>571</v>
      </c>
      <c r="K32">
        <v>145000</v>
      </c>
      <c r="L32" t="s">
        <v>571</v>
      </c>
      <c r="M32">
        <v>72000</v>
      </c>
      <c r="N32">
        <v>73000</v>
      </c>
      <c r="O32" s="2">
        <v>0.49655172413793103</v>
      </c>
      <c r="R32">
        <v>82600</v>
      </c>
      <c r="S32" s="2">
        <v>1.75544794188862</v>
      </c>
      <c r="W32" t="s">
        <v>198</v>
      </c>
    </row>
    <row r="33" spans="1:23" x14ac:dyDescent="0.3">
      <c r="A33" t="s">
        <v>29</v>
      </c>
      <c r="B33" t="s">
        <v>33</v>
      </c>
      <c r="C33" s="1" t="str">
        <f>HYPERLINK("https://new.land.naver.com/complexes/107579", "클릭")</f>
        <v>클릭</v>
      </c>
      <c r="D33">
        <v>2016</v>
      </c>
      <c r="E33">
        <v>6</v>
      </c>
      <c r="F33">
        <v>1459</v>
      </c>
      <c r="G33">
        <v>96</v>
      </c>
      <c r="H33" t="s">
        <v>135</v>
      </c>
      <c r="I33" t="s">
        <v>139</v>
      </c>
      <c r="J33" t="s">
        <v>578</v>
      </c>
      <c r="K33">
        <v>145000</v>
      </c>
      <c r="L33" t="s">
        <v>578</v>
      </c>
      <c r="M33">
        <v>85000</v>
      </c>
      <c r="N33">
        <v>60000</v>
      </c>
      <c r="O33" s="2">
        <v>0.58620689655172409</v>
      </c>
      <c r="R33">
        <v>86300</v>
      </c>
      <c r="S33" s="2">
        <v>1.6801853997682501</v>
      </c>
      <c r="W33" t="s">
        <v>198</v>
      </c>
    </row>
    <row r="34" spans="1:23" x14ac:dyDescent="0.3">
      <c r="A34" t="s">
        <v>29</v>
      </c>
      <c r="B34" t="s">
        <v>539</v>
      </c>
      <c r="C34" s="1" t="str">
        <f>HYPERLINK("https://new.land.naver.com/complexes/102625", "클릭")</f>
        <v>클릭</v>
      </c>
      <c r="D34">
        <v>2012</v>
      </c>
      <c r="E34">
        <v>3</v>
      </c>
      <c r="F34">
        <v>711</v>
      </c>
      <c r="G34">
        <v>120</v>
      </c>
      <c r="H34" t="s">
        <v>135</v>
      </c>
      <c r="I34" t="s">
        <v>139</v>
      </c>
      <c r="J34" t="s">
        <v>579</v>
      </c>
      <c r="K34">
        <v>145000</v>
      </c>
      <c r="L34" t="s">
        <v>579</v>
      </c>
      <c r="M34">
        <v>75000</v>
      </c>
      <c r="N34">
        <v>70000</v>
      </c>
      <c r="O34" s="2">
        <v>0.51724137931034486</v>
      </c>
      <c r="R34">
        <v>91700</v>
      </c>
      <c r="S34" s="2">
        <v>1.581243184296619</v>
      </c>
      <c r="W34" t="s">
        <v>198</v>
      </c>
    </row>
    <row r="35" spans="1:23" x14ac:dyDescent="0.3">
      <c r="A35" t="s">
        <v>28</v>
      </c>
      <c r="B35" t="s">
        <v>32</v>
      </c>
      <c r="C35" s="1" t="str">
        <f>HYPERLINK("https://new.land.naver.com/complexes/154917", "클릭")</f>
        <v>클릭</v>
      </c>
      <c r="D35">
        <v>2023</v>
      </c>
      <c r="E35">
        <v>11</v>
      </c>
      <c r="F35">
        <v>2886</v>
      </c>
      <c r="G35">
        <v>99</v>
      </c>
      <c r="H35" t="s">
        <v>135</v>
      </c>
      <c r="I35" t="s">
        <v>137</v>
      </c>
      <c r="J35" t="s">
        <v>580</v>
      </c>
      <c r="K35">
        <v>145000</v>
      </c>
      <c r="L35" t="s">
        <v>580</v>
      </c>
      <c r="M35">
        <v>71000</v>
      </c>
      <c r="N35">
        <v>74000</v>
      </c>
      <c r="O35" s="2">
        <v>0.48965517241379308</v>
      </c>
      <c r="W35" t="s">
        <v>198</v>
      </c>
    </row>
    <row r="36" spans="1:23" x14ac:dyDescent="0.3">
      <c r="A36" t="s">
        <v>28</v>
      </c>
      <c r="B36" t="s">
        <v>210</v>
      </c>
      <c r="C36" s="1" t="str">
        <f>HYPERLINK("https://new.land.naver.com/complexes/8981", "클릭")</f>
        <v>클릭</v>
      </c>
      <c r="D36">
        <v>1983</v>
      </c>
      <c r="E36">
        <v>9</v>
      </c>
      <c r="F36">
        <v>100</v>
      </c>
      <c r="G36">
        <v>57</v>
      </c>
      <c r="H36" t="s">
        <v>135</v>
      </c>
      <c r="I36" t="s">
        <v>138</v>
      </c>
      <c r="J36" t="s">
        <v>238</v>
      </c>
      <c r="K36">
        <v>140500</v>
      </c>
      <c r="L36" t="s">
        <v>238</v>
      </c>
      <c r="M36">
        <v>50000</v>
      </c>
      <c r="N36">
        <v>90500</v>
      </c>
      <c r="O36" s="2">
        <v>0.35587188612099652</v>
      </c>
      <c r="P36">
        <v>49300</v>
      </c>
      <c r="Q36" s="2">
        <v>1.8498985801217041</v>
      </c>
      <c r="R36">
        <v>35800</v>
      </c>
      <c r="S36" s="2">
        <v>3.924581005586592</v>
      </c>
      <c r="W36" t="s">
        <v>198</v>
      </c>
    </row>
    <row r="37" spans="1:23" x14ac:dyDescent="0.3">
      <c r="A37" t="s">
        <v>30</v>
      </c>
      <c r="B37" t="s">
        <v>537</v>
      </c>
      <c r="C37" s="1" t="str">
        <f>HYPERLINK("https://new.land.naver.com/complexes/1452", "클릭")</f>
        <v>클릭</v>
      </c>
      <c r="D37">
        <v>1993</v>
      </c>
      <c r="E37">
        <v>8</v>
      </c>
      <c r="F37">
        <v>566</v>
      </c>
      <c r="G37">
        <v>117</v>
      </c>
      <c r="H37" t="s">
        <v>135</v>
      </c>
      <c r="I37" t="s">
        <v>139</v>
      </c>
      <c r="J37" t="s">
        <v>581</v>
      </c>
      <c r="K37">
        <v>140000</v>
      </c>
      <c r="L37" t="s">
        <v>581</v>
      </c>
      <c r="M37">
        <v>75000</v>
      </c>
      <c r="N37">
        <v>65000</v>
      </c>
      <c r="O37" s="2">
        <v>0.5357142857142857</v>
      </c>
      <c r="R37">
        <v>83800</v>
      </c>
      <c r="S37" s="2">
        <v>1.670644391408115</v>
      </c>
      <c r="W37" t="s">
        <v>198</v>
      </c>
    </row>
    <row r="38" spans="1:23" x14ac:dyDescent="0.3">
      <c r="A38" t="s">
        <v>28</v>
      </c>
      <c r="B38" t="s">
        <v>543</v>
      </c>
      <c r="C38" s="1" t="str">
        <f>HYPERLINK("https://new.land.naver.com/complexes/3016", "클릭")</f>
        <v>클릭</v>
      </c>
      <c r="D38">
        <v>1992</v>
      </c>
      <c r="E38">
        <v>10</v>
      </c>
      <c r="F38">
        <v>516</v>
      </c>
      <c r="G38">
        <v>164</v>
      </c>
      <c r="H38" t="s">
        <v>135</v>
      </c>
      <c r="I38" t="s">
        <v>551</v>
      </c>
      <c r="J38" t="s">
        <v>582</v>
      </c>
      <c r="K38">
        <v>140000</v>
      </c>
      <c r="L38" t="s">
        <v>582</v>
      </c>
      <c r="M38">
        <v>85000</v>
      </c>
      <c r="N38">
        <v>55000</v>
      </c>
      <c r="O38" s="2">
        <v>0.6071428571428571</v>
      </c>
      <c r="R38">
        <v>85100</v>
      </c>
      <c r="S38" s="2">
        <v>1.6451233842538191</v>
      </c>
      <c r="W38" t="s">
        <v>198</v>
      </c>
    </row>
    <row r="39" spans="1:23" x14ac:dyDescent="0.3">
      <c r="A39" t="s">
        <v>28</v>
      </c>
      <c r="B39" t="s">
        <v>334</v>
      </c>
      <c r="C39" s="1" t="str">
        <f>HYPERLINK("https://new.land.naver.com/complexes/1441", "클릭")</f>
        <v>클릭</v>
      </c>
      <c r="D39">
        <v>1993</v>
      </c>
      <c r="E39">
        <v>11</v>
      </c>
      <c r="F39">
        <v>1072</v>
      </c>
      <c r="G39">
        <v>164</v>
      </c>
      <c r="H39" t="s">
        <v>135</v>
      </c>
      <c r="I39" t="s">
        <v>551</v>
      </c>
      <c r="J39" t="s">
        <v>583</v>
      </c>
      <c r="K39">
        <v>140000</v>
      </c>
      <c r="L39" t="s">
        <v>583</v>
      </c>
      <c r="M39">
        <v>55000</v>
      </c>
      <c r="N39">
        <v>85000</v>
      </c>
      <c r="O39" s="2">
        <v>0.39285714285714279</v>
      </c>
      <c r="R39">
        <v>70200</v>
      </c>
      <c r="S39" s="2">
        <v>1.994301994301994</v>
      </c>
      <c r="W39" t="s">
        <v>198</v>
      </c>
    </row>
    <row r="40" spans="1:23" x14ac:dyDescent="0.3">
      <c r="A40" t="s">
        <v>28</v>
      </c>
      <c r="B40" t="s">
        <v>541</v>
      </c>
      <c r="C40" s="1" t="str">
        <f>HYPERLINK("https://new.land.naver.com/complexes/1458", "클릭")</f>
        <v>클릭</v>
      </c>
      <c r="D40">
        <v>1994</v>
      </c>
      <c r="E40">
        <v>7</v>
      </c>
      <c r="F40">
        <v>578</v>
      </c>
      <c r="G40">
        <v>128</v>
      </c>
      <c r="H40" t="s">
        <v>135</v>
      </c>
      <c r="I40" t="s">
        <v>139</v>
      </c>
      <c r="J40" t="s">
        <v>584</v>
      </c>
      <c r="K40">
        <v>140000</v>
      </c>
      <c r="L40" t="s">
        <v>584</v>
      </c>
      <c r="M40">
        <v>72000</v>
      </c>
      <c r="N40">
        <v>68000</v>
      </c>
      <c r="O40" s="2">
        <v>0.51428571428571423</v>
      </c>
      <c r="R40">
        <v>92000</v>
      </c>
      <c r="S40" s="2">
        <v>1.5217391304347829</v>
      </c>
      <c r="W40" t="s">
        <v>198</v>
      </c>
    </row>
    <row r="41" spans="1:23" x14ac:dyDescent="0.3">
      <c r="A41" t="s">
        <v>30</v>
      </c>
      <c r="B41" t="s">
        <v>544</v>
      </c>
      <c r="C41" s="1" t="str">
        <f>HYPERLINK("https://new.land.naver.com/complexes/1449", "클릭")</f>
        <v>클릭</v>
      </c>
      <c r="D41">
        <v>1994</v>
      </c>
      <c r="E41">
        <v>4</v>
      </c>
      <c r="F41">
        <v>372</v>
      </c>
      <c r="G41">
        <v>130</v>
      </c>
      <c r="H41" t="s">
        <v>135</v>
      </c>
      <c r="I41" t="s">
        <v>139</v>
      </c>
      <c r="J41" t="s">
        <v>560</v>
      </c>
      <c r="K41">
        <v>140000</v>
      </c>
      <c r="L41" t="s">
        <v>560</v>
      </c>
      <c r="M41">
        <v>80000</v>
      </c>
      <c r="N41">
        <v>60000</v>
      </c>
      <c r="O41" s="2">
        <v>0.5714285714285714</v>
      </c>
      <c r="R41">
        <v>74200</v>
      </c>
      <c r="S41" s="2">
        <v>1.8867924528301889</v>
      </c>
      <c r="W41" t="s">
        <v>198</v>
      </c>
    </row>
    <row r="42" spans="1:23" x14ac:dyDescent="0.3">
      <c r="A42" t="s">
        <v>28</v>
      </c>
      <c r="B42" t="s">
        <v>532</v>
      </c>
      <c r="C42" s="1" t="str">
        <f>HYPERLINK("https://new.land.naver.com/complexes/1457", "클릭")</f>
        <v>클릭</v>
      </c>
      <c r="D42">
        <v>1992</v>
      </c>
      <c r="E42">
        <v>11</v>
      </c>
      <c r="F42">
        <v>480</v>
      </c>
      <c r="G42">
        <v>98</v>
      </c>
      <c r="H42" t="s">
        <v>135</v>
      </c>
      <c r="I42" t="s">
        <v>137</v>
      </c>
      <c r="J42" t="s">
        <v>167</v>
      </c>
      <c r="K42">
        <v>140000</v>
      </c>
      <c r="L42" t="s">
        <v>167</v>
      </c>
      <c r="M42">
        <v>70000</v>
      </c>
      <c r="N42">
        <v>70000</v>
      </c>
      <c r="O42" s="2">
        <v>0.5</v>
      </c>
      <c r="R42">
        <v>84000</v>
      </c>
      <c r="S42" s="2">
        <v>1.666666666666667</v>
      </c>
      <c r="W42" t="s">
        <v>198</v>
      </c>
    </row>
    <row r="43" spans="1:23" x14ac:dyDescent="0.3">
      <c r="A43" t="s">
        <v>31</v>
      </c>
      <c r="B43" t="s">
        <v>38</v>
      </c>
      <c r="C43" s="1" t="str">
        <f>HYPERLINK("https://new.land.naver.com/complexes/126060", "클릭")</f>
        <v>클릭</v>
      </c>
      <c r="D43">
        <v>2022</v>
      </c>
      <c r="E43">
        <v>3</v>
      </c>
      <c r="F43">
        <v>1199</v>
      </c>
      <c r="G43">
        <v>97</v>
      </c>
      <c r="H43" t="s">
        <v>135</v>
      </c>
      <c r="I43" t="s">
        <v>137</v>
      </c>
      <c r="J43" t="s">
        <v>585</v>
      </c>
      <c r="K43">
        <v>138000</v>
      </c>
      <c r="L43" t="s">
        <v>580</v>
      </c>
      <c r="M43">
        <v>81000</v>
      </c>
      <c r="N43">
        <v>57000</v>
      </c>
      <c r="O43" s="2">
        <v>0.58695652173913049</v>
      </c>
      <c r="R43">
        <v>75000</v>
      </c>
      <c r="S43" s="2">
        <v>1.84</v>
      </c>
      <c r="W43" t="s">
        <v>198</v>
      </c>
    </row>
    <row r="44" spans="1:23" x14ac:dyDescent="0.3">
      <c r="A44" t="s">
        <v>28</v>
      </c>
      <c r="B44" t="s">
        <v>414</v>
      </c>
      <c r="C44" s="1" t="str">
        <f>HYPERLINK("https://new.land.naver.com/complexes/8961", "클릭")</f>
        <v>클릭</v>
      </c>
      <c r="D44">
        <v>1986</v>
      </c>
      <c r="E44">
        <v>2</v>
      </c>
      <c r="F44">
        <v>80</v>
      </c>
      <c r="G44">
        <v>56</v>
      </c>
      <c r="H44" t="s">
        <v>135</v>
      </c>
      <c r="I44" t="s">
        <v>235</v>
      </c>
      <c r="J44" t="s">
        <v>248</v>
      </c>
      <c r="K44">
        <v>138000</v>
      </c>
      <c r="L44" t="s">
        <v>248</v>
      </c>
      <c r="M44">
        <v>60000</v>
      </c>
      <c r="N44">
        <v>78000</v>
      </c>
      <c r="O44" s="2">
        <v>0.43478260869565222</v>
      </c>
      <c r="R44">
        <v>43000</v>
      </c>
      <c r="S44" s="2">
        <v>3.2093023255813948</v>
      </c>
      <c r="W44" t="s">
        <v>204</v>
      </c>
    </row>
    <row r="45" spans="1:23" x14ac:dyDescent="0.3">
      <c r="A45" t="s">
        <v>28</v>
      </c>
      <c r="B45" t="s">
        <v>531</v>
      </c>
      <c r="C45" s="1" t="str">
        <f>HYPERLINK("https://new.land.naver.com/complexes/1459", "클릭")</f>
        <v>클릭</v>
      </c>
      <c r="D45">
        <v>1992</v>
      </c>
      <c r="E45">
        <v>9</v>
      </c>
      <c r="F45">
        <v>466</v>
      </c>
      <c r="G45">
        <v>101</v>
      </c>
      <c r="H45" t="s">
        <v>135</v>
      </c>
      <c r="I45" t="s">
        <v>139</v>
      </c>
      <c r="J45" t="s">
        <v>586</v>
      </c>
      <c r="K45">
        <v>138000</v>
      </c>
      <c r="L45" t="s">
        <v>586</v>
      </c>
      <c r="M45">
        <v>65000</v>
      </c>
      <c r="N45">
        <v>73000</v>
      </c>
      <c r="O45" s="2">
        <v>0.47101449275362323</v>
      </c>
      <c r="R45">
        <v>75400</v>
      </c>
      <c r="S45" s="2">
        <v>1.830238726790451</v>
      </c>
      <c r="W45" t="s">
        <v>198</v>
      </c>
    </row>
    <row r="46" spans="1:23" x14ac:dyDescent="0.3">
      <c r="A46" t="s">
        <v>31</v>
      </c>
      <c r="B46" t="s">
        <v>51</v>
      </c>
      <c r="C46" s="1" t="str">
        <f>HYPERLINK("https://new.land.naver.com/complexes/13922", "클릭")</f>
        <v>클릭</v>
      </c>
      <c r="D46">
        <v>1981</v>
      </c>
      <c r="E46">
        <v>9</v>
      </c>
      <c r="F46">
        <v>912</v>
      </c>
      <c r="G46">
        <v>117</v>
      </c>
      <c r="H46" t="s">
        <v>136</v>
      </c>
      <c r="I46" t="s">
        <v>137</v>
      </c>
      <c r="J46" t="s">
        <v>587</v>
      </c>
      <c r="K46">
        <v>137400</v>
      </c>
      <c r="R46">
        <v>57000</v>
      </c>
      <c r="S46" s="2">
        <v>2.4105263157894741</v>
      </c>
      <c r="W46" t="s">
        <v>198</v>
      </c>
    </row>
    <row r="47" spans="1:23" x14ac:dyDescent="0.3">
      <c r="A47" t="s">
        <v>30</v>
      </c>
      <c r="B47" t="s">
        <v>536</v>
      </c>
      <c r="C47" s="1" t="str">
        <f>HYPERLINK("https://new.land.naver.com/complexes/1446", "클릭")</f>
        <v>클릭</v>
      </c>
      <c r="D47">
        <v>1994</v>
      </c>
      <c r="E47">
        <v>4</v>
      </c>
      <c r="F47">
        <v>386</v>
      </c>
      <c r="G47">
        <v>133</v>
      </c>
      <c r="H47" t="s">
        <v>135</v>
      </c>
      <c r="I47" t="s">
        <v>139</v>
      </c>
      <c r="J47" t="s">
        <v>560</v>
      </c>
      <c r="K47">
        <v>135000</v>
      </c>
      <c r="L47" t="s">
        <v>560</v>
      </c>
      <c r="M47">
        <v>83000</v>
      </c>
      <c r="N47">
        <v>52000</v>
      </c>
      <c r="O47" s="2">
        <v>0.61481481481481481</v>
      </c>
      <c r="R47">
        <v>74900</v>
      </c>
      <c r="S47" s="2">
        <v>1.802403204272363</v>
      </c>
      <c r="W47" t="s">
        <v>200</v>
      </c>
    </row>
    <row r="48" spans="1:23" x14ac:dyDescent="0.3">
      <c r="A48" t="s">
        <v>30</v>
      </c>
      <c r="B48" t="s">
        <v>537</v>
      </c>
      <c r="C48" s="1" t="str">
        <f>HYPERLINK("https://new.land.naver.com/complexes/1452", "클릭")</f>
        <v>클릭</v>
      </c>
      <c r="D48">
        <v>1993</v>
      </c>
      <c r="E48">
        <v>8</v>
      </c>
      <c r="F48">
        <v>566</v>
      </c>
      <c r="G48">
        <v>96</v>
      </c>
      <c r="H48" t="s">
        <v>135</v>
      </c>
      <c r="I48" t="s">
        <v>137</v>
      </c>
      <c r="J48" t="s">
        <v>588</v>
      </c>
      <c r="K48">
        <v>135000</v>
      </c>
      <c r="L48" t="s">
        <v>588</v>
      </c>
      <c r="M48">
        <v>65000</v>
      </c>
      <c r="N48">
        <v>70000</v>
      </c>
      <c r="O48" s="2">
        <v>0.48148148148148151</v>
      </c>
      <c r="R48">
        <v>69100</v>
      </c>
      <c r="S48" s="2">
        <v>1.953690303907381</v>
      </c>
      <c r="W48" t="s">
        <v>198</v>
      </c>
    </row>
    <row r="49" spans="1:23" x14ac:dyDescent="0.3">
      <c r="A49" t="s">
        <v>31</v>
      </c>
      <c r="B49" t="s">
        <v>38</v>
      </c>
      <c r="C49" s="1" t="str">
        <f>HYPERLINK("https://new.land.naver.com/complexes/126060", "클릭")</f>
        <v>클릭</v>
      </c>
      <c r="D49">
        <v>2022</v>
      </c>
      <c r="E49">
        <v>3</v>
      </c>
      <c r="F49">
        <v>1199</v>
      </c>
      <c r="G49">
        <v>105</v>
      </c>
      <c r="H49" t="s">
        <v>135</v>
      </c>
      <c r="I49" t="s">
        <v>137</v>
      </c>
      <c r="J49" t="s">
        <v>589</v>
      </c>
      <c r="K49">
        <v>135000</v>
      </c>
      <c r="L49" t="s">
        <v>589</v>
      </c>
      <c r="M49">
        <v>100000</v>
      </c>
      <c r="N49">
        <v>35000</v>
      </c>
      <c r="O49" s="2">
        <v>0.7407407407407407</v>
      </c>
      <c r="R49">
        <v>75900</v>
      </c>
      <c r="S49" s="2">
        <v>1.7786561264822129</v>
      </c>
      <c r="W49" t="s">
        <v>198</v>
      </c>
    </row>
    <row r="50" spans="1:23" x14ac:dyDescent="0.3">
      <c r="A50" t="s">
        <v>28</v>
      </c>
      <c r="B50" t="s">
        <v>543</v>
      </c>
      <c r="C50" s="1" t="str">
        <f>HYPERLINK("https://new.land.naver.com/complexes/3016", "클릭")</f>
        <v>클릭</v>
      </c>
      <c r="D50">
        <v>1992</v>
      </c>
      <c r="E50">
        <v>10</v>
      </c>
      <c r="F50">
        <v>516</v>
      </c>
      <c r="G50">
        <v>127</v>
      </c>
      <c r="H50" t="s">
        <v>135</v>
      </c>
      <c r="I50" t="s">
        <v>139</v>
      </c>
      <c r="J50" t="s">
        <v>584</v>
      </c>
      <c r="K50">
        <v>135000</v>
      </c>
      <c r="L50" t="s">
        <v>584</v>
      </c>
      <c r="M50">
        <v>75000</v>
      </c>
      <c r="N50">
        <v>60000</v>
      </c>
      <c r="O50" s="2">
        <v>0.55555555555555558</v>
      </c>
      <c r="R50">
        <v>85000</v>
      </c>
      <c r="S50" s="2">
        <v>1.588235294117647</v>
      </c>
      <c r="W50" t="s">
        <v>198</v>
      </c>
    </row>
    <row r="51" spans="1:23" x14ac:dyDescent="0.3">
      <c r="A51" t="s">
        <v>30</v>
      </c>
      <c r="B51" t="s">
        <v>533</v>
      </c>
      <c r="C51" s="1" t="str">
        <f>HYPERLINK("https://new.land.naver.com/complexes/1448", "클릭")</f>
        <v>클릭</v>
      </c>
      <c r="D51">
        <v>1993</v>
      </c>
      <c r="E51">
        <v>9</v>
      </c>
      <c r="F51">
        <v>250</v>
      </c>
      <c r="G51">
        <v>101</v>
      </c>
      <c r="H51" t="s">
        <v>135</v>
      </c>
      <c r="I51" t="s">
        <v>139</v>
      </c>
      <c r="J51" t="s">
        <v>590</v>
      </c>
      <c r="K51">
        <v>135000</v>
      </c>
      <c r="L51" t="s">
        <v>590</v>
      </c>
      <c r="M51">
        <v>75000</v>
      </c>
      <c r="N51">
        <v>60000</v>
      </c>
      <c r="O51" s="2">
        <v>0.55555555555555558</v>
      </c>
      <c r="R51">
        <v>70100</v>
      </c>
      <c r="S51" s="2">
        <v>1.9258202567760341</v>
      </c>
      <c r="W51" t="s">
        <v>198</v>
      </c>
    </row>
    <row r="52" spans="1:23" x14ac:dyDescent="0.3">
      <c r="A52" t="s">
        <v>30</v>
      </c>
      <c r="B52" t="s">
        <v>42</v>
      </c>
      <c r="C52" s="1" t="str">
        <f>HYPERLINK("https://new.land.naver.com/complexes/1450", "클릭")</f>
        <v>클릭</v>
      </c>
      <c r="D52">
        <v>1992</v>
      </c>
      <c r="E52">
        <v>9</v>
      </c>
      <c r="F52">
        <v>548</v>
      </c>
      <c r="G52">
        <v>110</v>
      </c>
      <c r="H52" t="s">
        <v>135</v>
      </c>
      <c r="I52" t="s">
        <v>139</v>
      </c>
      <c r="J52" t="s">
        <v>591</v>
      </c>
      <c r="K52">
        <v>135000</v>
      </c>
      <c r="L52" t="s">
        <v>591</v>
      </c>
      <c r="M52">
        <v>75000</v>
      </c>
      <c r="N52">
        <v>60000</v>
      </c>
      <c r="O52" s="2">
        <v>0.55555555555555558</v>
      </c>
      <c r="R52">
        <v>69900</v>
      </c>
      <c r="S52" s="2">
        <v>1.931330472103004</v>
      </c>
      <c r="W52" t="s">
        <v>198</v>
      </c>
    </row>
    <row r="53" spans="1:23" x14ac:dyDescent="0.3">
      <c r="A53" t="s">
        <v>28</v>
      </c>
      <c r="B53" t="s">
        <v>545</v>
      </c>
      <c r="C53" s="1" t="str">
        <f>HYPERLINK("https://new.land.naver.com/complexes/1444", "클릭")</f>
        <v>클릭</v>
      </c>
      <c r="D53">
        <v>1992</v>
      </c>
      <c r="E53">
        <v>12</v>
      </c>
      <c r="F53">
        <v>390</v>
      </c>
      <c r="G53">
        <v>165</v>
      </c>
      <c r="H53" t="s">
        <v>135</v>
      </c>
      <c r="I53" t="s">
        <v>551</v>
      </c>
      <c r="J53" t="s">
        <v>592</v>
      </c>
      <c r="K53">
        <v>135000</v>
      </c>
      <c r="L53" t="s">
        <v>592</v>
      </c>
      <c r="M53">
        <v>70000</v>
      </c>
      <c r="N53">
        <v>65000</v>
      </c>
      <c r="O53" s="2">
        <v>0.51851851851851849</v>
      </c>
      <c r="R53">
        <v>65300</v>
      </c>
      <c r="S53" s="2">
        <v>2.0673813169984681</v>
      </c>
      <c r="W53" t="s">
        <v>198</v>
      </c>
    </row>
    <row r="54" spans="1:23" x14ac:dyDescent="0.3">
      <c r="A54" t="s">
        <v>30</v>
      </c>
      <c r="B54" t="s">
        <v>538</v>
      </c>
      <c r="C54" s="1" t="str">
        <f>HYPERLINK("https://new.land.naver.com/complexes/1447", "클릭")</f>
        <v>클릭</v>
      </c>
      <c r="D54">
        <v>1993</v>
      </c>
      <c r="E54">
        <v>10</v>
      </c>
      <c r="F54">
        <v>196</v>
      </c>
      <c r="G54">
        <v>102</v>
      </c>
      <c r="H54" t="s">
        <v>135</v>
      </c>
      <c r="I54" t="s">
        <v>139</v>
      </c>
      <c r="J54" t="s">
        <v>590</v>
      </c>
      <c r="K54">
        <v>130000</v>
      </c>
      <c r="L54" t="s">
        <v>590</v>
      </c>
      <c r="M54">
        <v>55000</v>
      </c>
      <c r="N54">
        <v>75000</v>
      </c>
      <c r="O54" s="2">
        <v>0.42307692307692307</v>
      </c>
      <c r="R54">
        <v>66500</v>
      </c>
      <c r="S54" s="2">
        <v>1.9548872180451129</v>
      </c>
      <c r="W54" t="s">
        <v>198</v>
      </c>
    </row>
    <row r="55" spans="1:23" x14ac:dyDescent="0.3">
      <c r="A55" t="s">
        <v>28</v>
      </c>
      <c r="B55" t="s">
        <v>529</v>
      </c>
      <c r="C55" s="1" t="str">
        <f>HYPERLINK("https://new.land.naver.com/complexes/1456", "클릭")</f>
        <v>클릭</v>
      </c>
      <c r="D55">
        <v>1993</v>
      </c>
      <c r="E55">
        <v>7</v>
      </c>
      <c r="F55">
        <v>440</v>
      </c>
      <c r="G55">
        <v>101</v>
      </c>
      <c r="H55" t="s">
        <v>135</v>
      </c>
      <c r="I55" t="s">
        <v>139</v>
      </c>
      <c r="J55" t="s">
        <v>590</v>
      </c>
      <c r="K55">
        <v>130000</v>
      </c>
      <c r="L55" t="s">
        <v>590</v>
      </c>
      <c r="M55">
        <v>75000</v>
      </c>
      <c r="N55">
        <v>55000</v>
      </c>
      <c r="O55" s="2">
        <v>0.57692307692307687</v>
      </c>
      <c r="R55">
        <v>82400</v>
      </c>
      <c r="S55" s="2">
        <v>1.5776699029126211</v>
      </c>
      <c r="W55" t="s">
        <v>198</v>
      </c>
    </row>
    <row r="56" spans="1:23" x14ac:dyDescent="0.3">
      <c r="A56" t="s">
        <v>30</v>
      </c>
      <c r="B56" t="s">
        <v>530</v>
      </c>
      <c r="C56" s="1" t="str">
        <f>HYPERLINK("https://new.land.naver.com/complexes/1451", "클릭")</f>
        <v>클릭</v>
      </c>
      <c r="D56">
        <v>1993</v>
      </c>
      <c r="E56">
        <v>11</v>
      </c>
      <c r="F56">
        <v>422</v>
      </c>
      <c r="G56">
        <v>101</v>
      </c>
      <c r="H56" t="s">
        <v>135</v>
      </c>
      <c r="I56" t="s">
        <v>137</v>
      </c>
      <c r="J56" t="s">
        <v>185</v>
      </c>
      <c r="K56">
        <v>130000</v>
      </c>
      <c r="L56" t="s">
        <v>185</v>
      </c>
      <c r="M56">
        <v>67000</v>
      </c>
      <c r="N56">
        <v>63000</v>
      </c>
      <c r="O56" s="2">
        <v>0.51538461538461533</v>
      </c>
      <c r="R56">
        <v>68900</v>
      </c>
      <c r="S56" s="2">
        <v>1.8867924528301889</v>
      </c>
      <c r="W56" t="s">
        <v>200</v>
      </c>
    </row>
    <row r="57" spans="1:23" x14ac:dyDescent="0.3">
      <c r="A57" t="s">
        <v>30</v>
      </c>
      <c r="B57" t="s">
        <v>535</v>
      </c>
      <c r="C57" s="1" t="str">
        <f>HYPERLINK("https://new.land.naver.com/complexes/1453", "클릭")</f>
        <v>클릭</v>
      </c>
      <c r="D57">
        <v>1993</v>
      </c>
      <c r="E57">
        <v>11</v>
      </c>
      <c r="F57">
        <v>386</v>
      </c>
      <c r="G57">
        <v>101</v>
      </c>
      <c r="H57" t="s">
        <v>135</v>
      </c>
      <c r="I57" t="s">
        <v>139</v>
      </c>
      <c r="J57" t="s">
        <v>593</v>
      </c>
      <c r="K57">
        <v>130000</v>
      </c>
      <c r="L57" t="s">
        <v>593</v>
      </c>
      <c r="M57">
        <v>77000</v>
      </c>
      <c r="N57">
        <v>53000</v>
      </c>
      <c r="O57" s="2">
        <v>0.59230769230769231</v>
      </c>
      <c r="R57">
        <v>69600</v>
      </c>
      <c r="S57" s="2">
        <v>1.867816091954023</v>
      </c>
      <c r="W57" t="s">
        <v>198</v>
      </c>
    </row>
    <row r="58" spans="1:23" x14ac:dyDescent="0.3">
      <c r="A58" t="s">
        <v>28</v>
      </c>
      <c r="B58" t="s">
        <v>541</v>
      </c>
      <c r="C58" s="1" t="str">
        <f>HYPERLINK("https://new.land.naver.com/complexes/1458", "클릭")</f>
        <v>클릭</v>
      </c>
      <c r="D58">
        <v>1994</v>
      </c>
      <c r="E58">
        <v>7</v>
      </c>
      <c r="F58">
        <v>578</v>
      </c>
      <c r="G58">
        <v>100</v>
      </c>
      <c r="H58" t="s">
        <v>135</v>
      </c>
      <c r="I58" t="s">
        <v>137</v>
      </c>
      <c r="J58" t="s">
        <v>593</v>
      </c>
      <c r="K58">
        <v>130000</v>
      </c>
      <c r="L58" t="s">
        <v>593</v>
      </c>
      <c r="M58">
        <v>75000</v>
      </c>
      <c r="N58">
        <v>55000</v>
      </c>
      <c r="O58" s="2">
        <v>0.57692307692307687</v>
      </c>
      <c r="R58">
        <v>78700</v>
      </c>
      <c r="S58" s="2">
        <v>1.6518424396442191</v>
      </c>
      <c r="W58" t="s">
        <v>198</v>
      </c>
    </row>
    <row r="59" spans="1:23" x14ac:dyDescent="0.3">
      <c r="A59" t="s">
        <v>30</v>
      </c>
      <c r="B59" t="s">
        <v>544</v>
      </c>
      <c r="C59" s="1" t="str">
        <f>HYPERLINK("https://new.land.naver.com/complexes/1449", "클릭")</f>
        <v>클릭</v>
      </c>
      <c r="D59">
        <v>1994</v>
      </c>
      <c r="E59">
        <v>4</v>
      </c>
      <c r="F59">
        <v>372</v>
      </c>
      <c r="G59">
        <v>101</v>
      </c>
      <c r="H59" t="s">
        <v>135</v>
      </c>
      <c r="I59" t="s">
        <v>139</v>
      </c>
      <c r="J59" t="s">
        <v>594</v>
      </c>
      <c r="K59">
        <v>130000</v>
      </c>
      <c r="L59" t="s">
        <v>594</v>
      </c>
      <c r="M59">
        <v>58000</v>
      </c>
      <c r="N59">
        <v>72000</v>
      </c>
      <c r="O59" s="2">
        <v>0.44615384615384618</v>
      </c>
      <c r="R59">
        <v>66300</v>
      </c>
      <c r="S59" s="2">
        <v>1.9607843137254899</v>
      </c>
      <c r="W59" t="s">
        <v>198</v>
      </c>
    </row>
    <row r="60" spans="1:23" x14ac:dyDescent="0.3">
      <c r="A60" t="s">
        <v>28</v>
      </c>
      <c r="B60" t="s">
        <v>32</v>
      </c>
      <c r="C60" s="1" t="str">
        <f>HYPERLINK("https://new.land.naver.com/complexes/154917", "클릭")</f>
        <v>클릭</v>
      </c>
      <c r="D60">
        <v>2023</v>
      </c>
      <c r="E60">
        <v>11</v>
      </c>
      <c r="F60">
        <v>2886</v>
      </c>
      <c r="G60">
        <v>84</v>
      </c>
      <c r="H60" t="s">
        <v>135</v>
      </c>
      <c r="I60" t="s">
        <v>137</v>
      </c>
      <c r="J60" t="s">
        <v>140</v>
      </c>
      <c r="K60">
        <v>127000</v>
      </c>
      <c r="L60" t="s">
        <v>177</v>
      </c>
      <c r="M60">
        <v>70000</v>
      </c>
      <c r="N60">
        <v>57000</v>
      </c>
      <c r="O60" s="2">
        <v>0.55118110236220474</v>
      </c>
      <c r="W60" t="s">
        <v>198</v>
      </c>
    </row>
    <row r="61" spans="1:23" x14ac:dyDescent="0.3">
      <c r="A61" t="s">
        <v>29</v>
      </c>
      <c r="B61" t="s">
        <v>33</v>
      </c>
      <c r="C61" s="1" t="str">
        <f>HYPERLINK("https://new.land.naver.com/complexes/107579", "클릭")</f>
        <v>클릭</v>
      </c>
      <c r="D61">
        <v>2016</v>
      </c>
      <c r="E61">
        <v>6</v>
      </c>
      <c r="F61">
        <v>1459</v>
      </c>
      <c r="G61">
        <v>84</v>
      </c>
      <c r="H61" t="s">
        <v>135</v>
      </c>
      <c r="I61" t="s">
        <v>137</v>
      </c>
      <c r="J61" t="s">
        <v>141</v>
      </c>
      <c r="K61">
        <v>125000</v>
      </c>
      <c r="L61" t="s">
        <v>145</v>
      </c>
      <c r="M61">
        <v>80000</v>
      </c>
      <c r="N61">
        <v>45000</v>
      </c>
      <c r="O61" s="2">
        <v>0.64</v>
      </c>
      <c r="P61">
        <v>154000</v>
      </c>
      <c r="Q61" s="2">
        <v>-0.18831168831168829</v>
      </c>
      <c r="R61">
        <v>72900</v>
      </c>
      <c r="S61" s="2">
        <v>1.714677640603566</v>
      </c>
      <c r="W61" t="s">
        <v>198</v>
      </c>
    </row>
    <row r="62" spans="1:23" x14ac:dyDescent="0.3">
      <c r="A62" t="s">
        <v>29</v>
      </c>
      <c r="B62" t="s">
        <v>539</v>
      </c>
      <c r="C62" s="1" t="str">
        <f>HYPERLINK("https://new.land.naver.com/complexes/102625", "클릭")</f>
        <v>클릭</v>
      </c>
      <c r="D62">
        <v>2012</v>
      </c>
      <c r="E62">
        <v>3</v>
      </c>
      <c r="F62">
        <v>711</v>
      </c>
      <c r="G62">
        <v>100</v>
      </c>
      <c r="H62" t="s">
        <v>135</v>
      </c>
      <c r="I62" t="s">
        <v>137</v>
      </c>
      <c r="J62" t="s">
        <v>595</v>
      </c>
      <c r="K62">
        <v>125000</v>
      </c>
      <c r="L62" t="s">
        <v>639</v>
      </c>
      <c r="M62">
        <v>60000</v>
      </c>
      <c r="N62">
        <v>65000</v>
      </c>
      <c r="O62" s="2">
        <v>0.48</v>
      </c>
      <c r="R62">
        <v>75300</v>
      </c>
      <c r="S62" s="2">
        <v>1.6600265604249671</v>
      </c>
      <c r="W62" t="s">
        <v>198</v>
      </c>
    </row>
    <row r="63" spans="1:23" x14ac:dyDescent="0.3">
      <c r="A63" t="s">
        <v>28</v>
      </c>
      <c r="B63" t="s">
        <v>546</v>
      </c>
      <c r="C63" s="1" t="str">
        <f>HYPERLINK("https://new.land.naver.com/complexes/1443", "클릭")</f>
        <v>클릭</v>
      </c>
      <c r="D63">
        <v>1992</v>
      </c>
      <c r="E63">
        <v>12</v>
      </c>
      <c r="F63">
        <v>488</v>
      </c>
      <c r="G63">
        <v>133</v>
      </c>
      <c r="H63" t="s">
        <v>135</v>
      </c>
      <c r="I63" t="s">
        <v>139</v>
      </c>
      <c r="J63" t="s">
        <v>596</v>
      </c>
      <c r="K63">
        <v>123000</v>
      </c>
      <c r="L63" t="s">
        <v>596</v>
      </c>
      <c r="M63">
        <v>50000</v>
      </c>
      <c r="N63">
        <v>73000</v>
      </c>
      <c r="O63" s="2">
        <v>0.4065040650406504</v>
      </c>
      <c r="R63">
        <v>59800</v>
      </c>
      <c r="S63" s="2">
        <v>2.0568561872909701</v>
      </c>
      <c r="W63" t="s">
        <v>198</v>
      </c>
    </row>
    <row r="64" spans="1:23" x14ac:dyDescent="0.3">
      <c r="A64" t="s">
        <v>30</v>
      </c>
      <c r="B64" t="s">
        <v>536</v>
      </c>
      <c r="C64" s="1" t="str">
        <f>HYPERLINK("https://new.land.naver.com/complexes/1446", "클릭")</f>
        <v>클릭</v>
      </c>
      <c r="D64">
        <v>1994</v>
      </c>
      <c r="E64">
        <v>4</v>
      </c>
      <c r="F64">
        <v>386</v>
      </c>
      <c r="G64">
        <v>102</v>
      </c>
      <c r="H64" t="s">
        <v>135</v>
      </c>
      <c r="I64" t="s">
        <v>139</v>
      </c>
      <c r="J64" t="s">
        <v>590</v>
      </c>
      <c r="K64">
        <v>120000</v>
      </c>
      <c r="L64" t="s">
        <v>590</v>
      </c>
      <c r="M64">
        <v>65000</v>
      </c>
      <c r="N64">
        <v>55000</v>
      </c>
      <c r="O64" s="2">
        <v>0.54166666666666663</v>
      </c>
      <c r="R64">
        <v>65600</v>
      </c>
      <c r="S64" s="2">
        <v>1.8292682926829269</v>
      </c>
      <c r="W64" t="s">
        <v>198</v>
      </c>
    </row>
    <row r="65" spans="1:23" x14ac:dyDescent="0.3">
      <c r="A65" t="s">
        <v>28</v>
      </c>
      <c r="B65" t="s">
        <v>543</v>
      </c>
      <c r="C65" s="1" t="str">
        <f>HYPERLINK("https://new.land.naver.com/complexes/3016", "클릭")</f>
        <v>클릭</v>
      </c>
      <c r="D65">
        <v>1992</v>
      </c>
      <c r="E65">
        <v>10</v>
      </c>
      <c r="F65">
        <v>516</v>
      </c>
      <c r="G65">
        <v>99</v>
      </c>
      <c r="H65" t="s">
        <v>135</v>
      </c>
      <c r="I65" t="s">
        <v>137</v>
      </c>
      <c r="J65" t="s">
        <v>588</v>
      </c>
      <c r="K65">
        <v>120000</v>
      </c>
      <c r="L65" t="s">
        <v>588</v>
      </c>
      <c r="M65">
        <v>68000</v>
      </c>
      <c r="N65">
        <v>52000</v>
      </c>
      <c r="O65" s="2">
        <v>0.56666666666666665</v>
      </c>
      <c r="R65">
        <v>73500</v>
      </c>
      <c r="S65" s="2">
        <v>1.6326530612244901</v>
      </c>
      <c r="W65" t="s">
        <v>198</v>
      </c>
    </row>
    <row r="66" spans="1:23" x14ac:dyDescent="0.3">
      <c r="A66" t="s">
        <v>28</v>
      </c>
      <c r="B66" t="s">
        <v>415</v>
      </c>
      <c r="C66" s="1" t="str">
        <f>HYPERLINK("https://new.land.naver.com/complexes/8180", "클릭")</f>
        <v>클릭</v>
      </c>
      <c r="D66">
        <v>1987</v>
      </c>
      <c r="E66">
        <v>7</v>
      </c>
      <c r="F66">
        <v>40</v>
      </c>
      <c r="G66">
        <v>40</v>
      </c>
      <c r="H66" t="s">
        <v>135</v>
      </c>
      <c r="I66" t="s">
        <v>235</v>
      </c>
      <c r="J66" t="s">
        <v>455</v>
      </c>
      <c r="K66">
        <v>120000</v>
      </c>
      <c r="L66" t="s">
        <v>455</v>
      </c>
      <c r="M66">
        <v>50000</v>
      </c>
      <c r="N66">
        <v>70000</v>
      </c>
      <c r="O66" s="2">
        <v>0.41666666666666669</v>
      </c>
      <c r="R66">
        <v>29300</v>
      </c>
      <c r="S66" s="2">
        <v>4.0955631399317403</v>
      </c>
      <c r="W66" t="s">
        <v>198</v>
      </c>
    </row>
    <row r="67" spans="1:23" x14ac:dyDescent="0.3">
      <c r="A67" t="s">
        <v>28</v>
      </c>
      <c r="B67" t="s">
        <v>415</v>
      </c>
      <c r="C67" s="1" t="str">
        <f>HYPERLINK("https://new.land.naver.com/complexes/8180", "클릭")</f>
        <v>클릭</v>
      </c>
      <c r="D67">
        <v>1987</v>
      </c>
      <c r="E67">
        <v>7</v>
      </c>
      <c r="F67">
        <v>40</v>
      </c>
      <c r="G67">
        <v>39</v>
      </c>
      <c r="H67" t="s">
        <v>135</v>
      </c>
      <c r="I67" t="s">
        <v>235</v>
      </c>
      <c r="J67" t="s">
        <v>456</v>
      </c>
      <c r="K67">
        <v>120000</v>
      </c>
      <c r="L67" t="s">
        <v>456</v>
      </c>
      <c r="M67">
        <v>50000</v>
      </c>
      <c r="N67">
        <v>70000</v>
      </c>
      <c r="O67" s="2">
        <v>0.41666666666666669</v>
      </c>
      <c r="R67">
        <v>29300</v>
      </c>
      <c r="S67" s="2">
        <v>4.0955631399317403</v>
      </c>
      <c r="W67" t="s">
        <v>198</v>
      </c>
    </row>
    <row r="68" spans="1:23" x14ac:dyDescent="0.3">
      <c r="A68" t="s">
        <v>28</v>
      </c>
      <c r="B68" t="s">
        <v>34</v>
      </c>
      <c r="C68" s="1" t="str">
        <f>HYPERLINK("https://new.land.naver.com/complexes/142558", "클릭")</f>
        <v>클릭</v>
      </c>
      <c r="D68">
        <v>2024</v>
      </c>
      <c r="E68">
        <v>8</v>
      </c>
      <c r="F68">
        <v>2417</v>
      </c>
      <c r="G68">
        <v>84</v>
      </c>
      <c r="H68" t="s">
        <v>135</v>
      </c>
      <c r="I68" t="s">
        <v>137</v>
      </c>
      <c r="J68" t="s">
        <v>142</v>
      </c>
      <c r="K68">
        <v>120000</v>
      </c>
      <c r="L68" t="s">
        <v>142</v>
      </c>
      <c r="M68">
        <v>70000</v>
      </c>
      <c r="N68">
        <v>50000</v>
      </c>
      <c r="O68" s="2">
        <v>0.58333333333333337</v>
      </c>
      <c r="W68" t="s">
        <v>198</v>
      </c>
    </row>
    <row r="69" spans="1:23" x14ac:dyDescent="0.3">
      <c r="A69" t="s">
        <v>31</v>
      </c>
      <c r="B69" t="s">
        <v>45</v>
      </c>
      <c r="C69" s="1" t="str">
        <f>HYPERLINK("https://new.land.naver.com/complexes/124780", "클릭")</f>
        <v>클릭</v>
      </c>
      <c r="D69">
        <v>2021</v>
      </c>
      <c r="E69">
        <v>12</v>
      </c>
      <c r="F69">
        <v>2737</v>
      </c>
      <c r="G69">
        <v>102</v>
      </c>
      <c r="H69" t="s">
        <v>135</v>
      </c>
      <c r="I69" t="s">
        <v>139</v>
      </c>
      <c r="J69" t="s">
        <v>597</v>
      </c>
      <c r="K69">
        <v>120000</v>
      </c>
      <c r="L69" t="s">
        <v>597</v>
      </c>
      <c r="M69">
        <v>65000</v>
      </c>
      <c r="N69">
        <v>55000</v>
      </c>
      <c r="O69" s="2">
        <v>0.54166666666666663</v>
      </c>
      <c r="R69">
        <v>65100</v>
      </c>
      <c r="S69" s="2">
        <v>1.84331797235023</v>
      </c>
      <c r="W69" t="s">
        <v>198</v>
      </c>
    </row>
    <row r="70" spans="1:23" x14ac:dyDescent="0.3">
      <c r="A70" t="s">
        <v>30</v>
      </c>
      <c r="B70" t="s">
        <v>35</v>
      </c>
      <c r="C70" s="1" t="str">
        <f>HYPERLINK("https://new.land.naver.com/complexes/171438", "클릭")</f>
        <v>클릭</v>
      </c>
      <c r="D70">
        <v>2024</v>
      </c>
      <c r="E70">
        <v>11</v>
      </c>
      <c r="F70">
        <v>472</v>
      </c>
      <c r="G70">
        <v>84</v>
      </c>
      <c r="H70" t="s">
        <v>135</v>
      </c>
      <c r="I70" t="s">
        <v>137</v>
      </c>
      <c r="J70" t="s">
        <v>143</v>
      </c>
      <c r="K70">
        <v>119684</v>
      </c>
      <c r="L70" t="s">
        <v>143</v>
      </c>
      <c r="M70">
        <v>55000</v>
      </c>
      <c r="N70">
        <v>64684</v>
      </c>
      <c r="O70" s="2">
        <v>0.45954346445640187</v>
      </c>
      <c r="W70" t="s">
        <v>199</v>
      </c>
    </row>
    <row r="71" spans="1:23" x14ac:dyDescent="0.3">
      <c r="A71" t="s">
        <v>30</v>
      </c>
      <c r="B71" t="s">
        <v>36</v>
      </c>
      <c r="C71" s="1" t="str">
        <f>HYPERLINK("https://new.land.naver.com/complexes/1480", "클릭")</f>
        <v>클릭</v>
      </c>
      <c r="D71">
        <v>1993</v>
      </c>
      <c r="E71">
        <v>3</v>
      </c>
      <c r="F71">
        <v>530</v>
      </c>
      <c r="G71">
        <v>84</v>
      </c>
      <c r="H71" t="s">
        <v>135</v>
      </c>
      <c r="I71" t="s">
        <v>137</v>
      </c>
      <c r="J71" t="s">
        <v>144</v>
      </c>
      <c r="K71">
        <v>119000</v>
      </c>
      <c r="L71" t="s">
        <v>144</v>
      </c>
      <c r="M71">
        <v>65000</v>
      </c>
      <c r="N71">
        <v>54000</v>
      </c>
      <c r="O71" s="2">
        <v>0.54621848739495793</v>
      </c>
      <c r="P71">
        <v>140000</v>
      </c>
      <c r="Q71" s="2">
        <v>-0.15</v>
      </c>
      <c r="R71">
        <v>73700</v>
      </c>
      <c r="S71" s="2">
        <v>1.614654002713704</v>
      </c>
      <c r="W71" t="s">
        <v>198</v>
      </c>
    </row>
    <row r="72" spans="1:23" x14ac:dyDescent="0.3">
      <c r="A72" t="s">
        <v>29</v>
      </c>
      <c r="B72" t="s">
        <v>71</v>
      </c>
      <c r="C72" s="1" t="str">
        <f>HYPERLINK("https://new.land.naver.com/complexes/1978", "클릭")</f>
        <v>클릭</v>
      </c>
      <c r="D72">
        <v>1985</v>
      </c>
      <c r="E72">
        <v>4</v>
      </c>
      <c r="F72">
        <v>904</v>
      </c>
      <c r="G72">
        <v>147</v>
      </c>
      <c r="H72" t="s">
        <v>135</v>
      </c>
      <c r="I72" t="s">
        <v>551</v>
      </c>
      <c r="J72" t="s">
        <v>598</v>
      </c>
      <c r="K72">
        <v>118000</v>
      </c>
      <c r="L72" t="s">
        <v>598</v>
      </c>
      <c r="M72">
        <v>40000</v>
      </c>
      <c r="N72">
        <v>78000</v>
      </c>
      <c r="O72" s="2">
        <v>0.33898305084745761</v>
      </c>
      <c r="R72">
        <v>72400</v>
      </c>
      <c r="S72" s="2">
        <v>1.6298342541436459</v>
      </c>
      <c r="W72" t="s">
        <v>198</v>
      </c>
    </row>
    <row r="73" spans="1:23" x14ac:dyDescent="0.3">
      <c r="A73" t="s">
        <v>28</v>
      </c>
      <c r="B73" t="s">
        <v>37</v>
      </c>
      <c r="C73" s="1" t="str">
        <f>HYPERLINK("https://new.land.naver.com/complexes/113297", "클릭")</f>
        <v>클릭</v>
      </c>
      <c r="D73">
        <v>2019</v>
      </c>
      <c r="E73">
        <v>3</v>
      </c>
      <c r="F73">
        <v>1174</v>
      </c>
      <c r="G73">
        <v>84</v>
      </c>
      <c r="H73" t="s">
        <v>135</v>
      </c>
      <c r="I73" t="s">
        <v>137</v>
      </c>
      <c r="J73" t="s">
        <v>145</v>
      </c>
      <c r="K73">
        <v>115000</v>
      </c>
      <c r="L73" t="s">
        <v>145</v>
      </c>
      <c r="M73">
        <v>66000</v>
      </c>
      <c r="N73">
        <v>49000</v>
      </c>
      <c r="O73" s="2">
        <v>0.57391304347826089</v>
      </c>
      <c r="P73">
        <v>138500</v>
      </c>
      <c r="Q73" s="2">
        <v>-0.16967509025270761</v>
      </c>
      <c r="R73">
        <v>63500</v>
      </c>
      <c r="S73" s="2">
        <v>1.811023622047244</v>
      </c>
      <c r="W73" t="s">
        <v>198</v>
      </c>
    </row>
    <row r="74" spans="1:23" x14ac:dyDescent="0.3">
      <c r="A74" t="s">
        <v>28</v>
      </c>
      <c r="B74" t="s">
        <v>334</v>
      </c>
      <c r="C74" s="1" t="str">
        <f>HYPERLINK("https://new.land.naver.com/complexes/1441", "클릭")</f>
        <v>클릭</v>
      </c>
      <c r="D74">
        <v>1993</v>
      </c>
      <c r="E74">
        <v>11</v>
      </c>
      <c r="F74">
        <v>1072</v>
      </c>
      <c r="G74">
        <v>134</v>
      </c>
      <c r="H74" t="s">
        <v>135</v>
      </c>
      <c r="I74" t="s">
        <v>139</v>
      </c>
      <c r="J74" t="s">
        <v>599</v>
      </c>
      <c r="K74">
        <v>115000</v>
      </c>
      <c r="L74" t="s">
        <v>599</v>
      </c>
      <c r="M74">
        <v>58000</v>
      </c>
      <c r="N74">
        <v>57000</v>
      </c>
      <c r="O74" s="2">
        <v>0.5043478260869565</v>
      </c>
      <c r="R74">
        <v>63700</v>
      </c>
      <c r="S74" s="2">
        <v>1.805337519623234</v>
      </c>
      <c r="W74" t="s">
        <v>198</v>
      </c>
    </row>
    <row r="75" spans="1:23" x14ac:dyDescent="0.3">
      <c r="A75" t="s">
        <v>28</v>
      </c>
      <c r="B75" t="s">
        <v>211</v>
      </c>
      <c r="C75" s="1" t="str">
        <f>HYPERLINK("https://new.land.naver.com/complexes/148980", "클릭")</f>
        <v>클릭</v>
      </c>
      <c r="D75">
        <v>2024</v>
      </c>
      <c r="E75">
        <v>9</v>
      </c>
      <c r="F75">
        <v>304</v>
      </c>
      <c r="G75">
        <v>103</v>
      </c>
      <c r="H75" t="s">
        <v>135</v>
      </c>
      <c r="I75" t="s">
        <v>137</v>
      </c>
      <c r="J75" t="s">
        <v>600</v>
      </c>
      <c r="K75">
        <v>114571</v>
      </c>
      <c r="L75" t="s">
        <v>600</v>
      </c>
      <c r="M75">
        <v>65000</v>
      </c>
      <c r="N75">
        <v>49571</v>
      </c>
      <c r="O75" s="2">
        <v>0.56733379301917586</v>
      </c>
      <c r="W75" t="s">
        <v>287</v>
      </c>
    </row>
    <row r="76" spans="1:23" x14ac:dyDescent="0.3">
      <c r="A76" t="s">
        <v>31</v>
      </c>
      <c r="B76" t="s">
        <v>38</v>
      </c>
      <c r="C76" s="1" t="str">
        <f>HYPERLINK("https://new.land.naver.com/complexes/126060", "클릭")</f>
        <v>클릭</v>
      </c>
      <c r="D76">
        <v>2022</v>
      </c>
      <c r="E76">
        <v>3</v>
      </c>
      <c r="F76">
        <v>1199</v>
      </c>
      <c r="G76">
        <v>84</v>
      </c>
      <c r="H76" t="s">
        <v>135</v>
      </c>
      <c r="I76" t="s">
        <v>137</v>
      </c>
      <c r="J76" t="s">
        <v>146</v>
      </c>
      <c r="K76">
        <v>111000</v>
      </c>
      <c r="L76" t="s">
        <v>191</v>
      </c>
      <c r="M76">
        <v>64900</v>
      </c>
      <c r="N76">
        <v>46100</v>
      </c>
      <c r="O76" s="2">
        <v>0.58468468468468471</v>
      </c>
      <c r="P76">
        <v>137291</v>
      </c>
      <c r="Q76" s="2">
        <v>-0.19149835021960651</v>
      </c>
      <c r="R76">
        <v>63600</v>
      </c>
      <c r="S76" s="2">
        <v>1.745283018867924</v>
      </c>
      <c r="W76" t="s">
        <v>198</v>
      </c>
    </row>
    <row r="77" spans="1:23" x14ac:dyDescent="0.3">
      <c r="A77" t="s">
        <v>31</v>
      </c>
      <c r="B77" t="s">
        <v>58</v>
      </c>
      <c r="C77" s="1" t="str">
        <f>HYPERLINK("https://new.land.naver.com/complexes/1995", "클릭")</f>
        <v>클릭</v>
      </c>
      <c r="D77">
        <v>1985</v>
      </c>
      <c r="E77">
        <v>11</v>
      </c>
      <c r="F77">
        <v>540</v>
      </c>
      <c r="G77">
        <v>128</v>
      </c>
      <c r="H77" t="s">
        <v>135</v>
      </c>
      <c r="I77" t="s">
        <v>139</v>
      </c>
      <c r="J77" t="s">
        <v>601</v>
      </c>
      <c r="K77">
        <v>110300</v>
      </c>
      <c r="R77">
        <v>65000</v>
      </c>
      <c r="S77" s="2">
        <v>1.696923076923077</v>
      </c>
      <c r="W77" t="s">
        <v>198</v>
      </c>
    </row>
    <row r="78" spans="1:23" x14ac:dyDescent="0.3">
      <c r="A78" t="s">
        <v>30</v>
      </c>
      <c r="B78" t="s">
        <v>39</v>
      </c>
      <c r="C78" s="1" t="str">
        <f>HYPERLINK("https://new.land.naver.com/complexes/1481", "클릭")</f>
        <v>클릭</v>
      </c>
      <c r="D78">
        <v>1992</v>
      </c>
      <c r="E78">
        <v>11</v>
      </c>
      <c r="F78">
        <v>552</v>
      </c>
      <c r="G78">
        <v>84</v>
      </c>
      <c r="H78" t="s">
        <v>135</v>
      </c>
      <c r="I78" t="s">
        <v>137</v>
      </c>
      <c r="J78" t="s">
        <v>147</v>
      </c>
      <c r="K78">
        <v>110000</v>
      </c>
      <c r="L78" t="s">
        <v>147</v>
      </c>
      <c r="M78">
        <v>60000</v>
      </c>
      <c r="N78">
        <v>50000</v>
      </c>
      <c r="O78" s="2">
        <v>0.54545454545454541</v>
      </c>
      <c r="P78">
        <v>127000</v>
      </c>
      <c r="Q78" s="2">
        <v>-0.13385826771653539</v>
      </c>
      <c r="R78">
        <v>66700</v>
      </c>
      <c r="S78" s="2">
        <v>1.6491754122938529</v>
      </c>
      <c r="W78" t="s">
        <v>198</v>
      </c>
    </row>
    <row r="79" spans="1:23" x14ac:dyDescent="0.3">
      <c r="A79" t="s">
        <v>28</v>
      </c>
      <c r="B79" t="s">
        <v>540</v>
      </c>
      <c r="C79" s="1" t="str">
        <f>HYPERLINK("https://new.land.naver.com/complexes/1442", "클릭")</f>
        <v>클릭</v>
      </c>
      <c r="D79">
        <v>1992</v>
      </c>
      <c r="E79">
        <v>9</v>
      </c>
      <c r="F79">
        <v>384</v>
      </c>
      <c r="G79">
        <v>132</v>
      </c>
      <c r="H79" t="s">
        <v>135</v>
      </c>
      <c r="I79" t="s">
        <v>139</v>
      </c>
      <c r="J79" t="s">
        <v>569</v>
      </c>
      <c r="K79">
        <v>110000</v>
      </c>
      <c r="L79" t="s">
        <v>569</v>
      </c>
      <c r="M79">
        <v>50000</v>
      </c>
      <c r="N79">
        <v>60000</v>
      </c>
      <c r="O79" s="2">
        <v>0.45454545454545447</v>
      </c>
      <c r="R79">
        <v>60400</v>
      </c>
      <c r="S79" s="2">
        <v>1.821192052980132</v>
      </c>
      <c r="W79" t="s">
        <v>198</v>
      </c>
    </row>
    <row r="80" spans="1:23" x14ac:dyDescent="0.3">
      <c r="A80" t="s">
        <v>29</v>
      </c>
      <c r="B80" t="s">
        <v>542</v>
      </c>
      <c r="C80" s="1" t="str">
        <f>HYPERLINK("https://new.land.naver.com/complexes/16151", "클릭")</f>
        <v>클릭</v>
      </c>
      <c r="D80">
        <v>1985</v>
      </c>
      <c r="E80">
        <v>9</v>
      </c>
      <c r="F80">
        <v>60</v>
      </c>
      <c r="G80">
        <v>130</v>
      </c>
      <c r="H80" t="s">
        <v>135</v>
      </c>
      <c r="I80" t="s">
        <v>139</v>
      </c>
      <c r="J80" t="s">
        <v>602</v>
      </c>
      <c r="K80">
        <v>110000</v>
      </c>
      <c r="L80" t="s">
        <v>602</v>
      </c>
      <c r="M80">
        <v>40000</v>
      </c>
      <c r="N80">
        <v>70000</v>
      </c>
      <c r="O80" s="2">
        <v>0.36363636363636359</v>
      </c>
      <c r="W80" t="s">
        <v>198</v>
      </c>
    </row>
    <row r="81" spans="1:23" x14ac:dyDescent="0.3">
      <c r="A81" t="s">
        <v>31</v>
      </c>
      <c r="B81" t="s">
        <v>40</v>
      </c>
      <c r="C81" s="1" t="str">
        <f>HYPERLINK("https://new.land.naver.com/complexes/144023", "클릭")</f>
        <v>클릭</v>
      </c>
      <c r="D81">
        <v>2024</v>
      </c>
      <c r="E81">
        <v>6</v>
      </c>
      <c r="F81">
        <v>2739</v>
      </c>
      <c r="G81">
        <v>84</v>
      </c>
      <c r="H81" t="s">
        <v>135</v>
      </c>
      <c r="I81" t="s">
        <v>137</v>
      </c>
      <c r="J81" t="s">
        <v>140</v>
      </c>
      <c r="K81">
        <v>110000</v>
      </c>
      <c r="L81" t="s">
        <v>140</v>
      </c>
      <c r="M81">
        <v>55000</v>
      </c>
      <c r="N81">
        <v>55000</v>
      </c>
      <c r="O81" s="2">
        <v>0.5</v>
      </c>
      <c r="W81" t="s">
        <v>198</v>
      </c>
    </row>
    <row r="82" spans="1:23" x14ac:dyDescent="0.3">
      <c r="A82" t="s">
        <v>28</v>
      </c>
      <c r="B82" t="s">
        <v>545</v>
      </c>
      <c r="C82" s="1" t="str">
        <f>HYPERLINK("https://new.land.naver.com/complexes/1444", "클릭")</f>
        <v>클릭</v>
      </c>
      <c r="D82">
        <v>1992</v>
      </c>
      <c r="E82">
        <v>12</v>
      </c>
      <c r="F82">
        <v>390</v>
      </c>
      <c r="G82">
        <v>118</v>
      </c>
      <c r="H82" t="s">
        <v>135</v>
      </c>
      <c r="I82" t="s">
        <v>139</v>
      </c>
      <c r="J82" t="s">
        <v>603</v>
      </c>
      <c r="K82">
        <v>110000</v>
      </c>
      <c r="L82" t="s">
        <v>603</v>
      </c>
      <c r="M82">
        <v>63000</v>
      </c>
      <c r="N82">
        <v>47000</v>
      </c>
      <c r="O82" s="2">
        <v>0.57272727272727275</v>
      </c>
      <c r="R82">
        <v>61600</v>
      </c>
      <c r="S82" s="2">
        <v>1.785714285714286</v>
      </c>
      <c r="W82" t="s">
        <v>198</v>
      </c>
    </row>
    <row r="83" spans="1:23" x14ac:dyDescent="0.3">
      <c r="A83" t="s">
        <v>28</v>
      </c>
      <c r="B83" t="s">
        <v>34</v>
      </c>
      <c r="C83" s="1" t="str">
        <f>HYPERLINK("https://new.land.naver.com/complexes/142558", "클릭")</f>
        <v>클릭</v>
      </c>
      <c r="D83">
        <v>2024</v>
      </c>
      <c r="E83">
        <v>8</v>
      </c>
      <c r="F83">
        <v>2417</v>
      </c>
      <c r="G83">
        <v>74</v>
      </c>
      <c r="H83" t="s">
        <v>135</v>
      </c>
      <c r="I83" t="s">
        <v>137</v>
      </c>
      <c r="J83" t="s">
        <v>171</v>
      </c>
      <c r="K83">
        <v>110000</v>
      </c>
      <c r="L83" t="s">
        <v>171</v>
      </c>
      <c r="M83">
        <v>58000</v>
      </c>
      <c r="N83">
        <v>52000</v>
      </c>
      <c r="O83" s="2">
        <v>0.52727272727272723</v>
      </c>
      <c r="W83" t="s">
        <v>198</v>
      </c>
    </row>
    <row r="84" spans="1:23" x14ac:dyDescent="0.3">
      <c r="A84" t="s">
        <v>30</v>
      </c>
      <c r="B84" t="s">
        <v>41</v>
      </c>
      <c r="C84" s="1" t="str">
        <f>HYPERLINK("https://new.land.naver.com/complexes/1482", "클릭")</f>
        <v>클릭</v>
      </c>
      <c r="D84">
        <v>1993</v>
      </c>
      <c r="E84">
        <v>4</v>
      </c>
      <c r="F84">
        <v>780</v>
      </c>
      <c r="G84">
        <v>84</v>
      </c>
      <c r="H84" t="s">
        <v>135</v>
      </c>
      <c r="I84" t="s">
        <v>137</v>
      </c>
      <c r="J84" t="s">
        <v>148</v>
      </c>
      <c r="K84">
        <v>109500</v>
      </c>
      <c r="L84" t="s">
        <v>148</v>
      </c>
      <c r="M84">
        <v>63000</v>
      </c>
      <c r="N84">
        <v>46500</v>
      </c>
      <c r="O84" s="2">
        <v>0.57534246575342463</v>
      </c>
      <c r="P84">
        <v>127700</v>
      </c>
      <c r="Q84" s="2">
        <v>-0.14252153484729829</v>
      </c>
      <c r="R84">
        <v>68600</v>
      </c>
      <c r="S84" s="2">
        <v>1.5962099125364431</v>
      </c>
      <c r="W84" t="s">
        <v>198</v>
      </c>
    </row>
    <row r="85" spans="1:23" x14ac:dyDescent="0.3">
      <c r="A85" t="s">
        <v>30</v>
      </c>
      <c r="B85" t="s">
        <v>292</v>
      </c>
      <c r="C85" s="1" t="str">
        <f>HYPERLINK("https://new.land.naver.com/complexes/8626", "클릭")</f>
        <v>클릭</v>
      </c>
      <c r="D85">
        <v>2002</v>
      </c>
      <c r="E85">
        <v>6</v>
      </c>
      <c r="F85">
        <v>967</v>
      </c>
      <c r="G85">
        <v>80</v>
      </c>
      <c r="H85" t="s">
        <v>135</v>
      </c>
      <c r="I85" t="s">
        <v>137</v>
      </c>
      <c r="J85" t="s">
        <v>163</v>
      </c>
      <c r="K85">
        <v>109000</v>
      </c>
      <c r="L85" t="s">
        <v>163</v>
      </c>
      <c r="M85">
        <v>64000</v>
      </c>
      <c r="N85">
        <v>45000</v>
      </c>
      <c r="O85" s="2">
        <v>0.58715596330275233</v>
      </c>
      <c r="R85">
        <v>69700</v>
      </c>
      <c r="S85" s="2">
        <v>1.5638450502152079</v>
      </c>
      <c r="W85" t="s">
        <v>198</v>
      </c>
    </row>
    <row r="86" spans="1:23" x14ac:dyDescent="0.3">
      <c r="A86" t="s">
        <v>28</v>
      </c>
      <c r="B86" t="s">
        <v>210</v>
      </c>
      <c r="C86" s="1" t="str">
        <f>HYPERLINK("https://new.land.naver.com/complexes/8981", "클릭")</f>
        <v>클릭</v>
      </c>
      <c r="D86">
        <v>1983</v>
      </c>
      <c r="E86">
        <v>9</v>
      </c>
      <c r="F86">
        <v>100</v>
      </c>
      <c r="G86">
        <v>61</v>
      </c>
      <c r="H86" t="s">
        <v>135</v>
      </c>
      <c r="I86" t="s">
        <v>138</v>
      </c>
      <c r="J86" t="s">
        <v>339</v>
      </c>
      <c r="K86">
        <v>106000</v>
      </c>
      <c r="L86" t="s">
        <v>339</v>
      </c>
      <c r="M86">
        <v>55000</v>
      </c>
      <c r="N86">
        <v>51000</v>
      </c>
      <c r="O86" s="2">
        <v>0.51886792452830188</v>
      </c>
      <c r="R86">
        <v>38000</v>
      </c>
      <c r="S86" s="2">
        <v>2.7894736842105261</v>
      </c>
      <c r="W86" t="s">
        <v>198</v>
      </c>
    </row>
    <row r="87" spans="1:23" x14ac:dyDescent="0.3">
      <c r="A87" t="s">
        <v>28</v>
      </c>
      <c r="B87" t="s">
        <v>293</v>
      </c>
      <c r="C87" s="1" t="str">
        <f>HYPERLINK("https://new.land.naver.com/complexes/2037", "클릭")</f>
        <v>클릭</v>
      </c>
      <c r="D87">
        <v>1981</v>
      </c>
      <c r="E87">
        <v>6</v>
      </c>
      <c r="F87">
        <v>49</v>
      </c>
      <c r="G87">
        <v>65</v>
      </c>
      <c r="H87" t="s">
        <v>136</v>
      </c>
      <c r="I87" t="s">
        <v>138</v>
      </c>
      <c r="J87" t="s">
        <v>340</v>
      </c>
      <c r="K87">
        <v>106000</v>
      </c>
      <c r="L87" t="s">
        <v>340</v>
      </c>
      <c r="M87">
        <v>33000</v>
      </c>
      <c r="N87">
        <v>73000</v>
      </c>
      <c r="O87" s="2">
        <v>0.31132075471698112</v>
      </c>
      <c r="R87">
        <v>40500</v>
      </c>
      <c r="S87" s="2">
        <v>2.617283950617284</v>
      </c>
      <c r="W87" t="s">
        <v>198</v>
      </c>
    </row>
    <row r="88" spans="1:23" x14ac:dyDescent="0.3">
      <c r="A88" t="s">
        <v>30</v>
      </c>
      <c r="B88" t="s">
        <v>292</v>
      </c>
      <c r="C88" s="1" t="str">
        <f>HYPERLINK("https://new.land.naver.com/complexes/8626", "클릭")</f>
        <v>클릭</v>
      </c>
      <c r="D88">
        <v>2002</v>
      </c>
      <c r="E88">
        <v>6</v>
      </c>
      <c r="F88">
        <v>967</v>
      </c>
      <c r="G88">
        <v>65</v>
      </c>
      <c r="H88" t="s">
        <v>135</v>
      </c>
      <c r="I88" t="s">
        <v>137</v>
      </c>
      <c r="J88" t="s">
        <v>341</v>
      </c>
      <c r="K88">
        <v>106000</v>
      </c>
      <c r="L88" t="s">
        <v>341</v>
      </c>
      <c r="M88">
        <v>65000</v>
      </c>
      <c r="N88">
        <v>41000</v>
      </c>
      <c r="O88" s="2">
        <v>0.6132075471698113</v>
      </c>
      <c r="R88">
        <v>56000</v>
      </c>
      <c r="S88" s="2">
        <v>1.892857142857143</v>
      </c>
      <c r="W88" t="s">
        <v>198</v>
      </c>
    </row>
    <row r="89" spans="1:23" x14ac:dyDescent="0.3">
      <c r="A89" t="s">
        <v>30</v>
      </c>
      <c r="B89" t="s">
        <v>42</v>
      </c>
      <c r="C89" s="1" t="str">
        <f>HYPERLINK("https://new.land.naver.com/complexes/1450", "클릭")</f>
        <v>클릭</v>
      </c>
      <c r="D89">
        <v>1992</v>
      </c>
      <c r="E89">
        <v>9</v>
      </c>
      <c r="F89">
        <v>548</v>
      </c>
      <c r="G89">
        <v>84</v>
      </c>
      <c r="H89" t="s">
        <v>135</v>
      </c>
      <c r="I89" t="s">
        <v>137</v>
      </c>
      <c r="J89" t="s">
        <v>149</v>
      </c>
      <c r="K89">
        <v>105000</v>
      </c>
      <c r="L89" t="s">
        <v>149</v>
      </c>
      <c r="M89">
        <v>63000</v>
      </c>
      <c r="N89">
        <v>42000</v>
      </c>
      <c r="O89" s="2">
        <v>0.6</v>
      </c>
      <c r="P89">
        <v>85000</v>
      </c>
      <c r="Q89" s="2">
        <v>0.23529411764705879</v>
      </c>
      <c r="R89">
        <v>61000</v>
      </c>
      <c r="S89" s="2">
        <v>1.721311475409836</v>
      </c>
      <c r="W89" t="s">
        <v>200</v>
      </c>
    </row>
    <row r="90" spans="1:23" x14ac:dyDescent="0.3">
      <c r="A90" t="s">
        <v>30</v>
      </c>
      <c r="B90" t="s">
        <v>42</v>
      </c>
      <c r="C90" s="1" t="str">
        <f>HYPERLINK("https://new.land.naver.com/complexes/1450", "클릭")</f>
        <v>클릭</v>
      </c>
      <c r="D90">
        <v>1992</v>
      </c>
      <c r="E90">
        <v>9</v>
      </c>
      <c r="F90">
        <v>548</v>
      </c>
      <c r="G90">
        <v>85</v>
      </c>
      <c r="H90" t="s">
        <v>135</v>
      </c>
      <c r="I90" t="s">
        <v>137</v>
      </c>
      <c r="J90" t="s">
        <v>158</v>
      </c>
      <c r="K90">
        <v>105000</v>
      </c>
      <c r="L90" t="s">
        <v>158</v>
      </c>
      <c r="M90">
        <v>60000</v>
      </c>
      <c r="N90">
        <v>45000</v>
      </c>
      <c r="O90" s="2">
        <v>0.5714285714285714</v>
      </c>
      <c r="R90">
        <v>61000</v>
      </c>
      <c r="S90" s="2">
        <v>1.721311475409836</v>
      </c>
      <c r="W90" t="s">
        <v>200</v>
      </c>
    </row>
    <row r="91" spans="1:23" x14ac:dyDescent="0.3">
      <c r="A91" t="s">
        <v>31</v>
      </c>
      <c r="B91" t="s">
        <v>44</v>
      </c>
      <c r="C91" s="1" t="str">
        <f>HYPERLINK("https://new.land.naver.com/complexes/13924", "클릭")</f>
        <v>클릭</v>
      </c>
      <c r="D91">
        <v>1985</v>
      </c>
      <c r="E91">
        <v>8</v>
      </c>
      <c r="F91">
        <v>474</v>
      </c>
      <c r="G91">
        <v>123</v>
      </c>
      <c r="H91" t="s">
        <v>135</v>
      </c>
      <c r="I91" t="s">
        <v>139</v>
      </c>
      <c r="J91" t="s">
        <v>581</v>
      </c>
      <c r="K91">
        <v>105000</v>
      </c>
      <c r="R91">
        <v>63400</v>
      </c>
      <c r="S91" s="2">
        <v>1.65615141955836</v>
      </c>
      <c r="W91" t="s">
        <v>200</v>
      </c>
    </row>
    <row r="92" spans="1:23" x14ac:dyDescent="0.3">
      <c r="A92" t="s">
        <v>31</v>
      </c>
      <c r="B92" t="s">
        <v>40</v>
      </c>
      <c r="C92" s="1" t="str">
        <f>HYPERLINK("https://new.land.naver.com/complexes/144023", "클릭")</f>
        <v>클릭</v>
      </c>
      <c r="D92">
        <v>2024</v>
      </c>
      <c r="E92">
        <v>6</v>
      </c>
      <c r="F92">
        <v>2739</v>
      </c>
      <c r="G92">
        <v>74</v>
      </c>
      <c r="H92" t="s">
        <v>135</v>
      </c>
      <c r="I92" t="s">
        <v>137</v>
      </c>
      <c r="J92" t="s">
        <v>169</v>
      </c>
      <c r="K92">
        <v>105000</v>
      </c>
      <c r="L92" t="s">
        <v>169</v>
      </c>
      <c r="M92">
        <v>51000</v>
      </c>
      <c r="N92">
        <v>54000</v>
      </c>
      <c r="O92" s="2">
        <v>0.48571428571428571</v>
      </c>
      <c r="W92" t="s">
        <v>204</v>
      </c>
    </row>
    <row r="93" spans="1:23" x14ac:dyDescent="0.3">
      <c r="A93" t="s">
        <v>28</v>
      </c>
      <c r="B93" t="s">
        <v>32</v>
      </c>
      <c r="C93" s="1" t="str">
        <f>HYPERLINK("https://new.land.naver.com/complexes/154917", "클릭")</f>
        <v>클릭</v>
      </c>
      <c r="D93">
        <v>2023</v>
      </c>
      <c r="E93">
        <v>11</v>
      </c>
      <c r="F93">
        <v>2886</v>
      </c>
      <c r="G93">
        <v>72</v>
      </c>
      <c r="H93" t="s">
        <v>135</v>
      </c>
      <c r="I93" t="s">
        <v>137</v>
      </c>
      <c r="J93" t="s">
        <v>342</v>
      </c>
      <c r="K93">
        <v>105000</v>
      </c>
      <c r="L93" t="s">
        <v>342</v>
      </c>
      <c r="M93">
        <v>66000</v>
      </c>
      <c r="N93">
        <v>39000</v>
      </c>
      <c r="O93" s="2">
        <v>0.62857142857142856</v>
      </c>
      <c r="W93" t="s">
        <v>205</v>
      </c>
    </row>
    <row r="94" spans="1:23" x14ac:dyDescent="0.3">
      <c r="A94" t="s">
        <v>28</v>
      </c>
      <c r="B94" t="s">
        <v>37</v>
      </c>
      <c r="C94" s="1" t="str">
        <f>HYPERLINK("https://new.land.naver.com/complexes/113297", "클릭")</f>
        <v>클릭</v>
      </c>
      <c r="D94">
        <v>2019</v>
      </c>
      <c r="E94">
        <v>3</v>
      </c>
      <c r="F94">
        <v>1174</v>
      </c>
      <c r="G94">
        <v>74</v>
      </c>
      <c r="H94" t="s">
        <v>135</v>
      </c>
      <c r="I94" t="s">
        <v>137</v>
      </c>
      <c r="J94" t="s">
        <v>181</v>
      </c>
      <c r="K94">
        <v>104000</v>
      </c>
      <c r="L94" t="s">
        <v>181</v>
      </c>
      <c r="M94">
        <v>58000</v>
      </c>
      <c r="N94">
        <v>46000</v>
      </c>
      <c r="O94" s="2">
        <v>0.55769230769230771</v>
      </c>
      <c r="R94">
        <v>55200</v>
      </c>
      <c r="S94" s="2">
        <v>1.8840579710144929</v>
      </c>
      <c r="W94" t="s">
        <v>198</v>
      </c>
    </row>
    <row r="95" spans="1:23" x14ac:dyDescent="0.3">
      <c r="A95" t="s">
        <v>29</v>
      </c>
      <c r="B95" t="s">
        <v>43</v>
      </c>
      <c r="C95" s="1" t="str">
        <f>HYPERLINK("https://new.land.naver.com/complexes/2505", "클릭")</f>
        <v>클릭</v>
      </c>
      <c r="D95">
        <v>1998</v>
      </c>
      <c r="E95">
        <v>12</v>
      </c>
      <c r="F95">
        <v>1314</v>
      </c>
      <c r="G95">
        <v>84</v>
      </c>
      <c r="H95" t="s">
        <v>135</v>
      </c>
      <c r="I95" t="s">
        <v>137</v>
      </c>
      <c r="J95" t="s">
        <v>147</v>
      </c>
      <c r="K95">
        <v>100000</v>
      </c>
      <c r="L95" t="s">
        <v>147</v>
      </c>
      <c r="M95">
        <v>45000</v>
      </c>
      <c r="N95">
        <v>55000</v>
      </c>
      <c r="O95" s="2">
        <v>0.45</v>
      </c>
      <c r="P95">
        <v>133000</v>
      </c>
      <c r="Q95" s="2">
        <v>-0.24812030075187971</v>
      </c>
      <c r="R95">
        <v>62300</v>
      </c>
      <c r="S95" s="2">
        <v>1.605136436597111</v>
      </c>
      <c r="W95" t="s">
        <v>198</v>
      </c>
    </row>
    <row r="96" spans="1:23" x14ac:dyDescent="0.3">
      <c r="A96" t="s">
        <v>28</v>
      </c>
      <c r="B96" t="s">
        <v>540</v>
      </c>
      <c r="C96" s="1" t="str">
        <f>HYPERLINK("https://new.land.naver.com/complexes/1442", "클릭")</f>
        <v>클릭</v>
      </c>
      <c r="D96">
        <v>1992</v>
      </c>
      <c r="E96">
        <v>9</v>
      </c>
      <c r="F96">
        <v>384</v>
      </c>
      <c r="G96">
        <v>101</v>
      </c>
      <c r="H96" t="s">
        <v>135</v>
      </c>
      <c r="I96" t="s">
        <v>139</v>
      </c>
      <c r="J96" t="s">
        <v>586</v>
      </c>
      <c r="K96">
        <v>100000</v>
      </c>
      <c r="L96" t="s">
        <v>586</v>
      </c>
      <c r="M96">
        <v>59000</v>
      </c>
      <c r="N96">
        <v>41000</v>
      </c>
      <c r="O96" s="2">
        <v>0.59</v>
      </c>
      <c r="R96">
        <v>54300</v>
      </c>
      <c r="S96" s="2">
        <v>1.8416206261510131</v>
      </c>
      <c r="W96" t="s">
        <v>198</v>
      </c>
    </row>
    <row r="97" spans="1:23" x14ac:dyDescent="0.3">
      <c r="A97" t="s">
        <v>28</v>
      </c>
      <c r="B97" t="s">
        <v>213</v>
      </c>
      <c r="C97" s="1" t="str">
        <f>HYPERLINK("https://new.land.naver.com/complexes/111921", "클릭")</f>
        <v>클릭</v>
      </c>
      <c r="D97">
        <v>2018</v>
      </c>
      <c r="E97">
        <v>3</v>
      </c>
      <c r="F97">
        <v>200</v>
      </c>
      <c r="G97">
        <v>73</v>
      </c>
      <c r="H97" t="s">
        <v>135</v>
      </c>
      <c r="I97" t="s">
        <v>137</v>
      </c>
      <c r="J97" t="s">
        <v>343</v>
      </c>
      <c r="K97">
        <v>100000</v>
      </c>
      <c r="L97" t="s">
        <v>343</v>
      </c>
      <c r="M97">
        <v>53000</v>
      </c>
      <c r="N97">
        <v>47000</v>
      </c>
      <c r="O97" s="2">
        <v>0.53</v>
      </c>
      <c r="R97">
        <v>49100</v>
      </c>
      <c r="S97" s="2">
        <v>2.0366598778004068</v>
      </c>
      <c r="W97" t="s">
        <v>387</v>
      </c>
    </row>
    <row r="98" spans="1:23" x14ac:dyDescent="0.3">
      <c r="A98" t="s">
        <v>29</v>
      </c>
      <c r="B98" t="s">
        <v>75</v>
      </c>
      <c r="C98" s="1" t="str">
        <f>HYPERLINK("https://new.land.naver.com/complexes/10281", "클릭")</f>
        <v>클릭</v>
      </c>
      <c r="D98">
        <v>2000</v>
      </c>
      <c r="E98">
        <v>10</v>
      </c>
      <c r="F98">
        <v>160</v>
      </c>
      <c r="G98">
        <v>119</v>
      </c>
      <c r="H98" t="s">
        <v>136</v>
      </c>
      <c r="I98" t="s">
        <v>139</v>
      </c>
      <c r="J98" t="s">
        <v>604</v>
      </c>
      <c r="K98">
        <v>100000</v>
      </c>
      <c r="L98" t="s">
        <v>604</v>
      </c>
      <c r="M98">
        <v>60000</v>
      </c>
      <c r="N98">
        <v>40000</v>
      </c>
      <c r="O98" s="2">
        <v>0.6</v>
      </c>
      <c r="W98" t="s">
        <v>407</v>
      </c>
    </row>
    <row r="99" spans="1:23" x14ac:dyDescent="0.3">
      <c r="A99" t="s">
        <v>31</v>
      </c>
      <c r="B99" t="s">
        <v>81</v>
      </c>
      <c r="C99" s="1" t="str">
        <f>HYPERLINK("https://new.land.naver.com/complexes/3079", "클릭")</f>
        <v>클릭</v>
      </c>
      <c r="D99">
        <v>2003</v>
      </c>
      <c r="E99">
        <v>12</v>
      </c>
      <c r="F99">
        <v>3806</v>
      </c>
      <c r="G99">
        <v>164</v>
      </c>
      <c r="H99" t="s">
        <v>135</v>
      </c>
      <c r="I99" t="s">
        <v>551</v>
      </c>
      <c r="J99" t="s">
        <v>559</v>
      </c>
      <c r="K99">
        <v>100000</v>
      </c>
      <c r="L99" t="s">
        <v>559</v>
      </c>
      <c r="M99">
        <v>65000</v>
      </c>
      <c r="N99">
        <v>35000</v>
      </c>
      <c r="O99" s="2">
        <v>0.65</v>
      </c>
      <c r="R99">
        <v>58900</v>
      </c>
      <c r="S99" s="2">
        <v>1.6977928692699491</v>
      </c>
      <c r="W99" t="s">
        <v>198</v>
      </c>
    </row>
    <row r="100" spans="1:23" x14ac:dyDescent="0.3">
      <c r="A100" t="s">
        <v>31</v>
      </c>
      <c r="B100" t="s">
        <v>81</v>
      </c>
      <c r="C100" s="1" t="str">
        <f>HYPERLINK("https://new.land.naver.com/complexes/3079", "클릭")</f>
        <v>클릭</v>
      </c>
      <c r="D100">
        <v>2003</v>
      </c>
      <c r="E100">
        <v>12</v>
      </c>
      <c r="F100">
        <v>3806</v>
      </c>
      <c r="G100">
        <v>182</v>
      </c>
      <c r="H100" t="s">
        <v>135</v>
      </c>
      <c r="I100" t="s">
        <v>554</v>
      </c>
      <c r="J100" t="s">
        <v>605</v>
      </c>
      <c r="K100">
        <v>100000</v>
      </c>
      <c r="L100" t="s">
        <v>605</v>
      </c>
      <c r="M100">
        <v>60000</v>
      </c>
      <c r="N100">
        <v>40000</v>
      </c>
      <c r="O100" s="2">
        <v>0.6</v>
      </c>
      <c r="R100">
        <v>61000</v>
      </c>
      <c r="S100" s="2">
        <v>1.639344262295082</v>
      </c>
      <c r="W100" t="s">
        <v>198</v>
      </c>
    </row>
    <row r="101" spans="1:23" x14ac:dyDescent="0.3">
      <c r="A101" t="s">
        <v>29</v>
      </c>
      <c r="B101" t="s">
        <v>542</v>
      </c>
      <c r="C101" s="1" t="str">
        <f>HYPERLINK("https://new.land.naver.com/complexes/16151", "클릭")</f>
        <v>클릭</v>
      </c>
      <c r="D101">
        <v>1985</v>
      </c>
      <c r="E101">
        <v>9</v>
      </c>
      <c r="F101">
        <v>60</v>
      </c>
      <c r="G101">
        <v>144</v>
      </c>
      <c r="J101" t="s">
        <v>606</v>
      </c>
      <c r="K101">
        <v>100000</v>
      </c>
      <c r="W101" t="s">
        <v>208</v>
      </c>
    </row>
    <row r="102" spans="1:23" x14ac:dyDescent="0.3">
      <c r="A102" t="s">
        <v>31</v>
      </c>
      <c r="B102" t="s">
        <v>44</v>
      </c>
      <c r="C102" s="1" t="str">
        <f>HYPERLINK("https://new.land.naver.com/complexes/13924", "클릭")</f>
        <v>클릭</v>
      </c>
      <c r="D102">
        <v>1985</v>
      </c>
      <c r="E102">
        <v>8</v>
      </c>
      <c r="F102">
        <v>474</v>
      </c>
      <c r="G102">
        <v>84</v>
      </c>
      <c r="H102" t="s">
        <v>135</v>
      </c>
      <c r="I102" t="s">
        <v>138</v>
      </c>
      <c r="J102" t="s">
        <v>150</v>
      </c>
      <c r="K102">
        <v>99900</v>
      </c>
      <c r="P102">
        <v>97000</v>
      </c>
      <c r="Q102" s="2">
        <v>2.989690721649485E-2</v>
      </c>
      <c r="R102">
        <v>57900</v>
      </c>
      <c r="S102" s="2">
        <v>1.7253886010362689</v>
      </c>
      <c r="W102" t="s">
        <v>198</v>
      </c>
    </row>
    <row r="103" spans="1:23" x14ac:dyDescent="0.3">
      <c r="A103" t="s">
        <v>28</v>
      </c>
      <c r="B103" t="s">
        <v>546</v>
      </c>
      <c r="C103" s="1" t="str">
        <f>HYPERLINK("https://new.land.naver.com/complexes/1443", "클릭")</f>
        <v>클릭</v>
      </c>
      <c r="D103">
        <v>1992</v>
      </c>
      <c r="E103">
        <v>12</v>
      </c>
      <c r="F103">
        <v>488</v>
      </c>
      <c r="G103">
        <v>101</v>
      </c>
      <c r="H103" t="s">
        <v>135</v>
      </c>
      <c r="I103" t="s">
        <v>139</v>
      </c>
      <c r="J103" t="s">
        <v>185</v>
      </c>
      <c r="K103">
        <v>99000</v>
      </c>
      <c r="L103" t="s">
        <v>185</v>
      </c>
      <c r="M103">
        <v>55000</v>
      </c>
      <c r="N103">
        <v>44000</v>
      </c>
      <c r="O103" s="2">
        <v>0.55555555555555558</v>
      </c>
      <c r="R103">
        <v>55100</v>
      </c>
      <c r="S103" s="2">
        <v>1.7967332123411981</v>
      </c>
      <c r="W103" t="s">
        <v>198</v>
      </c>
    </row>
    <row r="104" spans="1:23" x14ac:dyDescent="0.3">
      <c r="A104" t="s">
        <v>31</v>
      </c>
      <c r="B104" t="s">
        <v>45</v>
      </c>
      <c r="C104" s="1" t="str">
        <f>HYPERLINK("https://new.land.naver.com/complexes/124780", "클릭")</f>
        <v>클릭</v>
      </c>
      <c r="D104">
        <v>2021</v>
      </c>
      <c r="E104">
        <v>12</v>
      </c>
      <c r="F104">
        <v>2737</v>
      </c>
      <c r="G104">
        <v>84</v>
      </c>
      <c r="H104" t="s">
        <v>135</v>
      </c>
      <c r="I104" t="s">
        <v>137</v>
      </c>
      <c r="J104" t="s">
        <v>151</v>
      </c>
      <c r="K104">
        <v>99000</v>
      </c>
      <c r="L104" t="s">
        <v>151</v>
      </c>
      <c r="M104">
        <v>60000</v>
      </c>
      <c r="N104">
        <v>39000</v>
      </c>
      <c r="O104" s="2">
        <v>0.60606060606060608</v>
      </c>
      <c r="P104">
        <v>120000</v>
      </c>
      <c r="Q104" s="2">
        <v>-0.17499999999999999</v>
      </c>
      <c r="R104">
        <v>56100</v>
      </c>
      <c r="S104" s="2">
        <v>1.7647058823529409</v>
      </c>
      <c r="W104" t="s">
        <v>198</v>
      </c>
    </row>
    <row r="105" spans="1:23" x14ac:dyDescent="0.3">
      <c r="A105" t="s">
        <v>29</v>
      </c>
      <c r="B105" t="s">
        <v>75</v>
      </c>
      <c r="C105" s="1" t="str">
        <f>HYPERLINK("https://new.land.naver.com/complexes/10281", "클릭")</f>
        <v>클릭</v>
      </c>
      <c r="D105">
        <v>2000</v>
      </c>
      <c r="E105">
        <v>10</v>
      </c>
      <c r="F105">
        <v>160</v>
      </c>
      <c r="G105">
        <v>125</v>
      </c>
      <c r="H105" t="s">
        <v>550</v>
      </c>
      <c r="I105" t="s">
        <v>139</v>
      </c>
      <c r="J105" t="s">
        <v>607</v>
      </c>
      <c r="K105">
        <v>98000</v>
      </c>
      <c r="L105" t="s">
        <v>640</v>
      </c>
      <c r="M105">
        <v>58000</v>
      </c>
      <c r="N105">
        <v>40000</v>
      </c>
      <c r="O105" s="2">
        <v>0.59183673469387754</v>
      </c>
      <c r="R105">
        <v>56300</v>
      </c>
      <c r="S105" s="2">
        <v>1.7406749555950269</v>
      </c>
      <c r="W105" t="s">
        <v>198</v>
      </c>
    </row>
    <row r="106" spans="1:23" x14ac:dyDescent="0.3">
      <c r="A106" t="s">
        <v>28</v>
      </c>
      <c r="B106" t="s">
        <v>46</v>
      </c>
      <c r="C106" s="1" t="str">
        <f>HYPERLINK("https://new.land.naver.com/complexes/122682", "클릭")</f>
        <v>클릭</v>
      </c>
      <c r="D106">
        <v>2021</v>
      </c>
      <c r="E106">
        <v>4</v>
      </c>
      <c r="F106">
        <v>3850</v>
      </c>
      <c r="G106">
        <v>84</v>
      </c>
      <c r="H106" t="s">
        <v>135</v>
      </c>
      <c r="I106" t="s">
        <v>137</v>
      </c>
      <c r="J106" t="s">
        <v>152</v>
      </c>
      <c r="K106">
        <v>98000</v>
      </c>
      <c r="L106" t="s">
        <v>152</v>
      </c>
      <c r="M106">
        <v>55000</v>
      </c>
      <c r="N106">
        <v>43000</v>
      </c>
      <c r="O106" s="2">
        <v>0.56122448979591832</v>
      </c>
      <c r="P106">
        <v>120000</v>
      </c>
      <c r="Q106" s="2">
        <v>-0.18333333333333329</v>
      </c>
      <c r="R106">
        <v>63200</v>
      </c>
      <c r="S106" s="2">
        <v>1.5506329113924049</v>
      </c>
      <c r="W106" t="s">
        <v>198</v>
      </c>
    </row>
    <row r="107" spans="1:23" x14ac:dyDescent="0.3">
      <c r="A107" t="s">
        <v>28</v>
      </c>
      <c r="B107" t="s">
        <v>334</v>
      </c>
      <c r="C107" s="1" t="str">
        <f>HYPERLINK("https://new.land.naver.com/complexes/1441", "클릭")</f>
        <v>클릭</v>
      </c>
      <c r="D107">
        <v>1993</v>
      </c>
      <c r="E107">
        <v>11</v>
      </c>
      <c r="F107">
        <v>1072</v>
      </c>
      <c r="G107">
        <v>101</v>
      </c>
      <c r="H107" t="s">
        <v>135</v>
      </c>
      <c r="I107" t="s">
        <v>139</v>
      </c>
      <c r="J107" t="s">
        <v>608</v>
      </c>
      <c r="K107">
        <v>97000</v>
      </c>
      <c r="L107" t="s">
        <v>641</v>
      </c>
      <c r="M107">
        <v>45000</v>
      </c>
      <c r="N107">
        <v>52000</v>
      </c>
      <c r="O107" s="2">
        <v>0.46391752577319589</v>
      </c>
      <c r="R107">
        <v>56000</v>
      </c>
      <c r="S107" s="2">
        <v>1.732142857142857</v>
      </c>
      <c r="W107" t="s">
        <v>198</v>
      </c>
    </row>
    <row r="108" spans="1:23" x14ac:dyDescent="0.3">
      <c r="A108" t="s">
        <v>29</v>
      </c>
      <c r="B108" t="s">
        <v>71</v>
      </c>
      <c r="C108" s="1" t="str">
        <f>HYPERLINK("https://new.land.naver.com/complexes/1978", "클릭")</f>
        <v>클릭</v>
      </c>
      <c r="D108">
        <v>1985</v>
      </c>
      <c r="E108">
        <v>4</v>
      </c>
      <c r="F108">
        <v>904</v>
      </c>
      <c r="G108">
        <v>123</v>
      </c>
      <c r="H108" t="s">
        <v>135</v>
      </c>
      <c r="I108" t="s">
        <v>139</v>
      </c>
      <c r="J108" t="s">
        <v>609</v>
      </c>
      <c r="K108">
        <v>97000</v>
      </c>
      <c r="L108" t="s">
        <v>609</v>
      </c>
      <c r="M108">
        <v>35000</v>
      </c>
      <c r="N108">
        <v>62000</v>
      </c>
      <c r="O108" s="2">
        <v>0.36082474226804118</v>
      </c>
      <c r="R108">
        <v>61400</v>
      </c>
      <c r="S108" s="2">
        <v>1.5798045602605859</v>
      </c>
      <c r="W108" t="s">
        <v>198</v>
      </c>
    </row>
    <row r="109" spans="1:23" x14ac:dyDescent="0.3">
      <c r="A109" t="s">
        <v>29</v>
      </c>
      <c r="B109" t="s">
        <v>33</v>
      </c>
      <c r="C109" s="1" t="str">
        <f>HYPERLINK("https://new.land.naver.com/complexes/107579", "클릭")</f>
        <v>클릭</v>
      </c>
      <c r="D109">
        <v>2016</v>
      </c>
      <c r="E109">
        <v>6</v>
      </c>
      <c r="F109">
        <v>1459</v>
      </c>
      <c r="G109">
        <v>59</v>
      </c>
      <c r="H109" t="s">
        <v>135</v>
      </c>
      <c r="I109" t="s">
        <v>137</v>
      </c>
      <c r="J109" t="s">
        <v>239</v>
      </c>
      <c r="K109">
        <v>97000</v>
      </c>
      <c r="L109" t="s">
        <v>239</v>
      </c>
      <c r="M109">
        <v>59000</v>
      </c>
      <c r="N109">
        <v>38000</v>
      </c>
      <c r="O109" s="2">
        <v>0.60824742268041232</v>
      </c>
      <c r="P109">
        <v>110000</v>
      </c>
      <c r="Q109" s="2">
        <v>-0.11818181818181819</v>
      </c>
      <c r="R109">
        <v>59900</v>
      </c>
      <c r="S109" s="2">
        <v>1.619365609348915</v>
      </c>
      <c r="W109" t="s">
        <v>198</v>
      </c>
    </row>
    <row r="110" spans="1:23" x14ac:dyDescent="0.3">
      <c r="A110" t="s">
        <v>28</v>
      </c>
      <c r="B110" t="s">
        <v>213</v>
      </c>
      <c r="C110" s="1" t="str">
        <f>HYPERLINK("https://new.land.naver.com/complexes/111921", "클릭")</f>
        <v>클릭</v>
      </c>
      <c r="D110">
        <v>2018</v>
      </c>
      <c r="E110">
        <v>3</v>
      </c>
      <c r="F110">
        <v>200</v>
      </c>
      <c r="G110">
        <v>82</v>
      </c>
      <c r="H110" t="s">
        <v>135</v>
      </c>
      <c r="I110" t="s">
        <v>137</v>
      </c>
      <c r="J110" t="s">
        <v>168</v>
      </c>
      <c r="K110">
        <v>96000</v>
      </c>
      <c r="L110" t="s">
        <v>168</v>
      </c>
      <c r="M110">
        <v>53000</v>
      </c>
      <c r="N110">
        <v>43000</v>
      </c>
      <c r="O110" s="2">
        <v>0.55208333333333337</v>
      </c>
      <c r="R110">
        <v>53800</v>
      </c>
      <c r="S110" s="2">
        <v>1.7843866171003719</v>
      </c>
      <c r="W110" t="s">
        <v>198</v>
      </c>
    </row>
    <row r="111" spans="1:23" x14ac:dyDescent="0.3">
      <c r="A111" t="s">
        <v>29</v>
      </c>
      <c r="B111" t="s">
        <v>47</v>
      </c>
      <c r="C111" s="1" t="str">
        <f>HYPERLINK("https://new.land.naver.com/complexes/102312", "클릭")</f>
        <v>클릭</v>
      </c>
      <c r="D111">
        <v>2012</v>
      </c>
      <c r="E111">
        <v>4</v>
      </c>
      <c r="F111">
        <v>1042</v>
      </c>
      <c r="G111">
        <v>84</v>
      </c>
      <c r="H111" t="s">
        <v>135</v>
      </c>
      <c r="I111" t="s">
        <v>137</v>
      </c>
      <c r="J111" t="s">
        <v>153</v>
      </c>
      <c r="K111">
        <v>95000</v>
      </c>
      <c r="L111" t="s">
        <v>192</v>
      </c>
      <c r="M111">
        <v>48000</v>
      </c>
      <c r="N111">
        <v>47000</v>
      </c>
      <c r="O111" s="2">
        <v>0.50526315789473686</v>
      </c>
      <c r="P111">
        <v>132000</v>
      </c>
      <c r="Q111" s="2">
        <v>-0.28030303030303028</v>
      </c>
      <c r="R111">
        <v>61200</v>
      </c>
      <c r="S111" s="2">
        <v>1.552287581699346</v>
      </c>
      <c r="W111" t="s">
        <v>198</v>
      </c>
    </row>
    <row r="112" spans="1:23" x14ac:dyDescent="0.3">
      <c r="A112" t="s">
        <v>28</v>
      </c>
      <c r="B112" t="s">
        <v>72</v>
      </c>
      <c r="C112" s="1" t="str">
        <f>HYPERLINK("https://new.land.naver.com/complexes/3081", "클릭")</f>
        <v>클릭</v>
      </c>
      <c r="D112">
        <v>2002</v>
      </c>
      <c r="E112">
        <v>11</v>
      </c>
      <c r="F112">
        <v>604</v>
      </c>
      <c r="G112">
        <v>113</v>
      </c>
      <c r="H112" t="s">
        <v>135</v>
      </c>
      <c r="I112" t="s">
        <v>139</v>
      </c>
      <c r="J112" t="s">
        <v>571</v>
      </c>
      <c r="K112">
        <v>95000</v>
      </c>
      <c r="L112" t="s">
        <v>571</v>
      </c>
      <c r="M112">
        <v>55000</v>
      </c>
      <c r="N112">
        <v>40000</v>
      </c>
      <c r="O112" s="2">
        <v>0.57894736842105265</v>
      </c>
      <c r="R112">
        <v>58500</v>
      </c>
      <c r="S112" s="2">
        <v>1.6239316239316239</v>
      </c>
      <c r="W112" t="s">
        <v>198</v>
      </c>
    </row>
    <row r="113" spans="1:23" x14ac:dyDescent="0.3">
      <c r="A113" t="s">
        <v>31</v>
      </c>
      <c r="B113" t="s">
        <v>51</v>
      </c>
      <c r="C113" s="1" t="str">
        <f>HYPERLINK("https://new.land.naver.com/complexes/13922", "클릭")</f>
        <v>클릭</v>
      </c>
      <c r="D113">
        <v>1981</v>
      </c>
      <c r="E113">
        <v>9</v>
      </c>
      <c r="F113">
        <v>912</v>
      </c>
      <c r="G113">
        <v>89</v>
      </c>
      <c r="H113" t="s">
        <v>135</v>
      </c>
      <c r="I113" t="s">
        <v>137</v>
      </c>
      <c r="J113" t="s">
        <v>610</v>
      </c>
      <c r="K113">
        <v>95000</v>
      </c>
      <c r="R113">
        <v>45300</v>
      </c>
      <c r="S113" s="2">
        <v>2.0971302428256071</v>
      </c>
      <c r="W113" t="s">
        <v>198</v>
      </c>
    </row>
    <row r="114" spans="1:23" x14ac:dyDescent="0.3">
      <c r="A114" t="s">
        <v>28</v>
      </c>
      <c r="B114" t="s">
        <v>48</v>
      </c>
      <c r="C114" s="1" t="str">
        <f>HYPERLINK("https://new.land.naver.com/complexes/1471", "클릭")</f>
        <v>클릭</v>
      </c>
      <c r="D114">
        <v>1994</v>
      </c>
      <c r="E114">
        <v>8</v>
      </c>
      <c r="F114">
        <v>590</v>
      </c>
      <c r="G114">
        <v>84</v>
      </c>
      <c r="H114" t="s">
        <v>135</v>
      </c>
      <c r="I114" t="s">
        <v>137</v>
      </c>
      <c r="J114" t="s">
        <v>154</v>
      </c>
      <c r="K114">
        <v>95000</v>
      </c>
      <c r="L114" t="s">
        <v>154</v>
      </c>
      <c r="M114">
        <v>56000</v>
      </c>
      <c r="N114">
        <v>39000</v>
      </c>
      <c r="O114" s="2">
        <v>0.58947368421052626</v>
      </c>
      <c r="P114">
        <v>109500</v>
      </c>
      <c r="Q114" s="2">
        <v>-0.13242009132420091</v>
      </c>
      <c r="R114">
        <v>55700</v>
      </c>
      <c r="S114" s="2">
        <v>1.7055655296229799</v>
      </c>
      <c r="W114" t="s">
        <v>198</v>
      </c>
    </row>
    <row r="115" spans="1:23" x14ac:dyDescent="0.3">
      <c r="A115" t="s">
        <v>31</v>
      </c>
      <c r="B115" t="s">
        <v>67</v>
      </c>
      <c r="C115" s="1" t="str">
        <f>HYPERLINK("https://new.land.naver.com/complexes/26320", "클릭")</f>
        <v>클릭</v>
      </c>
      <c r="D115">
        <v>2008</v>
      </c>
      <c r="E115">
        <v>10</v>
      </c>
      <c r="F115">
        <v>486</v>
      </c>
      <c r="G115">
        <v>125</v>
      </c>
      <c r="H115" t="s">
        <v>135</v>
      </c>
      <c r="I115" t="s">
        <v>137</v>
      </c>
      <c r="J115" t="s">
        <v>611</v>
      </c>
      <c r="K115">
        <v>95000</v>
      </c>
      <c r="L115" t="s">
        <v>611</v>
      </c>
      <c r="M115">
        <v>55000</v>
      </c>
      <c r="N115">
        <v>40000</v>
      </c>
      <c r="O115" s="2">
        <v>0.57894736842105265</v>
      </c>
      <c r="R115">
        <v>62700</v>
      </c>
      <c r="S115" s="2">
        <v>1.5151515151515149</v>
      </c>
      <c r="W115" t="s">
        <v>198</v>
      </c>
    </row>
    <row r="116" spans="1:23" x14ac:dyDescent="0.3">
      <c r="A116" t="s">
        <v>31</v>
      </c>
      <c r="B116" t="s">
        <v>67</v>
      </c>
      <c r="C116" s="1" t="str">
        <f>HYPERLINK("https://new.land.naver.com/complexes/26320", "클릭")</f>
        <v>클릭</v>
      </c>
      <c r="D116">
        <v>2008</v>
      </c>
      <c r="E116">
        <v>10</v>
      </c>
      <c r="F116">
        <v>486</v>
      </c>
      <c r="G116">
        <v>126</v>
      </c>
      <c r="H116" t="s">
        <v>135</v>
      </c>
      <c r="I116" t="s">
        <v>139</v>
      </c>
      <c r="J116" t="s">
        <v>612</v>
      </c>
      <c r="K116">
        <v>95000</v>
      </c>
      <c r="L116" t="s">
        <v>612</v>
      </c>
      <c r="M116">
        <v>55000</v>
      </c>
      <c r="N116">
        <v>40000</v>
      </c>
      <c r="O116" s="2">
        <v>0.57894736842105265</v>
      </c>
      <c r="R116">
        <v>62700</v>
      </c>
      <c r="S116" s="2">
        <v>1.5151515151515149</v>
      </c>
      <c r="W116" t="s">
        <v>198</v>
      </c>
    </row>
    <row r="117" spans="1:23" x14ac:dyDescent="0.3">
      <c r="A117" t="s">
        <v>28</v>
      </c>
      <c r="B117" t="s">
        <v>91</v>
      </c>
      <c r="C117" s="1" t="str">
        <f>HYPERLINK("https://new.land.naver.com/complexes/8036", "클릭")</f>
        <v>클릭</v>
      </c>
      <c r="D117">
        <v>2003</v>
      </c>
      <c r="E117">
        <v>12</v>
      </c>
      <c r="F117">
        <v>1752</v>
      </c>
      <c r="G117">
        <v>143</v>
      </c>
      <c r="H117" t="s">
        <v>135</v>
      </c>
      <c r="I117" t="s">
        <v>139</v>
      </c>
      <c r="J117" t="s">
        <v>613</v>
      </c>
      <c r="K117">
        <v>93000</v>
      </c>
      <c r="L117" t="s">
        <v>613</v>
      </c>
      <c r="M117">
        <v>53000</v>
      </c>
      <c r="N117">
        <v>40000</v>
      </c>
      <c r="O117" s="2">
        <v>0.56989247311827962</v>
      </c>
      <c r="R117">
        <v>54500</v>
      </c>
      <c r="S117" s="2">
        <v>1.7064220183486241</v>
      </c>
      <c r="W117" t="s">
        <v>198</v>
      </c>
    </row>
    <row r="118" spans="1:23" x14ac:dyDescent="0.3">
      <c r="A118" t="s">
        <v>28</v>
      </c>
      <c r="B118" t="s">
        <v>46</v>
      </c>
      <c r="C118" s="1" t="str">
        <f>HYPERLINK("https://new.land.naver.com/complexes/122682", "클릭")</f>
        <v>클릭</v>
      </c>
      <c r="D118">
        <v>2021</v>
      </c>
      <c r="E118">
        <v>4</v>
      </c>
      <c r="F118">
        <v>3850</v>
      </c>
      <c r="G118">
        <v>74</v>
      </c>
      <c r="H118" t="s">
        <v>135</v>
      </c>
      <c r="I118" t="s">
        <v>137</v>
      </c>
      <c r="J118" t="s">
        <v>171</v>
      </c>
      <c r="K118">
        <v>93000</v>
      </c>
      <c r="L118" t="s">
        <v>171</v>
      </c>
      <c r="M118">
        <v>53000</v>
      </c>
      <c r="N118">
        <v>40000</v>
      </c>
      <c r="O118" s="2">
        <v>0.56989247311827962</v>
      </c>
      <c r="R118">
        <v>56300</v>
      </c>
      <c r="S118" s="2">
        <v>1.651865008880995</v>
      </c>
      <c r="W118" t="s">
        <v>198</v>
      </c>
    </row>
    <row r="119" spans="1:23" x14ac:dyDescent="0.3">
      <c r="A119" t="s">
        <v>31</v>
      </c>
      <c r="B119" t="s">
        <v>40</v>
      </c>
      <c r="C119" s="1" t="str">
        <f>HYPERLINK("https://new.land.naver.com/complexes/144023", "클릭")</f>
        <v>클릭</v>
      </c>
      <c r="D119">
        <v>2024</v>
      </c>
      <c r="E119">
        <v>6</v>
      </c>
      <c r="F119">
        <v>2739</v>
      </c>
      <c r="G119">
        <v>59</v>
      </c>
      <c r="H119" t="s">
        <v>135</v>
      </c>
      <c r="I119" t="s">
        <v>137</v>
      </c>
      <c r="J119" t="s">
        <v>240</v>
      </c>
      <c r="K119">
        <v>93000</v>
      </c>
      <c r="L119" t="s">
        <v>240</v>
      </c>
      <c r="M119">
        <v>43000</v>
      </c>
      <c r="N119">
        <v>50000</v>
      </c>
      <c r="O119" s="2">
        <v>0.46236559139784938</v>
      </c>
      <c r="W119" t="s">
        <v>198</v>
      </c>
    </row>
    <row r="120" spans="1:23" x14ac:dyDescent="0.3">
      <c r="A120" t="s">
        <v>28</v>
      </c>
      <c r="B120" t="s">
        <v>545</v>
      </c>
      <c r="C120" s="1" t="str">
        <f>HYPERLINK("https://new.land.naver.com/complexes/1444", "클릭")</f>
        <v>클릭</v>
      </c>
      <c r="D120">
        <v>1992</v>
      </c>
      <c r="E120">
        <v>12</v>
      </c>
      <c r="F120">
        <v>390</v>
      </c>
      <c r="G120">
        <v>91</v>
      </c>
      <c r="H120" t="s">
        <v>135</v>
      </c>
      <c r="I120" t="s">
        <v>137</v>
      </c>
      <c r="J120" t="s">
        <v>144</v>
      </c>
      <c r="K120">
        <v>93000</v>
      </c>
      <c r="L120" t="s">
        <v>144</v>
      </c>
      <c r="M120">
        <v>43000</v>
      </c>
      <c r="N120">
        <v>50000</v>
      </c>
      <c r="O120" s="2">
        <v>0.46236559139784938</v>
      </c>
      <c r="R120">
        <v>52600</v>
      </c>
      <c r="S120" s="2">
        <v>1.768060836501901</v>
      </c>
      <c r="W120" t="s">
        <v>198</v>
      </c>
    </row>
    <row r="121" spans="1:23" x14ac:dyDescent="0.3">
      <c r="A121" t="s">
        <v>31</v>
      </c>
      <c r="B121" t="s">
        <v>51</v>
      </c>
      <c r="C121" s="1" t="str">
        <f>HYPERLINK("https://new.land.naver.com/complexes/13922", "클릭")</f>
        <v>클릭</v>
      </c>
      <c r="D121">
        <v>1981</v>
      </c>
      <c r="E121">
        <v>9</v>
      </c>
      <c r="F121">
        <v>912</v>
      </c>
      <c r="G121">
        <v>87</v>
      </c>
      <c r="H121" t="s">
        <v>136</v>
      </c>
      <c r="I121" t="s">
        <v>137</v>
      </c>
      <c r="J121" t="s">
        <v>614</v>
      </c>
      <c r="K121">
        <v>92300</v>
      </c>
      <c r="R121">
        <v>46600</v>
      </c>
      <c r="S121" s="2">
        <v>1.9806866952789699</v>
      </c>
      <c r="W121" t="s">
        <v>198</v>
      </c>
    </row>
    <row r="122" spans="1:23" x14ac:dyDescent="0.3">
      <c r="A122" t="s">
        <v>29</v>
      </c>
      <c r="B122" t="s">
        <v>47</v>
      </c>
      <c r="C122" s="1" t="str">
        <f>HYPERLINK("https://new.land.naver.com/complexes/102312", "클릭")</f>
        <v>클릭</v>
      </c>
      <c r="D122">
        <v>2012</v>
      </c>
      <c r="E122">
        <v>4</v>
      </c>
      <c r="F122">
        <v>1042</v>
      </c>
      <c r="G122">
        <v>74</v>
      </c>
      <c r="H122" t="s">
        <v>135</v>
      </c>
      <c r="I122" t="s">
        <v>137</v>
      </c>
      <c r="J122" t="s">
        <v>344</v>
      </c>
      <c r="K122">
        <v>92000</v>
      </c>
      <c r="L122" t="s">
        <v>344</v>
      </c>
      <c r="M122">
        <v>48000</v>
      </c>
      <c r="N122">
        <v>44000</v>
      </c>
      <c r="O122" s="2">
        <v>0.52173913043478259</v>
      </c>
      <c r="R122">
        <v>53700</v>
      </c>
      <c r="S122" s="2">
        <v>1.7132216014897581</v>
      </c>
      <c r="W122" t="s">
        <v>198</v>
      </c>
    </row>
    <row r="123" spans="1:23" x14ac:dyDescent="0.3">
      <c r="A123" t="s">
        <v>31</v>
      </c>
      <c r="B123" t="s">
        <v>51</v>
      </c>
      <c r="C123" s="1" t="str">
        <f>HYPERLINK("https://new.land.naver.com/complexes/13922", "클릭")</f>
        <v>클릭</v>
      </c>
      <c r="D123">
        <v>1981</v>
      </c>
      <c r="E123">
        <v>9</v>
      </c>
      <c r="F123">
        <v>912</v>
      </c>
      <c r="G123">
        <v>71</v>
      </c>
      <c r="H123" t="s">
        <v>136</v>
      </c>
      <c r="I123" t="s">
        <v>138</v>
      </c>
      <c r="J123" t="s">
        <v>345</v>
      </c>
      <c r="K123">
        <v>92000</v>
      </c>
      <c r="R123">
        <v>37000</v>
      </c>
      <c r="S123" s="2">
        <v>2.486486486486486</v>
      </c>
      <c r="W123" t="s">
        <v>198</v>
      </c>
    </row>
    <row r="124" spans="1:23" x14ac:dyDescent="0.3">
      <c r="A124" t="s">
        <v>31</v>
      </c>
      <c r="B124" t="s">
        <v>51</v>
      </c>
      <c r="C124" s="1" t="str">
        <f>HYPERLINK("https://new.land.naver.com/complexes/13922", "클릭")</f>
        <v>클릭</v>
      </c>
      <c r="D124">
        <v>1981</v>
      </c>
      <c r="E124">
        <v>9</v>
      </c>
      <c r="F124">
        <v>912</v>
      </c>
      <c r="G124">
        <v>52</v>
      </c>
      <c r="H124" t="s">
        <v>136</v>
      </c>
      <c r="I124" t="s">
        <v>235</v>
      </c>
      <c r="J124" t="s">
        <v>457</v>
      </c>
      <c r="K124">
        <v>92000</v>
      </c>
      <c r="W124" t="s">
        <v>202</v>
      </c>
    </row>
    <row r="125" spans="1:23" x14ac:dyDescent="0.3">
      <c r="A125" t="s">
        <v>31</v>
      </c>
      <c r="B125" t="s">
        <v>49</v>
      </c>
      <c r="C125" s="1" t="str">
        <f>HYPERLINK("https://new.land.naver.com/complexes/1468", "클릭")</f>
        <v>클릭</v>
      </c>
      <c r="D125">
        <v>1992</v>
      </c>
      <c r="E125">
        <v>11</v>
      </c>
      <c r="F125">
        <v>508</v>
      </c>
      <c r="G125">
        <v>84</v>
      </c>
      <c r="H125" t="s">
        <v>135</v>
      </c>
      <c r="I125" t="s">
        <v>137</v>
      </c>
      <c r="J125" t="s">
        <v>155</v>
      </c>
      <c r="K125">
        <v>92000</v>
      </c>
      <c r="L125" t="s">
        <v>155</v>
      </c>
      <c r="M125">
        <v>45000</v>
      </c>
      <c r="N125">
        <v>47000</v>
      </c>
      <c r="O125" s="2">
        <v>0.4891304347826087</v>
      </c>
      <c r="P125">
        <v>100000</v>
      </c>
      <c r="Q125" s="2">
        <v>-0.08</v>
      </c>
      <c r="R125">
        <v>54400</v>
      </c>
      <c r="S125" s="2">
        <v>1.6911764705882351</v>
      </c>
      <c r="W125" t="s">
        <v>198</v>
      </c>
    </row>
    <row r="126" spans="1:23" x14ac:dyDescent="0.3">
      <c r="A126" t="s">
        <v>30</v>
      </c>
      <c r="B126" t="s">
        <v>50</v>
      </c>
      <c r="C126" s="1" t="str">
        <f>HYPERLINK("https://new.land.naver.com/complexes/1483", "클릭")</f>
        <v>클릭</v>
      </c>
      <c r="D126">
        <v>1993</v>
      </c>
      <c r="E126">
        <v>11</v>
      </c>
      <c r="F126">
        <v>1035</v>
      </c>
      <c r="G126">
        <v>84</v>
      </c>
      <c r="H126" t="s">
        <v>135</v>
      </c>
      <c r="I126" t="s">
        <v>137</v>
      </c>
      <c r="J126" t="s">
        <v>147</v>
      </c>
      <c r="K126">
        <v>91500</v>
      </c>
      <c r="L126" t="s">
        <v>147</v>
      </c>
      <c r="M126">
        <v>45000</v>
      </c>
      <c r="N126">
        <v>46500</v>
      </c>
      <c r="O126" s="2">
        <v>0.49180327868852458</v>
      </c>
      <c r="P126">
        <v>113500</v>
      </c>
      <c r="Q126" s="2">
        <v>-0.19383259911894271</v>
      </c>
      <c r="R126">
        <v>55800</v>
      </c>
      <c r="S126" s="2">
        <v>1.639784946236559</v>
      </c>
      <c r="W126" t="s">
        <v>198</v>
      </c>
    </row>
    <row r="127" spans="1:23" x14ac:dyDescent="0.3">
      <c r="A127" t="s">
        <v>31</v>
      </c>
      <c r="B127" t="s">
        <v>38</v>
      </c>
      <c r="C127" s="1" t="str">
        <f>HYPERLINK("https://new.land.naver.com/complexes/126060", "클릭")</f>
        <v>클릭</v>
      </c>
      <c r="D127">
        <v>2022</v>
      </c>
      <c r="E127">
        <v>3</v>
      </c>
      <c r="F127">
        <v>1199</v>
      </c>
      <c r="G127">
        <v>68</v>
      </c>
      <c r="H127" t="s">
        <v>135</v>
      </c>
      <c r="I127" t="s">
        <v>137</v>
      </c>
      <c r="J127" t="s">
        <v>346</v>
      </c>
      <c r="K127">
        <v>91000</v>
      </c>
      <c r="L127" t="s">
        <v>346</v>
      </c>
      <c r="M127">
        <v>55000</v>
      </c>
      <c r="N127">
        <v>36000</v>
      </c>
      <c r="O127" s="2">
        <v>0.60439560439560436</v>
      </c>
      <c r="R127">
        <v>51800</v>
      </c>
      <c r="S127" s="2">
        <v>1.756756756756757</v>
      </c>
      <c r="W127" t="s">
        <v>198</v>
      </c>
    </row>
    <row r="128" spans="1:23" x14ac:dyDescent="0.3">
      <c r="A128" t="s">
        <v>31</v>
      </c>
      <c r="B128" t="s">
        <v>51</v>
      </c>
      <c r="C128" s="1" t="str">
        <f>HYPERLINK("https://new.land.naver.com/complexes/13922", "클릭")</f>
        <v>클릭</v>
      </c>
      <c r="D128">
        <v>1981</v>
      </c>
      <c r="E128">
        <v>9</v>
      </c>
      <c r="F128">
        <v>912</v>
      </c>
      <c r="G128">
        <v>84</v>
      </c>
      <c r="H128" t="s">
        <v>136</v>
      </c>
      <c r="I128" t="s">
        <v>137</v>
      </c>
      <c r="J128" t="s">
        <v>156</v>
      </c>
      <c r="K128">
        <v>91000</v>
      </c>
      <c r="P128">
        <v>112000</v>
      </c>
      <c r="Q128" s="2">
        <v>-0.1875</v>
      </c>
      <c r="R128">
        <v>46600</v>
      </c>
      <c r="S128" s="2">
        <v>1.9527896995708149</v>
      </c>
      <c r="W128" t="s">
        <v>198</v>
      </c>
    </row>
    <row r="129" spans="1:23" x14ac:dyDescent="0.3">
      <c r="A129" t="s">
        <v>28</v>
      </c>
      <c r="B129" t="s">
        <v>52</v>
      </c>
      <c r="C129" s="1" t="str">
        <f>HYPERLINK("https://new.land.naver.com/complexes/1472", "클릭")</f>
        <v>클릭</v>
      </c>
      <c r="D129">
        <v>1992</v>
      </c>
      <c r="E129">
        <v>8</v>
      </c>
      <c r="F129">
        <v>438</v>
      </c>
      <c r="G129">
        <v>84</v>
      </c>
      <c r="H129" t="s">
        <v>135</v>
      </c>
      <c r="I129" t="s">
        <v>137</v>
      </c>
      <c r="J129" t="s">
        <v>150</v>
      </c>
      <c r="K129">
        <v>90000</v>
      </c>
      <c r="L129" t="s">
        <v>150</v>
      </c>
      <c r="M129">
        <v>53000</v>
      </c>
      <c r="N129">
        <v>37000</v>
      </c>
      <c r="O129" s="2">
        <v>0.58888888888888891</v>
      </c>
      <c r="P129">
        <v>100000</v>
      </c>
      <c r="Q129" s="2">
        <v>-0.1</v>
      </c>
      <c r="R129">
        <v>52500</v>
      </c>
      <c r="S129" s="2">
        <v>1.714285714285714</v>
      </c>
      <c r="W129" t="s">
        <v>198</v>
      </c>
    </row>
    <row r="130" spans="1:23" x14ac:dyDescent="0.3">
      <c r="A130" t="s">
        <v>28</v>
      </c>
      <c r="B130" t="s">
        <v>37</v>
      </c>
      <c r="C130" s="1" t="str">
        <f>HYPERLINK("https://new.land.naver.com/complexes/113297", "클릭")</f>
        <v>클릭</v>
      </c>
      <c r="D130">
        <v>2019</v>
      </c>
      <c r="E130">
        <v>3</v>
      </c>
      <c r="F130">
        <v>1174</v>
      </c>
      <c r="G130">
        <v>59</v>
      </c>
      <c r="H130" t="s">
        <v>135</v>
      </c>
      <c r="I130" t="s">
        <v>137</v>
      </c>
      <c r="J130" t="s">
        <v>240</v>
      </c>
      <c r="K130">
        <v>90000</v>
      </c>
      <c r="L130" t="s">
        <v>261</v>
      </c>
      <c r="M130">
        <v>53000</v>
      </c>
      <c r="N130">
        <v>37000</v>
      </c>
      <c r="O130" s="2">
        <v>0.58888888888888891</v>
      </c>
      <c r="P130">
        <v>102800</v>
      </c>
      <c r="Q130" s="2">
        <v>-0.1245136186770428</v>
      </c>
      <c r="R130">
        <v>47700</v>
      </c>
      <c r="S130" s="2">
        <v>1.8867924528301889</v>
      </c>
      <c r="W130" t="s">
        <v>198</v>
      </c>
    </row>
    <row r="131" spans="1:23" x14ac:dyDescent="0.3">
      <c r="A131" t="s">
        <v>28</v>
      </c>
      <c r="B131" t="s">
        <v>90</v>
      </c>
      <c r="C131" s="1" t="str">
        <f>HYPERLINK("https://new.land.naver.com/complexes/3082", "클릭")</f>
        <v>클릭</v>
      </c>
      <c r="D131">
        <v>2003</v>
      </c>
      <c r="E131">
        <v>11</v>
      </c>
      <c r="F131">
        <v>1977</v>
      </c>
      <c r="G131">
        <v>142</v>
      </c>
      <c r="H131" t="s">
        <v>135</v>
      </c>
      <c r="I131" t="s">
        <v>139</v>
      </c>
      <c r="J131" t="s">
        <v>615</v>
      </c>
      <c r="K131">
        <v>90000</v>
      </c>
      <c r="L131" t="s">
        <v>615</v>
      </c>
      <c r="M131">
        <v>46000</v>
      </c>
      <c r="N131">
        <v>44000</v>
      </c>
      <c r="O131" s="2">
        <v>0.51111111111111107</v>
      </c>
      <c r="R131">
        <v>50700</v>
      </c>
      <c r="S131" s="2">
        <v>1.775147928994083</v>
      </c>
      <c r="W131" t="s">
        <v>198</v>
      </c>
    </row>
    <row r="132" spans="1:23" x14ac:dyDescent="0.3">
      <c r="A132" t="s">
        <v>28</v>
      </c>
      <c r="B132" t="s">
        <v>48</v>
      </c>
      <c r="C132" s="1" t="str">
        <f>HYPERLINK("https://new.land.naver.com/complexes/1471", "클릭")</f>
        <v>클릭</v>
      </c>
      <c r="D132">
        <v>1994</v>
      </c>
      <c r="E132">
        <v>8</v>
      </c>
      <c r="F132">
        <v>590</v>
      </c>
      <c r="G132">
        <v>85</v>
      </c>
      <c r="H132" t="s">
        <v>135</v>
      </c>
      <c r="I132" t="s">
        <v>137</v>
      </c>
      <c r="J132" t="s">
        <v>616</v>
      </c>
      <c r="K132">
        <v>90000</v>
      </c>
      <c r="L132" t="s">
        <v>616</v>
      </c>
      <c r="M132">
        <v>61000</v>
      </c>
      <c r="N132">
        <v>29000</v>
      </c>
      <c r="O132" s="2">
        <v>0.67777777777777781</v>
      </c>
      <c r="R132">
        <v>55700</v>
      </c>
      <c r="S132" s="2">
        <v>1.6157989228007179</v>
      </c>
      <c r="W132" t="s">
        <v>198</v>
      </c>
    </row>
    <row r="133" spans="1:23" x14ac:dyDescent="0.3">
      <c r="A133" t="s">
        <v>28</v>
      </c>
      <c r="B133" t="s">
        <v>334</v>
      </c>
      <c r="C133" s="1" t="str">
        <f>HYPERLINK("https://new.land.naver.com/complexes/1441", "클릭")</f>
        <v>클릭</v>
      </c>
      <c r="D133">
        <v>1993</v>
      </c>
      <c r="E133">
        <v>11</v>
      </c>
      <c r="F133">
        <v>1072</v>
      </c>
      <c r="G133">
        <v>88</v>
      </c>
      <c r="H133" t="s">
        <v>135</v>
      </c>
      <c r="I133" t="s">
        <v>137</v>
      </c>
      <c r="J133" t="s">
        <v>168</v>
      </c>
      <c r="K133">
        <v>90000</v>
      </c>
      <c r="L133" t="s">
        <v>642</v>
      </c>
      <c r="M133">
        <v>40000</v>
      </c>
      <c r="N133">
        <v>50000</v>
      </c>
      <c r="O133" s="2">
        <v>0.44444444444444442</v>
      </c>
      <c r="R133">
        <v>48600</v>
      </c>
      <c r="S133" s="2">
        <v>1.8518518518518521</v>
      </c>
      <c r="W133" t="s">
        <v>198</v>
      </c>
    </row>
    <row r="134" spans="1:23" x14ac:dyDescent="0.3">
      <c r="A134" t="s">
        <v>31</v>
      </c>
      <c r="B134" t="s">
        <v>74</v>
      </c>
      <c r="C134" s="1" t="str">
        <f>HYPERLINK("https://new.land.naver.com/complexes/25725", "클릭")</f>
        <v>클릭</v>
      </c>
      <c r="D134">
        <v>2009</v>
      </c>
      <c r="E134">
        <v>11</v>
      </c>
      <c r="F134">
        <v>774</v>
      </c>
      <c r="G134">
        <v>132</v>
      </c>
      <c r="H134" t="s">
        <v>135</v>
      </c>
      <c r="I134" t="s">
        <v>551</v>
      </c>
      <c r="J134" t="s">
        <v>617</v>
      </c>
      <c r="K134">
        <v>90000</v>
      </c>
      <c r="L134" t="s">
        <v>617</v>
      </c>
      <c r="M134">
        <v>60000</v>
      </c>
      <c r="N134">
        <v>30000</v>
      </c>
      <c r="O134" s="2">
        <v>0.66666666666666663</v>
      </c>
      <c r="R134">
        <v>59000</v>
      </c>
      <c r="S134" s="2">
        <v>1.525423728813559</v>
      </c>
      <c r="W134" t="s">
        <v>198</v>
      </c>
    </row>
    <row r="135" spans="1:23" x14ac:dyDescent="0.3">
      <c r="A135" t="s">
        <v>31</v>
      </c>
      <c r="B135" t="s">
        <v>40</v>
      </c>
      <c r="C135" s="1" t="str">
        <f>HYPERLINK("https://new.land.naver.com/complexes/144023", "클릭")</f>
        <v>클릭</v>
      </c>
      <c r="D135">
        <v>2024</v>
      </c>
      <c r="E135">
        <v>6</v>
      </c>
      <c r="F135">
        <v>2739</v>
      </c>
      <c r="G135">
        <v>22</v>
      </c>
      <c r="H135" t="s">
        <v>135</v>
      </c>
      <c r="I135" t="s">
        <v>236</v>
      </c>
      <c r="J135" t="s">
        <v>458</v>
      </c>
      <c r="K135">
        <v>90000</v>
      </c>
      <c r="L135" t="s">
        <v>458</v>
      </c>
      <c r="M135">
        <v>12000</v>
      </c>
      <c r="N135">
        <v>78000</v>
      </c>
      <c r="O135" s="2">
        <v>0.1333333333333333</v>
      </c>
      <c r="W135" t="s">
        <v>201</v>
      </c>
    </row>
    <row r="136" spans="1:23" x14ac:dyDescent="0.3">
      <c r="A136" t="s">
        <v>28</v>
      </c>
      <c r="B136" t="s">
        <v>107</v>
      </c>
      <c r="C136" s="1" t="str">
        <f>HYPERLINK("https://new.land.naver.com/complexes/19128", "클릭")</f>
        <v>클릭</v>
      </c>
      <c r="D136">
        <v>2005</v>
      </c>
      <c r="E136">
        <v>9</v>
      </c>
      <c r="F136">
        <v>83</v>
      </c>
      <c r="G136">
        <v>123</v>
      </c>
      <c r="H136" t="s">
        <v>135</v>
      </c>
      <c r="I136" t="s">
        <v>139</v>
      </c>
      <c r="J136" t="s">
        <v>569</v>
      </c>
      <c r="K136">
        <v>90000</v>
      </c>
      <c r="R136">
        <v>36600</v>
      </c>
      <c r="S136" s="2">
        <v>2.459016393442623</v>
      </c>
      <c r="W136" t="s">
        <v>198</v>
      </c>
    </row>
    <row r="137" spans="1:23" x14ac:dyDescent="0.3">
      <c r="A137" t="s">
        <v>28</v>
      </c>
      <c r="B137" t="s">
        <v>32</v>
      </c>
      <c r="C137" s="1" t="str">
        <f>HYPERLINK("https://new.land.naver.com/complexes/154917", "클릭")</f>
        <v>클릭</v>
      </c>
      <c r="D137">
        <v>2023</v>
      </c>
      <c r="E137">
        <v>11</v>
      </c>
      <c r="F137">
        <v>2886</v>
      </c>
      <c r="G137">
        <v>59</v>
      </c>
      <c r="H137" t="s">
        <v>135</v>
      </c>
      <c r="I137" t="s">
        <v>137</v>
      </c>
      <c r="J137" t="s">
        <v>241</v>
      </c>
      <c r="K137">
        <v>90000</v>
      </c>
      <c r="L137" t="s">
        <v>241</v>
      </c>
      <c r="M137">
        <v>50000</v>
      </c>
      <c r="N137">
        <v>40000</v>
      </c>
      <c r="O137" s="2">
        <v>0.55555555555555558</v>
      </c>
      <c r="W137" t="s">
        <v>287</v>
      </c>
    </row>
    <row r="138" spans="1:23" x14ac:dyDescent="0.3">
      <c r="A138" t="s">
        <v>28</v>
      </c>
      <c r="B138" t="s">
        <v>213</v>
      </c>
      <c r="C138" s="1" t="str">
        <f>HYPERLINK("https://new.land.naver.com/complexes/111921", "클릭")</f>
        <v>클릭</v>
      </c>
      <c r="D138">
        <v>2018</v>
      </c>
      <c r="E138">
        <v>3</v>
      </c>
      <c r="F138">
        <v>200</v>
      </c>
      <c r="G138">
        <v>81</v>
      </c>
      <c r="H138" t="s">
        <v>135</v>
      </c>
      <c r="I138" t="s">
        <v>137</v>
      </c>
      <c r="J138" t="s">
        <v>184</v>
      </c>
      <c r="K138">
        <v>89000</v>
      </c>
      <c r="L138" t="s">
        <v>184</v>
      </c>
      <c r="M138">
        <v>50000</v>
      </c>
      <c r="N138">
        <v>39000</v>
      </c>
      <c r="O138" s="2">
        <v>0.5617977528089888</v>
      </c>
      <c r="R138">
        <v>53500</v>
      </c>
      <c r="S138" s="2">
        <v>1.6635514018691591</v>
      </c>
      <c r="W138" t="s">
        <v>198</v>
      </c>
    </row>
    <row r="139" spans="1:23" x14ac:dyDescent="0.3">
      <c r="A139" t="s">
        <v>31</v>
      </c>
      <c r="B139" t="s">
        <v>74</v>
      </c>
      <c r="C139" s="1" t="str">
        <f>HYPERLINK("https://new.land.naver.com/complexes/25725", "클릭")</f>
        <v>클릭</v>
      </c>
      <c r="D139">
        <v>2009</v>
      </c>
      <c r="E139">
        <v>11</v>
      </c>
      <c r="F139">
        <v>774</v>
      </c>
      <c r="G139">
        <v>111</v>
      </c>
      <c r="H139" t="s">
        <v>135</v>
      </c>
      <c r="I139" t="s">
        <v>139</v>
      </c>
      <c r="J139" t="s">
        <v>574</v>
      </c>
      <c r="K139">
        <v>89000</v>
      </c>
      <c r="L139" t="s">
        <v>574</v>
      </c>
      <c r="M139">
        <v>50000</v>
      </c>
      <c r="N139">
        <v>39000</v>
      </c>
      <c r="O139" s="2">
        <v>0.5617977528089888</v>
      </c>
      <c r="R139">
        <v>57500</v>
      </c>
      <c r="S139" s="2">
        <v>1.5478260869565219</v>
      </c>
      <c r="W139" t="s">
        <v>198</v>
      </c>
    </row>
    <row r="140" spans="1:23" x14ac:dyDescent="0.3">
      <c r="A140" t="s">
        <v>31</v>
      </c>
      <c r="B140" t="s">
        <v>53</v>
      </c>
      <c r="C140" s="1" t="str">
        <f>HYPERLINK("https://new.land.naver.com/complexes/1467", "클릭")</f>
        <v>클릭</v>
      </c>
      <c r="D140">
        <v>1992</v>
      </c>
      <c r="E140">
        <v>5</v>
      </c>
      <c r="F140">
        <v>620</v>
      </c>
      <c r="G140">
        <v>84</v>
      </c>
      <c r="H140" t="s">
        <v>135</v>
      </c>
      <c r="I140" t="s">
        <v>137</v>
      </c>
      <c r="J140" t="s">
        <v>147</v>
      </c>
      <c r="K140">
        <v>88000</v>
      </c>
      <c r="L140" t="s">
        <v>147</v>
      </c>
      <c r="M140">
        <v>43000</v>
      </c>
      <c r="N140">
        <v>45000</v>
      </c>
      <c r="O140" s="2">
        <v>0.48863636363636359</v>
      </c>
      <c r="P140">
        <v>113000</v>
      </c>
      <c r="Q140" s="2">
        <v>-0.22123893805309741</v>
      </c>
      <c r="R140">
        <v>57700</v>
      </c>
      <c r="S140" s="2">
        <v>1.525129982668977</v>
      </c>
      <c r="W140" t="s">
        <v>198</v>
      </c>
    </row>
    <row r="141" spans="1:23" x14ac:dyDescent="0.3">
      <c r="A141" t="s">
        <v>31</v>
      </c>
      <c r="B141" t="s">
        <v>51</v>
      </c>
      <c r="C141" s="1" t="str">
        <f>HYPERLINK("https://new.land.naver.com/complexes/13922", "클릭")</f>
        <v>클릭</v>
      </c>
      <c r="D141">
        <v>1981</v>
      </c>
      <c r="E141">
        <v>9</v>
      </c>
      <c r="F141">
        <v>912</v>
      </c>
      <c r="G141">
        <v>75</v>
      </c>
      <c r="H141" t="s">
        <v>136</v>
      </c>
      <c r="I141" t="s">
        <v>137</v>
      </c>
      <c r="J141" t="s">
        <v>347</v>
      </c>
      <c r="K141">
        <v>88000</v>
      </c>
      <c r="R141">
        <v>42700</v>
      </c>
      <c r="S141" s="2">
        <v>2.0608899297423888</v>
      </c>
      <c r="W141" t="s">
        <v>388</v>
      </c>
    </row>
    <row r="142" spans="1:23" x14ac:dyDescent="0.3">
      <c r="A142" t="s">
        <v>31</v>
      </c>
      <c r="B142" t="s">
        <v>53</v>
      </c>
      <c r="C142" s="1" t="str">
        <f>HYPERLINK("https://new.land.naver.com/complexes/1467", "클릭")</f>
        <v>클릭</v>
      </c>
      <c r="D142">
        <v>1992</v>
      </c>
      <c r="E142">
        <v>5</v>
      </c>
      <c r="F142">
        <v>620</v>
      </c>
      <c r="G142">
        <v>76</v>
      </c>
      <c r="H142" t="s">
        <v>135</v>
      </c>
      <c r="I142" t="s">
        <v>138</v>
      </c>
      <c r="J142" t="s">
        <v>348</v>
      </c>
      <c r="K142">
        <v>87000</v>
      </c>
      <c r="L142" t="s">
        <v>348</v>
      </c>
      <c r="M142">
        <v>42000</v>
      </c>
      <c r="N142">
        <v>45000</v>
      </c>
      <c r="O142" s="2">
        <v>0.48275862068965519</v>
      </c>
      <c r="R142">
        <v>51200</v>
      </c>
      <c r="S142" s="2">
        <v>1.69921875</v>
      </c>
      <c r="W142" t="s">
        <v>198</v>
      </c>
    </row>
    <row r="143" spans="1:23" x14ac:dyDescent="0.3">
      <c r="A143" t="s">
        <v>30</v>
      </c>
      <c r="B143" t="s">
        <v>292</v>
      </c>
      <c r="C143" s="1" t="str">
        <f>HYPERLINK("https://new.land.naver.com/complexes/8626", "클릭")</f>
        <v>클릭</v>
      </c>
      <c r="D143">
        <v>2002</v>
      </c>
      <c r="E143">
        <v>6</v>
      </c>
      <c r="F143">
        <v>967</v>
      </c>
      <c r="G143">
        <v>56</v>
      </c>
      <c r="H143" t="s">
        <v>135</v>
      </c>
      <c r="I143" t="s">
        <v>138</v>
      </c>
      <c r="J143" t="s">
        <v>263</v>
      </c>
      <c r="K143">
        <v>87000</v>
      </c>
      <c r="L143" t="s">
        <v>263</v>
      </c>
      <c r="M143">
        <v>60000</v>
      </c>
      <c r="N143">
        <v>27000</v>
      </c>
      <c r="O143" s="2">
        <v>0.68965517241379315</v>
      </c>
      <c r="R143">
        <v>51700</v>
      </c>
      <c r="S143" s="2">
        <v>1.682785299806576</v>
      </c>
      <c r="W143" t="s">
        <v>198</v>
      </c>
    </row>
    <row r="144" spans="1:23" x14ac:dyDescent="0.3">
      <c r="A144" t="s">
        <v>31</v>
      </c>
      <c r="B144" t="s">
        <v>81</v>
      </c>
      <c r="C144" s="1" t="str">
        <f>HYPERLINK("https://new.land.naver.com/complexes/3079", "클릭")</f>
        <v>클릭</v>
      </c>
      <c r="D144">
        <v>2003</v>
      </c>
      <c r="E144">
        <v>12</v>
      </c>
      <c r="F144">
        <v>3806</v>
      </c>
      <c r="G144">
        <v>132</v>
      </c>
      <c r="H144" t="s">
        <v>135</v>
      </c>
      <c r="I144" t="s">
        <v>139</v>
      </c>
      <c r="J144" t="s">
        <v>618</v>
      </c>
      <c r="K144">
        <v>87000</v>
      </c>
      <c r="L144" t="s">
        <v>618</v>
      </c>
      <c r="M144">
        <v>60000</v>
      </c>
      <c r="N144">
        <v>27000</v>
      </c>
      <c r="O144" s="2">
        <v>0.68965517241379315</v>
      </c>
      <c r="R144">
        <v>54000</v>
      </c>
      <c r="S144" s="2">
        <v>1.6111111111111109</v>
      </c>
      <c r="W144" t="s">
        <v>198</v>
      </c>
    </row>
    <row r="145" spans="1:23" x14ac:dyDescent="0.3">
      <c r="A145" t="s">
        <v>31</v>
      </c>
      <c r="B145" t="s">
        <v>45</v>
      </c>
      <c r="C145" s="1" t="str">
        <f>HYPERLINK("https://new.land.naver.com/complexes/124780", "클릭")</f>
        <v>클릭</v>
      </c>
      <c r="D145">
        <v>2021</v>
      </c>
      <c r="E145">
        <v>12</v>
      </c>
      <c r="F145">
        <v>2737</v>
      </c>
      <c r="G145">
        <v>75</v>
      </c>
      <c r="H145" t="s">
        <v>135</v>
      </c>
      <c r="I145" t="s">
        <v>137</v>
      </c>
      <c r="J145" t="s">
        <v>349</v>
      </c>
      <c r="K145">
        <v>87000</v>
      </c>
      <c r="L145" t="s">
        <v>349</v>
      </c>
      <c r="M145">
        <v>55000</v>
      </c>
      <c r="N145">
        <v>32000</v>
      </c>
      <c r="O145" s="2">
        <v>0.63218390804597702</v>
      </c>
      <c r="R145">
        <v>48700</v>
      </c>
      <c r="S145" s="2">
        <v>1.786447638603696</v>
      </c>
      <c r="W145" t="s">
        <v>198</v>
      </c>
    </row>
    <row r="146" spans="1:23" x14ac:dyDescent="0.3">
      <c r="A146" t="s">
        <v>31</v>
      </c>
      <c r="B146" t="s">
        <v>51</v>
      </c>
      <c r="C146" s="1" t="str">
        <f>HYPERLINK("https://new.land.naver.com/complexes/13922", "클릭")</f>
        <v>클릭</v>
      </c>
      <c r="D146">
        <v>1981</v>
      </c>
      <c r="E146">
        <v>9</v>
      </c>
      <c r="F146">
        <v>912</v>
      </c>
      <c r="G146">
        <v>65</v>
      </c>
      <c r="H146" t="s">
        <v>136</v>
      </c>
      <c r="I146" t="s">
        <v>138</v>
      </c>
      <c r="J146" t="s">
        <v>350</v>
      </c>
      <c r="K146">
        <v>86000</v>
      </c>
      <c r="R146">
        <v>45300</v>
      </c>
      <c r="S146" s="2">
        <v>1.898454746136865</v>
      </c>
      <c r="W146" t="s">
        <v>205</v>
      </c>
    </row>
    <row r="147" spans="1:23" x14ac:dyDescent="0.3">
      <c r="A147" t="s">
        <v>31</v>
      </c>
      <c r="B147" t="s">
        <v>44</v>
      </c>
      <c r="C147" s="1" t="str">
        <f>HYPERLINK("https://new.land.naver.com/complexes/13924", "클릭")</f>
        <v>클릭</v>
      </c>
      <c r="D147">
        <v>1985</v>
      </c>
      <c r="E147">
        <v>8</v>
      </c>
      <c r="F147">
        <v>474</v>
      </c>
      <c r="G147">
        <v>66</v>
      </c>
      <c r="H147" t="s">
        <v>136</v>
      </c>
      <c r="I147" t="s">
        <v>235</v>
      </c>
      <c r="J147" t="s">
        <v>267</v>
      </c>
      <c r="K147">
        <v>86000</v>
      </c>
      <c r="R147">
        <v>48800</v>
      </c>
      <c r="S147" s="2">
        <v>1.762295081967213</v>
      </c>
      <c r="W147" t="s">
        <v>199</v>
      </c>
    </row>
    <row r="148" spans="1:23" x14ac:dyDescent="0.3">
      <c r="A148" t="s">
        <v>31</v>
      </c>
      <c r="B148" t="s">
        <v>51</v>
      </c>
      <c r="C148" s="1" t="str">
        <f>HYPERLINK("https://new.land.naver.com/complexes/13922", "클릭")</f>
        <v>클릭</v>
      </c>
      <c r="D148">
        <v>1981</v>
      </c>
      <c r="E148">
        <v>9</v>
      </c>
      <c r="F148">
        <v>912</v>
      </c>
      <c r="G148">
        <v>58</v>
      </c>
      <c r="H148" t="s">
        <v>136</v>
      </c>
      <c r="I148" t="s">
        <v>235</v>
      </c>
      <c r="J148" t="s">
        <v>242</v>
      </c>
      <c r="K148">
        <v>85650</v>
      </c>
      <c r="P148">
        <v>96000</v>
      </c>
      <c r="Q148" s="2">
        <v>-0.10781250000000001</v>
      </c>
      <c r="R148">
        <v>34900</v>
      </c>
      <c r="S148" s="2">
        <v>2.4541547277936959</v>
      </c>
      <c r="W148" t="s">
        <v>288</v>
      </c>
    </row>
    <row r="149" spans="1:23" x14ac:dyDescent="0.3">
      <c r="A149" t="s">
        <v>31</v>
      </c>
      <c r="B149" t="s">
        <v>51</v>
      </c>
      <c r="C149" s="1" t="str">
        <f>HYPERLINK("https://new.land.naver.com/complexes/13922", "클릭")</f>
        <v>클릭</v>
      </c>
      <c r="D149">
        <v>1981</v>
      </c>
      <c r="E149">
        <v>9</v>
      </c>
      <c r="F149">
        <v>912</v>
      </c>
      <c r="G149">
        <v>72</v>
      </c>
      <c r="H149" t="s">
        <v>136</v>
      </c>
      <c r="I149" t="s">
        <v>137</v>
      </c>
      <c r="J149" t="s">
        <v>351</v>
      </c>
      <c r="K149">
        <v>85300</v>
      </c>
      <c r="R149">
        <v>40200</v>
      </c>
      <c r="S149" s="2">
        <v>2.121890547263682</v>
      </c>
      <c r="W149" t="s">
        <v>287</v>
      </c>
    </row>
    <row r="150" spans="1:23" x14ac:dyDescent="0.3">
      <c r="A150" t="s">
        <v>30</v>
      </c>
      <c r="B150" t="s">
        <v>54</v>
      </c>
      <c r="C150" s="1" t="str">
        <f>HYPERLINK("https://new.land.naver.com/complexes/1479", "클릭")</f>
        <v>클릭</v>
      </c>
      <c r="D150">
        <v>1992</v>
      </c>
      <c r="E150">
        <v>8</v>
      </c>
      <c r="F150">
        <v>368</v>
      </c>
      <c r="G150">
        <v>84</v>
      </c>
      <c r="H150" t="s">
        <v>135</v>
      </c>
      <c r="I150" t="s">
        <v>137</v>
      </c>
      <c r="J150" t="s">
        <v>157</v>
      </c>
      <c r="K150">
        <v>85000</v>
      </c>
      <c r="L150" t="s">
        <v>157</v>
      </c>
      <c r="M150">
        <v>51000</v>
      </c>
      <c r="N150">
        <v>34000</v>
      </c>
      <c r="O150" s="2">
        <v>0.6</v>
      </c>
      <c r="P150">
        <v>98000</v>
      </c>
      <c r="Q150" s="2">
        <v>-0.1326530612244898</v>
      </c>
      <c r="R150">
        <v>52600</v>
      </c>
      <c r="S150" s="2">
        <v>1.6159695817490489</v>
      </c>
      <c r="W150" t="s">
        <v>198</v>
      </c>
    </row>
    <row r="151" spans="1:23" x14ac:dyDescent="0.3">
      <c r="A151" t="s">
        <v>31</v>
      </c>
      <c r="B151" t="s">
        <v>301</v>
      </c>
      <c r="C151" s="1" t="str">
        <f>HYPERLINK("https://new.land.naver.com/complexes/3078", "클릭")</f>
        <v>클릭</v>
      </c>
      <c r="D151">
        <v>2003</v>
      </c>
      <c r="E151">
        <v>9</v>
      </c>
      <c r="F151">
        <v>955</v>
      </c>
      <c r="G151">
        <v>108</v>
      </c>
      <c r="H151" t="s">
        <v>135</v>
      </c>
      <c r="I151" t="s">
        <v>139</v>
      </c>
      <c r="J151" t="s">
        <v>600</v>
      </c>
      <c r="K151">
        <v>85000</v>
      </c>
      <c r="L151" t="s">
        <v>600</v>
      </c>
      <c r="M151">
        <v>50000</v>
      </c>
      <c r="N151">
        <v>35000</v>
      </c>
      <c r="O151" s="2">
        <v>0.58823529411764708</v>
      </c>
      <c r="R151">
        <v>49600</v>
      </c>
      <c r="S151" s="2">
        <v>1.713709677419355</v>
      </c>
      <c r="W151" t="s">
        <v>198</v>
      </c>
    </row>
    <row r="152" spans="1:23" x14ac:dyDescent="0.3">
      <c r="A152" t="s">
        <v>28</v>
      </c>
      <c r="B152" t="s">
        <v>302</v>
      </c>
      <c r="C152" s="1" t="str">
        <f>HYPERLINK("https://new.land.naver.com/complexes/3083", "클릭")</f>
        <v>클릭</v>
      </c>
      <c r="D152">
        <v>2003</v>
      </c>
      <c r="E152">
        <v>4</v>
      </c>
      <c r="F152">
        <v>426</v>
      </c>
      <c r="G152">
        <v>107</v>
      </c>
      <c r="H152" t="s">
        <v>135</v>
      </c>
      <c r="I152" t="s">
        <v>139</v>
      </c>
      <c r="J152" t="s">
        <v>619</v>
      </c>
      <c r="K152">
        <v>85000</v>
      </c>
      <c r="L152" t="s">
        <v>619</v>
      </c>
      <c r="M152">
        <v>53000</v>
      </c>
      <c r="N152">
        <v>32000</v>
      </c>
      <c r="O152" s="2">
        <v>0.62352941176470589</v>
      </c>
      <c r="W152" t="s">
        <v>198</v>
      </c>
    </row>
    <row r="153" spans="1:23" x14ac:dyDescent="0.3">
      <c r="A153" t="s">
        <v>31</v>
      </c>
      <c r="B153" t="s">
        <v>55</v>
      </c>
      <c r="C153" s="1" t="str">
        <f>HYPERLINK("https://new.land.naver.com/complexes/3075", "클릭")</f>
        <v>클릭</v>
      </c>
      <c r="D153">
        <v>1992</v>
      </c>
      <c r="E153">
        <v>6</v>
      </c>
      <c r="F153">
        <v>502</v>
      </c>
      <c r="G153">
        <v>84</v>
      </c>
      <c r="H153" t="s">
        <v>135</v>
      </c>
      <c r="I153" t="s">
        <v>137</v>
      </c>
      <c r="J153" t="s">
        <v>158</v>
      </c>
      <c r="K153">
        <v>85000</v>
      </c>
      <c r="L153" t="s">
        <v>158</v>
      </c>
      <c r="M153">
        <v>46000</v>
      </c>
      <c r="N153">
        <v>39000</v>
      </c>
      <c r="O153" s="2">
        <v>0.54117647058823526</v>
      </c>
      <c r="P153">
        <v>105000</v>
      </c>
      <c r="Q153" s="2">
        <v>-0.19047619047619049</v>
      </c>
      <c r="R153">
        <v>48500</v>
      </c>
      <c r="S153" s="2">
        <v>1.7525773195876291</v>
      </c>
      <c r="W153" t="s">
        <v>198</v>
      </c>
    </row>
    <row r="154" spans="1:23" x14ac:dyDescent="0.3">
      <c r="A154" t="s">
        <v>31</v>
      </c>
      <c r="B154" t="s">
        <v>51</v>
      </c>
      <c r="C154" s="1" t="str">
        <f>HYPERLINK("https://new.land.naver.com/complexes/13922", "클릭")</f>
        <v>클릭</v>
      </c>
      <c r="D154">
        <v>1981</v>
      </c>
      <c r="E154">
        <v>9</v>
      </c>
      <c r="F154">
        <v>912</v>
      </c>
      <c r="G154">
        <v>62</v>
      </c>
      <c r="H154" t="s">
        <v>136</v>
      </c>
      <c r="I154" t="s">
        <v>235</v>
      </c>
      <c r="J154" t="s">
        <v>352</v>
      </c>
      <c r="K154">
        <v>85000</v>
      </c>
      <c r="R154">
        <v>32100</v>
      </c>
      <c r="S154" s="2">
        <v>2.64797507788162</v>
      </c>
      <c r="W154" t="s">
        <v>205</v>
      </c>
    </row>
    <row r="155" spans="1:23" x14ac:dyDescent="0.3">
      <c r="A155" t="s">
        <v>28</v>
      </c>
      <c r="B155" t="s">
        <v>334</v>
      </c>
      <c r="C155" s="1" t="str">
        <f>HYPERLINK("https://new.land.naver.com/complexes/1441", "클릭")</f>
        <v>클릭</v>
      </c>
      <c r="D155">
        <v>1993</v>
      </c>
      <c r="E155">
        <v>11</v>
      </c>
      <c r="F155">
        <v>1072</v>
      </c>
      <c r="G155">
        <v>91</v>
      </c>
      <c r="H155" t="s">
        <v>135</v>
      </c>
      <c r="I155" t="s">
        <v>137</v>
      </c>
      <c r="J155" t="s">
        <v>194</v>
      </c>
      <c r="K155">
        <v>85000</v>
      </c>
      <c r="L155" t="s">
        <v>194</v>
      </c>
      <c r="M155">
        <v>42000</v>
      </c>
      <c r="N155">
        <v>43000</v>
      </c>
      <c r="O155" s="2">
        <v>0.49411764705882361</v>
      </c>
      <c r="R155">
        <v>41900</v>
      </c>
      <c r="S155" s="2">
        <v>2.028639618138425</v>
      </c>
      <c r="W155" t="s">
        <v>198</v>
      </c>
    </row>
    <row r="156" spans="1:23" x14ac:dyDescent="0.3">
      <c r="A156" t="s">
        <v>30</v>
      </c>
      <c r="B156" t="s">
        <v>56</v>
      </c>
      <c r="C156" s="1" t="str">
        <f>HYPERLINK("https://new.land.naver.com/complexes/1477", "클릭")</f>
        <v>클릭</v>
      </c>
      <c r="D156">
        <v>1993</v>
      </c>
      <c r="E156">
        <v>7</v>
      </c>
      <c r="F156">
        <v>752</v>
      </c>
      <c r="G156">
        <v>84</v>
      </c>
      <c r="H156" t="s">
        <v>135</v>
      </c>
      <c r="I156" t="s">
        <v>137</v>
      </c>
      <c r="J156" t="s">
        <v>150</v>
      </c>
      <c r="K156">
        <v>85000</v>
      </c>
      <c r="L156" t="s">
        <v>148</v>
      </c>
      <c r="M156">
        <v>50000</v>
      </c>
      <c r="N156">
        <v>35000</v>
      </c>
      <c r="O156" s="2">
        <v>0.58823529411764708</v>
      </c>
      <c r="P156">
        <v>102000</v>
      </c>
      <c r="Q156" s="2">
        <v>-0.16666666666666671</v>
      </c>
      <c r="R156">
        <v>49200</v>
      </c>
      <c r="S156" s="2">
        <v>1.7276422764227639</v>
      </c>
      <c r="W156" t="s">
        <v>198</v>
      </c>
    </row>
    <row r="157" spans="1:23" x14ac:dyDescent="0.3">
      <c r="A157" t="s">
        <v>28</v>
      </c>
      <c r="B157" t="s">
        <v>34</v>
      </c>
      <c r="C157" s="1" t="str">
        <f>HYPERLINK("https://new.land.naver.com/complexes/142558", "클릭")</f>
        <v>클릭</v>
      </c>
      <c r="D157">
        <v>2024</v>
      </c>
      <c r="E157">
        <v>8</v>
      </c>
      <c r="F157">
        <v>2417</v>
      </c>
      <c r="G157">
        <v>59</v>
      </c>
      <c r="H157" t="s">
        <v>135</v>
      </c>
      <c r="I157" t="s">
        <v>137</v>
      </c>
      <c r="J157" t="s">
        <v>243</v>
      </c>
      <c r="K157">
        <v>85000</v>
      </c>
      <c r="L157" t="s">
        <v>243</v>
      </c>
      <c r="M157">
        <v>48000</v>
      </c>
      <c r="N157">
        <v>37000</v>
      </c>
      <c r="O157" s="2">
        <v>0.56470588235294117</v>
      </c>
      <c r="W157" t="s">
        <v>198</v>
      </c>
    </row>
    <row r="158" spans="1:23" x14ac:dyDescent="0.3">
      <c r="A158" t="s">
        <v>31</v>
      </c>
      <c r="B158" t="s">
        <v>67</v>
      </c>
      <c r="C158" s="1" t="str">
        <f>HYPERLINK("https://new.land.naver.com/complexes/26320", "클릭")</f>
        <v>클릭</v>
      </c>
      <c r="D158">
        <v>2008</v>
      </c>
      <c r="E158">
        <v>10</v>
      </c>
      <c r="F158">
        <v>486</v>
      </c>
      <c r="G158">
        <v>63</v>
      </c>
      <c r="H158" t="s">
        <v>135</v>
      </c>
      <c r="I158" t="s">
        <v>137</v>
      </c>
      <c r="J158" t="s">
        <v>271</v>
      </c>
      <c r="K158">
        <v>85000</v>
      </c>
      <c r="L158" t="s">
        <v>271</v>
      </c>
      <c r="M158">
        <v>45000</v>
      </c>
      <c r="N158">
        <v>40000</v>
      </c>
      <c r="O158" s="2">
        <v>0.52941176470588236</v>
      </c>
      <c r="R158">
        <v>40800</v>
      </c>
      <c r="S158" s="2">
        <v>2.083333333333333</v>
      </c>
      <c r="W158" t="s">
        <v>198</v>
      </c>
    </row>
    <row r="159" spans="1:23" x14ac:dyDescent="0.3">
      <c r="A159" t="s">
        <v>31</v>
      </c>
      <c r="B159" t="s">
        <v>57</v>
      </c>
      <c r="C159" s="1" t="str">
        <f>HYPERLINK("https://new.land.naver.com/complexes/1454", "클릭")</f>
        <v>클릭</v>
      </c>
      <c r="D159">
        <v>1993</v>
      </c>
      <c r="E159">
        <v>4</v>
      </c>
      <c r="F159">
        <v>1482</v>
      </c>
      <c r="G159">
        <v>84</v>
      </c>
      <c r="H159" t="s">
        <v>135</v>
      </c>
      <c r="I159" t="s">
        <v>137</v>
      </c>
      <c r="J159" t="s">
        <v>150</v>
      </c>
      <c r="K159">
        <v>83000</v>
      </c>
      <c r="L159" t="s">
        <v>150</v>
      </c>
      <c r="M159">
        <v>40000</v>
      </c>
      <c r="N159">
        <v>43000</v>
      </c>
      <c r="O159" s="2">
        <v>0.48192771084337349</v>
      </c>
      <c r="P159">
        <v>110000</v>
      </c>
      <c r="Q159" s="2">
        <v>-0.24545454545454551</v>
      </c>
      <c r="R159">
        <v>49300</v>
      </c>
      <c r="S159" s="2">
        <v>1.683569979716024</v>
      </c>
      <c r="W159" t="s">
        <v>198</v>
      </c>
    </row>
    <row r="160" spans="1:23" x14ac:dyDescent="0.3">
      <c r="A160" t="s">
        <v>31</v>
      </c>
      <c r="B160" t="s">
        <v>38</v>
      </c>
      <c r="C160" s="1" t="str">
        <f>HYPERLINK("https://new.land.naver.com/complexes/126060", "클릭")</f>
        <v>클릭</v>
      </c>
      <c r="D160">
        <v>2022</v>
      </c>
      <c r="E160">
        <v>3</v>
      </c>
      <c r="F160">
        <v>1199</v>
      </c>
      <c r="G160">
        <v>59</v>
      </c>
      <c r="H160" t="s">
        <v>135</v>
      </c>
      <c r="I160" t="s">
        <v>137</v>
      </c>
      <c r="J160" t="s">
        <v>244</v>
      </c>
      <c r="K160">
        <v>83000</v>
      </c>
      <c r="L160" t="s">
        <v>244</v>
      </c>
      <c r="M160">
        <v>47000</v>
      </c>
      <c r="N160">
        <v>36000</v>
      </c>
      <c r="O160" s="2">
        <v>0.5662650602409639</v>
      </c>
      <c r="P160">
        <v>89458</v>
      </c>
      <c r="Q160" s="2">
        <v>-7.2190301594044132E-2</v>
      </c>
      <c r="R160">
        <v>48300</v>
      </c>
      <c r="S160" s="2">
        <v>1.7184265010351969</v>
      </c>
      <c r="W160" t="s">
        <v>198</v>
      </c>
    </row>
    <row r="161" spans="1:23" x14ac:dyDescent="0.3">
      <c r="A161" t="s">
        <v>31</v>
      </c>
      <c r="B161" t="s">
        <v>223</v>
      </c>
      <c r="C161" s="1" t="str">
        <f>HYPERLINK("https://new.land.naver.com/complexes/13571", "클릭")</f>
        <v>클릭</v>
      </c>
      <c r="D161">
        <v>2005</v>
      </c>
      <c r="E161">
        <v>11</v>
      </c>
      <c r="F161">
        <v>551</v>
      </c>
      <c r="G161">
        <v>114</v>
      </c>
      <c r="H161" t="s">
        <v>135</v>
      </c>
      <c r="I161" t="s">
        <v>139</v>
      </c>
      <c r="J161" t="s">
        <v>620</v>
      </c>
      <c r="K161">
        <v>83000</v>
      </c>
      <c r="L161" t="s">
        <v>620</v>
      </c>
      <c r="M161">
        <v>47000</v>
      </c>
      <c r="N161">
        <v>36000</v>
      </c>
      <c r="O161" s="2">
        <v>0.5662650602409639</v>
      </c>
      <c r="R161">
        <v>47700</v>
      </c>
      <c r="S161" s="2">
        <v>1.7400419287211739</v>
      </c>
      <c r="W161" t="s">
        <v>198</v>
      </c>
    </row>
    <row r="162" spans="1:23" x14ac:dyDescent="0.3">
      <c r="A162" t="s">
        <v>31</v>
      </c>
      <c r="B162" t="s">
        <v>58</v>
      </c>
      <c r="C162" s="1" t="str">
        <f>HYPERLINK("https://new.land.naver.com/complexes/1995", "클릭")</f>
        <v>클릭</v>
      </c>
      <c r="D162">
        <v>1985</v>
      </c>
      <c r="E162">
        <v>11</v>
      </c>
      <c r="F162">
        <v>540</v>
      </c>
      <c r="G162">
        <v>84</v>
      </c>
      <c r="H162" t="s">
        <v>135</v>
      </c>
      <c r="I162" t="s">
        <v>138</v>
      </c>
      <c r="J162" t="s">
        <v>159</v>
      </c>
      <c r="K162">
        <v>83000</v>
      </c>
      <c r="P162">
        <v>105000</v>
      </c>
      <c r="Q162" s="2">
        <v>-0.2095238095238095</v>
      </c>
      <c r="R162">
        <v>53900</v>
      </c>
      <c r="S162" s="2">
        <v>1.539888682745826</v>
      </c>
      <c r="W162" t="s">
        <v>198</v>
      </c>
    </row>
    <row r="163" spans="1:23" x14ac:dyDescent="0.3">
      <c r="A163" t="s">
        <v>30</v>
      </c>
      <c r="B163" t="s">
        <v>59</v>
      </c>
      <c r="C163" s="1" t="str">
        <f>HYPERLINK("https://new.land.naver.com/complexes/8205", "클릭")</f>
        <v>클릭</v>
      </c>
      <c r="D163">
        <v>2001</v>
      </c>
      <c r="E163">
        <v>4</v>
      </c>
      <c r="F163">
        <v>1996</v>
      </c>
      <c r="G163">
        <v>84</v>
      </c>
      <c r="H163" t="s">
        <v>135</v>
      </c>
      <c r="I163" t="s">
        <v>137</v>
      </c>
      <c r="J163" t="s">
        <v>160</v>
      </c>
      <c r="K163">
        <v>82000</v>
      </c>
      <c r="L163" t="s">
        <v>160</v>
      </c>
      <c r="M163">
        <v>43000</v>
      </c>
      <c r="N163">
        <v>39000</v>
      </c>
      <c r="O163" s="2">
        <v>0.52439024390243905</v>
      </c>
      <c r="P163">
        <v>124000</v>
      </c>
      <c r="Q163" s="2">
        <v>-0.33870967741935482</v>
      </c>
      <c r="R163">
        <v>49500</v>
      </c>
      <c r="S163" s="2">
        <v>1.656565656565657</v>
      </c>
      <c r="W163" t="s">
        <v>198</v>
      </c>
    </row>
    <row r="164" spans="1:23" x14ac:dyDescent="0.3">
      <c r="A164" t="s">
        <v>30</v>
      </c>
      <c r="B164" t="s">
        <v>60</v>
      </c>
      <c r="C164" s="1" t="str">
        <f>HYPERLINK("https://new.land.naver.com/complexes/1478", "클릭")</f>
        <v>클릭</v>
      </c>
      <c r="D164">
        <v>1993</v>
      </c>
      <c r="E164">
        <v>10</v>
      </c>
      <c r="F164">
        <v>656</v>
      </c>
      <c r="G164">
        <v>84</v>
      </c>
      <c r="H164" t="s">
        <v>135</v>
      </c>
      <c r="I164" t="s">
        <v>137</v>
      </c>
      <c r="J164" t="s">
        <v>147</v>
      </c>
      <c r="K164">
        <v>82000</v>
      </c>
      <c r="L164" t="s">
        <v>147</v>
      </c>
      <c r="M164">
        <v>45000</v>
      </c>
      <c r="N164">
        <v>37000</v>
      </c>
      <c r="O164" s="2">
        <v>0.54878048780487809</v>
      </c>
      <c r="P164">
        <v>103000</v>
      </c>
      <c r="Q164" s="2">
        <v>-0.20388349514563109</v>
      </c>
      <c r="R164">
        <v>54200</v>
      </c>
      <c r="S164" s="2">
        <v>1.512915129151291</v>
      </c>
      <c r="W164" t="s">
        <v>198</v>
      </c>
    </row>
    <row r="165" spans="1:23" x14ac:dyDescent="0.3">
      <c r="A165" t="s">
        <v>29</v>
      </c>
      <c r="B165" t="s">
        <v>61</v>
      </c>
      <c r="C165" s="1" t="str">
        <f>HYPERLINK("https://new.land.naver.com/complexes/1465", "클릭")</f>
        <v>클릭</v>
      </c>
      <c r="D165">
        <v>1995</v>
      </c>
      <c r="E165">
        <v>1</v>
      </c>
      <c r="F165">
        <v>708</v>
      </c>
      <c r="G165">
        <v>84</v>
      </c>
      <c r="H165" t="s">
        <v>135</v>
      </c>
      <c r="I165" t="s">
        <v>137</v>
      </c>
      <c r="J165" t="s">
        <v>147</v>
      </c>
      <c r="K165">
        <v>82000</v>
      </c>
      <c r="L165" t="s">
        <v>147</v>
      </c>
      <c r="M165">
        <v>38000</v>
      </c>
      <c r="N165">
        <v>44000</v>
      </c>
      <c r="O165" s="2">
        <v>0.46341463414634149</v>
      </c>
      <c r="P165">
        <v>92000</v>
      </c>
      <c r="Q165" s="2">
        <v>-0.108695652173913</v>
      </c>
      <c r="R165">
        <v>48700</v>
      </c>
      <c r="S165" s="2">
        <v>1.6837782340862419</v>
      </c>
      <c r="W165" t="s">
        <v>198</v>
      </c>
    </row>
    <row r="166" spans="1:23" x14ac:dyDescent="0.3">
      <c r="A166" t="s">
        <v>29</v>
      </c>
      <c r="B166" t="s">
        <v>62</v>
      </c>
      <c r="C166" s="1" t="str">
        <f>HYPERLINK("https://new.land.naver.com/complexes/3001", "클릭")</f>
        <v>클릭</v>
      </c>
      <c r="D166">
        <v>1995</v>
      </c>
      <c r="E166">
        <v>5</v>
      </c>
      <c r="F166">
        <v>952</v>
      </c>
      <c r="G166">
        <v>84</v>
      </c>
      <c r="H166" t="s">
        <v>135</v>
      </c>
      <c r="I166" t="s">
        <v>137</v>
      </c>
      <c r="J166" t="s">
        <v>155</v>
      </c>
      <c r="K166">
        <v>81000</v>
      </c>
      <c r="L166" t="s">
        <v>155</v>
      </c>
      <c r="M166">
        <v>40000</v>
      </c>
      <c r="N166">
        <v>41000</v>
      </c>
      <c r="O166" s="2">
        <v>0.49382716049382708</v>
      </c>
      <c r="P166">
        <v>84000</v>
      </c>
      <c r="Q166" s="2">
        <v>-3.5714285714285712E-2</v>
      </c>
      <c r="R166">
        <v>48600</v>
      </c>
      <c r="S166" s="2">
        <v>1.666666666666667</v>
      </c>
      <c r="W166" t="s">
        <v>198</v>
      </c>
    </row>
    <row r="167" spans="1:23" x14ac:dyDescent="0.3">
      <c r="A167" t="s">
        <v>30</v>
      </c>
      <c r="B167" t="s">
        <v>41</v>
      </c>
      <c r="C167" s="1" t="str">
        <f>HYPERLINK("https://new.land.naver.com/complexes/1482", "클릭")</f>
        <v>클릭</v>
      </c>
      <c r="D167">
        <v>1993</v>
      </c>
      <c r="E167">
        <v>4</v>
      </c>
      <c r="F167">
        <v>780</v>
      </c>
      <c r="G167">
        <v>59</v>
      </c>
      <c r="H167" t="s">
        <v>135</v>
      </c>
      <c r="I167" t="s">
        <v>138</v>
      </c>
      <c r="J167" t="s">
        <v>245</v>
      </c>
      <c r="K167">
        <v>81000</v>
      </c>
      <c r="L167" t="s">
        <v>245</v>
      </c>
      <c r="M167">
        <v>50000</v>
      </c>
      <c r="N167">
        <v>31000</v>
      </c>
      <c r="O167" s="2">
        <v>0.61728395061728392</v>
      </c>
      <c r="P167">
        <v>89000</v>
      </c>
      <c r="Q167" s="2">
        <v>-8.98876404494382E-2</v>
      </c>
      <c r="R167">
        <v>48800</v>
      </c>
      <c r="S167" s="2">
        <v>1.6598360655737709</v>
      </c>
      <c r="W167" t="s">
        <v>198</v>
      </c>
    </row>
    <row r="168" spans="1:23" x14ac:dyDescent="0.3">
      <c r="A168" t="s">
        <v>29</v>
      </c>
      <c r="B168" t="s">
        <v>43</v>
      </c>
      <c r="C168" s="1" t="str">
        <f>HYPERLINK("https://new.land.naver.com/complexes/2505", "클릭")</f>
        <v>클릭</v>
      </c>
      <c r="D168">
        <v>1998</v>
      </c>
      <c r="E168">
        <v>12</v>
      </c>
      <c r="F168">
        <v>1314</v>
      </c>
      <c r="G168">
        <v>59</v>
      </c>
      <c r="H168" t="s">
        <v>135</v>
      </c>
      <c r="I168" t="s">
        <v>235</v>
      </c>
      <c r="J168" t="s">
        <v>246</v>
      </c>
      <c r="K168">
        <v>80000</v>
      </c>
      <c r="L168" t="s">
        <v>246</v>
      </c>
      <c r="M168">
        <v>40000</v>
      </c>
      <c r="N168">
        <v>40000</v>
      </c>
      <c r="O168" s="2">
        <v>0.5</v>
      </c>
      <c r="P168">
        <v>105000</v>
      </c>
      <c r="Q168" s="2">
        <v>-0.23809523809523811</v>
      </c>
      <c r="R168">
        <v>52600</v>
      </c>
      <c r="S168" s="2">
        <v>1.520912547528517</v>
      </c>
      <c r="W168" t="s">
        <v>198</v>
      </c>
    </row>
    <row r="169" spans="1:23" x14ac:dyDescent="0.3">
      <c r="A169" t="s">
        <v>30</v>
      </c>
      <c r="B169" t="s">
        <v>39</v>
      </c>
      <c r="C169" s="1" t="str">
        <f>HYPERLINK("https://new.land.naver.com/complexes/1481", "클릭")</f>
        <v>클릭</v>
      </c>
      <c r="D169">
        <v>1992</v>
      </c>
      <c r="E169">
        <v>11</v>
      </c>
      <c r="F169">
        <v>552</v>
      </c>
      <c r="G169">
        <v>59</v>
      </c>
      <c r="H169" t="s">
        <v>135</v>
      </c>
      <c r="I169" t="s">
        <v>138</v>
      </c>
      <c r="J169" t="s">
        <v>247</v>
      </c>
      <c r="K169">
        <v>80000</v>
      </c>
      <c r="L169" t="s">
        <v>247</v>
      </c>
      <c r="M169">
        <v>48000</v>
      </c>
      <c r="N169">
        <v>32000</v>
      </c>
      <c r="O169" s="2">
        <v>0.6</v>
      </c>
      <c r="P169">
        <v>93500</v>
      </c>
      <c r="Q169" s="2">
        <v>-0.14438502673796791</v>
      </c>
      <c r="R169">
        <v>47300</v>
      </c>
      <c r="S169" s="2">
        <v>1.691331923890063</v>
      </c>
      <c r="W169" t="s">
        <v>198</v>
      </c>
    </row>
    <row r="170" spans="1:23" x14ac:dyDescent="0.3">
      <c r="A170" t="s">
        <v>31</v>
      </c>
      <c r="B170" t="s">
        <v>294</v>
      </c>
      <c r="C170" s="1" t="str">
        <f>HYPERLINK("https://new.land.naver.com/complexes/23569", "클릭")</f>
        <v>클릭</v>
      </c>
      <c r="D170">
        <v>2002</v>
      </c>
      <c r="E170">
        <v>12</v>
      </c>
      <c r="F170">
        <v>19</v>
      </c>
      <c r="G170">
        <v>68</v>
      </c>
      <c r="J170" t="s">
        <v>150</v>
      </c>
      <c r="K170">
        <v>80000</v>
      </c>
      <c r="W170" t="s">
        <v>208</v>
      </c>
    </row>
    <row r="171" spans="1:23" x14ac:dyDescent="0.3">
      <c r="A171" t="s">
        <v>28</v>
      </c>
      <c r="B171" t="s">
        <v>86</v>
      </c>
      <c r="C171" s="1" t="str">
        <f>HYPERLINK("https://new.land.naver.com/complexes/2033", "클릭")</f>
        <v>클릭</v>
      </c>
      <c r="D171">
        <v>1992</v>
      </c>
      <c r="E171">
        <v>12</v>
      </c>
      <c r="F171">
        <v>794</v>
      </c>
      <c r="G171">
        <v>127</v>
      </c>
      <c r="H171" t="s">
        <v>135</v>
      </c>
      <c r="I171" t="s">
        <v>139</v>
      </c>
      <c r="J171" t="s">
        <v>601</v>
      </c>
      <c r="K171">
        <v>80000</v>
      </c>
      <c r="L171" t="s">
        <v>601</v>
      </c>
      <c r="M171">
        <v>40000</v>
      </c>
      <c r="N171">
        <v>40000</v>
      </c>
      <c r="O171" s="2">
        <v>0.5</v>
      </c>
      <c r="R171">
        <v>48200</v>
      </c>
      <c r="S171" s="2">
        <v>1.659751037344398</v>
      </c>
      <c r="W171" t="s">
        <v>198</v>
      </c>
    </row>
    <row r="172" spans="1:23" x14ac:dyDescent="0.3">
      <c r="A172" t="s">
        <v>29</v>
      </c>
      <c r="B172" t="s">
        <v>133</v>
      </c>
      <c r="C172" s="1" t="str">
        <f>HYPERLINK("https://new.land.naver.com/complexes/23137", "클릭")</f>
        <v>클릭</v>
      </c>
      <c r="D172">
        <v>2002</v>
      </c>
      <c r="E172">
        <v>5</v>
      </c>
      <c r="F172">
        <v>19</v>
      </c>
      <c r="G172">
        <v>82</v>
      </c>
      <c r="H172" t="s">
        <v>135</v>
      </c>
      <c r="I172" t="s">
        <v>137</v>
      </c>
      <c r="J172" t="s">
        <v>353</v>
      </c>
      <c r="K172">
        <v>80000</v>
      </c>
      <c r="L172" t="s">
        <v>353</v>
      </c>
      <c r="M172">
        <v>36000</v>
      </c>
      <c r="N172">
        <v>44000</v>
      </c>
      <c r="O172" s="2">
        <v>0.45</v>
      </c>
      <c r="R172">
        <v>32400</v>
      </c>
      <c r="S172" s="2">
        <v>2.4691358024691361</v>
      </c>
      <c r="W172" t="s">
        <v>389</v>
      </c>
    </row>
    <row r="173" spans="1:23" x14ac:dyDescent="0.3">
      <c r="A173" t="s">
        <v>31</v>
      </c>
      <c r="B173" t="s">
        <v>81</v>
      </c>
      <c r="C173" s="1" t="str">
        <f>HYPERLINK("https://new.land.naver.com/complexes/3079", "클릭")</f>
        <v>클릭</v>
      </c>
      <c r="D173">
        <v>2003</v>
      </c>
      <c r="E173">
        <v>12</v>
      </c>
      <c r="F173">
        <v>3806</v>
      </c>
      <c r="G173">
        <v>114</v>
      </c>
      <c r="H173" t="s">
        <v>135</v>
      </c>
      <c r="I173" t="s">
        <v>139</v>
      </c>
      <c r="J173" t="s">
        <v>603</v>
      </c>
      <c r="K173">
        <v>80000</v>
      </c>
      <c r="L173" t="s">
        <v>603</v>
      </c>
      <c r="M173">
        <v>46000</v>
      </c>
      <c r="N173">
        <v>34000</v>
      </c>
      <c r="O173" s="2">
        <v>0.57499999999999996</v>
      </c>
      <c r="R173">
        <v>51900</v>
      </c>
      <c r="S173" s="2">
        <v>1.5414258188824661</v>
      </c>
      <c r="W173" t="s">
        <v>198</v>
      </c>
    </row>
    <row r="174" spans="1:23" x14ac:dyDescent="0.3">
      <c r="A174" t="s">
        <v>28</v>
      </c>
      <c r="B174" t="s">
        <v>70</v>
      </c>
      <c r="C174" s="1" t="str">
        <f>HYPERLINK("https://new.land.naver.com/complexes/107639", "클릭")</f>
        <v>클릭</v>
      </c>
      <c r="D174">
        <v>2015</v>
      </c>
      <c r="E174">
        <v>8</v>
      </c>
      <c r="F174">
        <v>410</v>
      </c>
      <c r="G174">
        <v>79</v>
      </c>
      <c r="H174" t="s">
        <v>135</v>
      </c>
      <c r="I174" t="s">
        <v>137</v>
      </c>
      <c r="J174" t="s">
        <v>171</v>
      </c>
      <c r="K174">
        <v>80000</v>
      </c>
      <c r="R174">
        <v>41100</v>
      </c>
      <c r="S174" s="2">
        <v>1.94647201946472</v>
      </c>
      <c r="W174" t="s">
        <v>198</v>
      </c>
    </row>
    <row r="175" spans="1:23" x14ac:dyDescent="0.3">
      <c r="A175" t="s">
        <v>29</v>
      </c>
      <c r="B175" t="s">
        <v>63</v>
      </c>
      <c r="C175" s="1" t="str">
        <f>HYPERLINK("https://new.land.naver.com/complexes/1461", "클릭")</f>
        <v>클릭</v>
      </c>
      <c r="D175">
        <v>1992</v>
      </c>
      <c r="E175">
        <v>11</v>
      </c>
      <c r="F175">
        <v>436</v>
      </c>
      <c r="G175">
        <v>84</v>
      </c>
      <c r="H175" t="s">
        <v>135</v>
      </c>
      <c r="I175" t="s">
        <v>137</v>
      </c>
      <c r="J175" t="s">
        <v>155</v>
      </c>
      <c r="K175">
        <v>79900</v>
      </c>
      <c r="L175" t="s">
        <v>155</v>
      </c>
      <c r="M175">
        <v>40000</v>
      </c>
      <c r="N175">
        <v>39900</v>
      </c>
      <c r="O175" s="2">
        <v>0.50062578222778475</v>
      </c>
      <c r="P175">
        <v>86000</v>
      </c>
      <c r="Q175" s="2">
        <v>-7.093023255813953E-2</v>
      </c>
      <c r="R175">
        <v>48600</v>
      </c>
      <c r="S175" s="2">
        <v>1.644032921810699</v>
      </c>
      <c r="W175" t="s">
        <v>198</v>
      </c>
    </row>
    <row r="176" spans="1:23" x14ac:dyDescent="0.3">
      <c r="A176" t="s">
        <v>31</v>
      </c>
      <c r="B176" t="s">
        <v>51</v>
      </c>
      <c r="C176" s="1" t="str">
        <f>HYPERLINK("https://new.land.naver.com/complexes/13922", "클릭")</f>
        <v>클릭</v>
      </c>
      <c r="D176">
        <v>1981</v>
      </c>
      <c r="E176">
        <v>9</v>
      </c>
      <c r="F176">
        <v>912</v>
      </c>
      <c r="G176">
        <v>97</v>
      </c>
      <c r="H176" t="s">
        <v>136</v>
      </c>
      <c r="I176" t="s">
        <v>137</v>
      </c>
      <c r="J176" t="s">
        <v>197</v>
      </c>
      <c r="K176">
        <v>79000</v>
      </c>
      <c r="R176">
        <v>46600</v>
      </c>
      <c r="S176" s="2">
        <v>1.695278969957082</v>
      </c>
      <c r="W176" t="s">
        <v>198</v>
      </c>
    </row>
    <row r="177" spans="1:23" x14ac:dyDescent="0.3">
      <c r="A177" t="s">
        <v>31</v>
      </c>
      <c r="B177" t="s">
        <v>49</v>
      </c>
      <c r="C177" s="1" t="str">
        <f>HYPERLINK("https://new.land.naver.com/complexes/1468", "클릭")</f>
        <v>클릭</v>
      </c>
      <c r="D177">
        <v>1992</v>
      </c>
      <c r="E177">
        <v>11</v>
      </c>
      <c r="F177">
        <v>508</v>
      </c>
      <c r="G177">
        <v>59</v>
      </c>
      <c r="H177" t="s">
        <v>135</v>
      </c>
      <c r="I177" t="s">
        <v>138</v>
      </c>
      <c r="J177" t="s">
        <v>248</v>
      </c>
      <c r="K177">
        <v>78000</v>
      </c>
      <c r="L177" t="s">
        <v>248</v>
      </c>
      <c r="M177">
        <v>36000</v>
      </c>
      <c r="N177">
        <v>42000</v>
      </c>
      <c r="O177" s="2">
        <v>0.46153846153846162</v>
      </c>
      <c r="P177">
        <v>84500</v>
      </c>
      <c r="Q177" s="2">
        <v>-7.6923076923076927E-2</v>
      </c>
      <c r="R177">
        <v>42700</v>
      </c>
      <c r="S177" s="2">
        <v>1.826697892271663</v>
      </c>
      <c r="W177" t="s">
        <v>198</v>
      </c>
    </row>
    <row r="178" spans="1:23" x14ac:dyDescent="0.3">
      <c r="A178" t="s">
        <v>30</v>
      </c>
      <c r="B178" t="s">
        <v>64</v>
      </c>
      <c r="C178" s="1" t="str">
        <f>HYPERLINK("https://new.land.naver.com/complexes/8481", "클릭")</f>
        <v>클릭</v>
      </c>
      <c r="D178">
        <v>1993</v>
      </c>
      <c r="E178">
        <v>11</v>
      </c>
      <c r="F178">
        <v>870</v>
      </c>
      <c r="G178">
        <v>84</v>
      </c>
      <c r="H178" t="s">
        <v>135</v>
      </c>
      <c r="I178" t="s">
        <v>137</v>
      </c>
      <c r="J178" t="s">
        <v>148</v>
      </c>
      <c r="K178">
        <v>78000</v>
      </c>
      <c r="L178" t="s">
        <v>148</v>
      </c>
      <c r="M178">
        <v>42000</v>
      </c>
      <c r="N178">
        <v>36000</v>
      </c>
      <c r="O178" s="2">
        <v>0.53846153846153844</v>
      </c>
      <c r="P178">
        <v>95000</v>
      </c>
      <c r="Q178" s="2">
        <v>-0.1789473684210526</v>
      </c>
      <c r="R178">
        <v>46600</v>
      </c>
      <c r="S178" s="2">
        <v>1.67381974248927</v>
      </c>
      <c r="W178" t="s">
        <v>198</v>
      </c>
    </row>
    <row r="179" spans="1:23" x14ac:dyDescent="0.3">
      <c r="A179" t="s">
        <v>28</v>
      </c>
      <c r="B179" t="s">
        <v>46</v>
      </c>
      <c r="C179" s="1" t="str">
        <f>HYPERLINK("https://new.land.naver.com/complexes/122682", "클릭")</f>
        <v>클릭</v>
      </c>
      <c r="D179">
        <v>2021</v>
      </c>
      <c r="E179">
        <v>4</v>
      </c>
      <c r="F179">
        <v>3850</v>
      </c>
      <c r="G179">
        <v>59</v>
      </c>
      <c r="H179" t="s">
        <v>135</v>
      </c>
      <c r="I179" t="s">
        <v>137</v>
      </c>
      <c r="J179" t="s">
        <v>249</v>
      </c>
      <c r="K179">
        <v>78000</v>
      </c>
      <c r="L179" t="s">
        <v>249</v>
      </c>
      <c r="M179">
        <v>40000</v>
      </c>
      <c r="N179">
        <v>38000</v>
      </c>
      <c r="O179" s="2">
        <v>0.51282051282051277</v>
      </c>
      <c r="P179">
        <v>90000</v>
      </c>
      <c r="Q179" s="2">
        <v>-0.1333333333333333</v>
      </c>
      <c r="R179">
        <v>46900</v>
      </c>
      <c r="S179" s="2">
        <v>1.663113006396588</v>
      </c>
      <c r="W179" t="s">
        <v>198</v>
      </c>
    </row>
    <row r="180" spans="1:23" x14ac:dyDescent="0.3">
      <c r="A180" t="s">
        <v>28</v>
      </c>
      <c r="B180" t="s">
        <v>65</v>
      </c>
      <c r="C180" s="1" t="str">
        <f>HYPERLINK("https://new.land.naver.com/complexes/19492", "클릭")</f>
        <v>클릭</v>
      </c>
      <c r="D180">
        <v>1992</v>
      </c>
      <c r="E180">
        <v>12</v>
      </c>
      <c r="F180">
        <v>800</v>
      </c>
      <c r="G180">
        <v>84</v>
      </c>
      <c r="H180" t="s">
        <v>135</v>
      </c>
      <c r="I180" t="s">
        <v>137</v>
      </c>
      <c r="J180" t="s">
        <v>149</v>
      </c>
      <c r="K180">
        <v>78000</v>
      </c>
      <c r="L180" t="s">
        <v>158</v>
      </c>
      <c r="M180">
        <v>43000</v>
      </c>
      <c r="N180">
        <v>35000</v>
      </c>
      <c r="O180" s="2">
        <v>0.55128205128205132</v>
      </c>
      <c r="P180">
        <v>96500</v>
      </c>
      <c r="Q180" s="2">
        <v>-0.19170984455958551</v>
      </c>
      <c r="R180">
        <v>48800</v>
      </c>
      <c r="S180" s="2">
        <v>1.598360655737705</v>
      </c>
      <c r="W180" t="s">
        <v>198</v>
      </c>
    </row>
    <row r="181" spans="1:23" x14ac:dyDescent="0.3">
      <c r="A181" t="s">
        <v>30</v>
      </c>
      <c r="B181" t="s">
        <v>66</v>
      </c>
      <c r="C181" s="1" t="str">
        <f>HYPERLINK("https://new.land.naver.com/complexes/8194", "클릭")</f>
        <v>클릭</v>
      </c>
      <c r="D181">
        <v>2004</v>
      </c>
      <c r="E181">
        <v>11</v>
      </c>
      <c r="F181">
        <v>862</v>
      </c>
      <c r="G181">
        <v>84</v>
      </c>
      <c r="H181" t="s">
        <v>135</v>
      </c>
      <c r="I181" t="s">
        <v>137</v>
      </c>
      <c r="J181" t="s">
        <v>161</v>
      </c>
      <c r="K181">
        <v>78000</v>
      </c>
      <c r="L181" t="s">
        <v>161</v>
      </c>
      <c r="M181">
        <v>43000</v>
      </c>
      <c r="N181">
        <v>35000</v>
      </c>
      <c r="O181" s="2">
        <v>0.55128205128205132</v>
      </c>
      <c r="P181">
        <v>103000</v>
      </c>
      <c r="Q181" s="2">
        <v>-0.24271844660194181</v>
      </c>
      <c r="R181">
        <v>48500</v>
      </c>
      <c r="S181" s="2">
        <v>1.608247422680412</v>
      </c>
      <c r="W181" t="s">
        <v>198</v>
      </c>
    </row>
    <row r="182" spans="1:23" x14ac:dyDescent="0.3">
      <c r="A182" t="s">
        <v>31</v>
      </c>
      <c r="B182" t="s">
        <v>67</v>
      </c>
      <c r="C182" s="1" t="str">
        <f>HYPERLINK("https://new.land.naver.com/complexes/26320", "클릭")</f>
        <v>클릭</v>
      </c>
      <c r="D182">
        <v>2008</v>
      </c>
      <c r="E182">
        <v>10</v>
      </c>
      <c r="F182">
        <v>486</v>
      </c>
      <c r="G182">
        <v>84</v>
      </c>
      <c r="H182" t="s">
        <v>135</v>
      </c>
      <c r="I182" t="s">
        <v>137</v>
      </c>
      <c r="J182" t="s">
        <v>162</v>
      </c>
      <c r="K182">
        <v>78000</v>
      </c>
      <c r="L182" t="s">
        <v>193</v>
      </c>
      <c r="M182">
        <v>45000</v>
      </c>
      <c r="N182">
        <v>33000</v>
      </c>
      <c r="O182" s="2">
        <v>0.57692307692307687</v>
      </c>
      <c r="P182">
        <v>103700</v>
      </c>
      <c r="Q182" s="2">
        <v>-0.24783027965284471</v>
      </c>
      <c r="R182">
        <v>51700</v>
      </c>
      <c r="S182" s="2">
        <v>1.508704061895551</v>
      </c>
      <c r="W182" t="s">
        <v>198</v>
      </c>
    </row>
    <row r="183" spans="1:23" x14ac:dyDescent="0.3">
      <c r="A183" t="s">
        <v>28</v>
      </c>
      <c r="B183" t="s">
        <v>68</v>
      </c>
      <c r="C183" s="1" t="str">
        <f>HYPERLINK("https://new.land.naver.com/complexes/152005", "클릭")</f>
        <v>클릭</v>
      </c>
      <c r="D183">
        <v>2025</v>
      </c>
      <c r="E183">
        <v>6</v>
      </c>
      <c r="F183">
        <v>456</v>
      </c>
      <c r="G183">
        <v>84</v>
      </c>
      <c r="H183" t="s">
        <v>135</v>
      </c>
      <c r="I183" t="s">
        <v>139</v>
      </c>
      <c r="J183" t="s">
        <v>163</v>
      </c>
      <c r="K183">
        <v>78000</v>
      </c>
      <c r="W183" t="s">
        <v>198</v>
      </c>
    </row>
    <row r="184" spans="1:23" x14ac:dyDescent="0.3">
      <c r="A184" t="s">
        <v>30</v>
      </c>
      <c r="B184" t="s">
        <v>36</v>
      </c>
      <c r="C184" s="1" t="str">
        <f>HYPERLINK("https://new.land.naver.com/complexes/1480", "클릭")</f>
        <v>클릭</v>
      </c>
      <c r="D184">
        <v>1993</v>
      </c>
      <c r="E184">
        <v>3</v>
      </c>
      <c r="F184">
        <v>530</v>
      </c>
      <c r="G184">
        <v>59</v>
      </c>
      <c r="H184" t="s">
        <v>135</v>
      </c>
      <c r="I184" t="s">
        <v>235</v>
      </c>
      <c r="J184" t="s">
        <v>250</v>
      </c>
      <c r="K184">
        <v>77000</v>
      </c>
      <c r="L184" t="s">
        <v>250</v>
      </c>
      <c r="M184">
        <v>48000</v>
      </c>
      <c r="N184">
        <v>29000</v>
      </c>
      <c r="O184" s="2">
        <v>0.62337662337662336</v>
      </c>
      <c r="P184">
        <v>96000</v>
      </c>
      <c r="Q184" s="2">
        <v>-0.19791666666666671</v>
      </c>
      <c r="R184">
        <v>49600</v>
      </c>
      <c r="S184" s="2">
        <v>1.55241935483871</v>
      </c>
      <c r="W184" t="s">
        <v>198</v>
      </c>
    </row>
    <row r="185" spans="1:23" x14ac:dyDescent="0.3">
      <c r="A185" t="s">
        <v>28</v>
      </c>
      <c r="B185" t="s">
        <v>69</v>
      </c>
      <c r="C185" s="1" t="str">
        <f>HYPERLINK("https://new.land.naver.com/complexes/123900", "클릭")</f>
        <v>클릭</v>
      </c>
      <c r="D185">
        <v>2022</v>
      </c>
      <c r="E185">
        <v>5</v>
      </c>
      <c r="F185">
        <v>855</v>
      </c>
      <c r="G185">
        <v>84</v>
      </c>
      <c r="H185" t="s">
        <v>135</v>
      </c>
      <c r="I185" t="s">
        <v>137</v>
      </c>
      <c r="J185" t="s">
        <v>164</v>
      </c>
      <c r="K185">
        <v>77000</v>
      </c>
      <c r="L185" t="s">
        <v>153</v>
      </c>
      <c r="M185">
        <v>45000</v>
      </c>
      <c r="N185">
        <v>32000</v>
      </c>
      <c r="O185" s="2">
        <v>0.58441558441558439</v>
      </c>
      <c r="P185">
        <v>80820</v>
      </c>
      <c r="Q185" s="2">
        <v>-4.726552833457065E-2</v>
      </c>
      <c r="R185">
        <v>52800</v>
      </c>
      <c r="S185" s="2">
        <v>1.458333333333333</v>
      </c>
      <c r="W185" t="s">
        <v>198</v>
      </c>
    </row>
    <row r="186" spans="1:23" x14ac:dyDescent="0.3">
      <c r="A186" t="s">
        <v>31</v>
      </c>
      <c r="B186" t="s">
        <v>215</v>
      </c>
      <c r="C186" s="1" t="str">
        <f>HYPERLINK("https://new.land.naver.com/complexes/127903", "클릭")</f>
        <v>클릭</v>
      </c>
      <c r="D186">
        <v>2022</v>
      </c>
      <c r="E186">
        <v>4</v>
      </c>
      <c r="F186">
        <v>303</v>
      </c>
      <c r="G186">
        <v>76</v>
      </c>
      <c r="H186" t="s">
        <v>135</v>
      </c>
      <c r="I186" t="s">
        <v>137</v>
      </c>
      <c r="J186" t="s">
        <v>149</v>
      </c>
      <c r="K186">
        <v>77000</v>
      </c>
      <c r="L186" t="s">
        <v>149</v>
      </c>
      <c r="M186">
        <v>51000</v>
      </c>
      <c r="N186">
        <v>26000</v>
      </c>
      <c r="O186" s="2">
        <v>0.66233766233766234</v>
      </c>
      <c r="R186">
        <v>45000</v>
      </c>
      <c r="S186" s="2">
        <v>1.711111111111111</v>
      </c>
      <c r="W186" t="s">
        <v>198</v>
      </c>
    </row>
    <row r="187" spans="1:23" x14ac:dyDescent="0.3">
      <c r="A187" t="s">
        <v>28</v>
      </c>
      <c r="B187" t="s">
        <v>70</v>
      </c>
      <c r="C187" s="1" t="str">
        <f>HYPERLINK("https://new.land.naver.com/complexes/107639", "클릭")</f>
        <v>클릭</v>
      </c>
      <c r="D187">
        <v>2015</v>
      </c>
      <c r="E187">
        <v>8</v>
      </c>
      <c r="F187">
        <v>410</v>
      </c>
      <c r="G187">
        <v>84</v>
      </c>
      <c r="H187" t="s">
        <v>135</v>
      </c>
      <c r="I187" t="s">
        <v>137</v>
      </c>
      <c r="J187" t="s">
        <v>160</v>
      </c>
      <c r="K187">
        <v>77000</v>
      </c>
      <c r="L187" t="s">
        <v>160</v>
      </c>
      <c r="M187">
        <v>45000</v>
      </c>
      <c r="N187">
        <v>32000</v>
      </c>
      <c r="O187" s="2">
        <v>0.58441558441558439</v>
      </c>
      <c r="P187">
        <v>101000</v>
      </c>
      <c r="Q187" s="2">
        <v>-0.23762376237623761</v>
      </c>
      <c r="R187">
        <v>50600</v>
      </c>
      <c r="S187" s="2">
        <v>1.5217391304347829</v>
      </c>
      <c r="W187" t="s">
        <v>198</v>
      </c>
    </row>
    <row r="188" spans="1:23" x14ac:dyDescent="0.3">
      <c r="A188" t="s">
        <v>28</v>
      </c>
      <c r="B188" t="s">
        <v>52</v>
      </c>
      <c r="C188" s="1" t="str">
        <f>HYPERLINK("https://new.land.naver.com/complexes/1472", "클릭")</f>
        <v>클릭</v>
      </c>
      <c r="D188">
        <v>1992</v>
      </c>
      <c r="E188">
        <v>8</v>
      </c>
      <c r="F188">
        <v>438</v>
      </c>
      <c r="G188">
        <v>72</v>
      </c>
      <c r="H188" t="s">
        <v>135</v>
      </c>
      <c r="I188" t="s">
        <v>137</v>
      </c>
      <c r="J188" t="s">
        <v>259</v>
      </c>
      <c r="K188">
        <v>76000</v>
      </c>
      <c r="L188" t="s">
        <v>259</v>
      </c>
      <c r="M188">
        <v>46000</v>
      </c>
      <c r="N188">
        <v>30000</v>
      </c>
      <c r="O188" s="2">
        <v>0.60526315789473684</v>
      </c>
      <c r="R188">
        <v>42100</v>
      </c>
      <c r="S188" s="2">
        <v>1.8052256532066511</v>
      </c>
      <c r="W188" t="s">
        <v>198</v>
      </c>
    </row>
    <row r="189" spans="1:23" x14ac:dyDescent="0.3">
      <c r="A189" t="s">
        <v>31</v>
      </c>
      <c r="B189" t="s">
        <v>295</v>
      </c>
      <c r="C189" s="1" t="str">
        <f>HYPERLINK("https://new.land.naver.com/complexes/13918", "클릭")</f>
        <v>클릭</v>
      </c>
      <c r="D189">
        <v>1988</v>
      </c>
      <c r="E189">
        <v>6</v>
      </c>
      <c r="F189">
        <v>126</v>
      </c>
      <c r="G189">
        <v>75</v>
      </c>
      <c r="J189" t="s">
        <v>346</v>
      </c>
      <c r="K189">
        <v>76000</v>
      </c>
      <c r="W189" t="s">
        <v>390</v>
      </c>
    </row>
    <row r="190" spans="1:23" x14ac:dyDescent="0.3">
      <c r="A190" t="s">
        <v>29</v>
      </c>
      <c r="B190" t="s">
        <v>71</v>
      </c>
      <c r="C190" s="1" t="str">
        <f>HYPERLINK("https://new.land.naver.com/complexes/1978", "클릭")</f>
        <v>클릭</v>
      </c>
      <c r="D190">
        <v>1985</v>
      </c>
      <c r="E190">
        <v>4</v>
      </c>
      <c r="F190">
        <v>904</v>
      </c>
      <c r="G190">
        <v>84</v>
      </c>
      <c r="H190" t="s">
        <v>136</v>
      </c>
      <c r="I190" t="s">
        <v>138</v>
      </c>
      <c r="J190" t="s">
        <v>165</v>
      </c>
      <c r="K190">
        <v>76000</v>
      </c>
      <c r="L190" t="s">
        <v>165</v>
      </c>
      <c r="M190">
        <v>28000</v>
      </c>
      <c r="N190">
        <v>48000</v>
      </c>
      <c r="O190" s="2">
        <v>0.36842105263157893</v>
      </c>
      <c r="P190">
        <v>120000</v>
      </c>
      <c r="Q190" s="2">
        <v>-0.36666666666666659</v>
      </c>
      <c r="R190">
        <v>54400</v>
      </c>
      <c r="S190" s="2">
        <v>1.3970588235294119</v>
      </c>
      <c r="W190" t="s">
        <v>198</v>
      </c>
    </row>
    <row r="191" spans="1:23" x14ac:dyDescent="0.3">
      <c r="A191" t="s">
        <v>31</v>
      </c>
      <c r="B191" t="s">
        <v>45</v>
      </c>
      <c r="C191" s="1" t="str">
        <f>HYPERLINK("https://new.land.naver.com/complexes/124780", "클릭")</f>
        <v>클릭</v>
      </c>
      <c r="D191">
        <v>2021</v>
      </c>
      <c r="E191">
        <v>12</v>
      </c>
      <c r="F191">
        <v>2737</v>
      </c>
      <c r="G191">
        <v>59</v>
      </c>
      <c r="H191" t="s">
        <v>135</v>
      </c>
      <c r="I191" t="s">
        <v>137</v>
      </c>
      <c r="J191" t="s">
        <v>251</v>
      </c>
      <c r="K191">
        <v>76000</v>
      </c>
      <c r="L191" t="s">
        <v>243</v>
      </c>
      <c r="M191">
        <v>44000</v>
      </c>
      <c r="N191">
        <v>32000</v>
      </c>
      <c r="O191" s="2">
        <v>0.57894736842105265</v>
      </c>
      <c r="P191">
        <v>92500</v>
      </c>
      <c r="Q191" s="2">
        <v>-0.17837837837837839</v>
      </c>
      <c r="R191">
        <v>43500</v>
      </c>
      <c r="S191" s="2">
        <v>1.7471264367816091</v>
      </c>
      <c r="W191" t="s">
        <v>198</v>
      </c>
    </row>
    <row r="192" spans="1:23" x14ac:dyDescent="0.3">
      <c r="A192" t="s">
        <v>28</v>
      </c>
      <c r="B192" t="s">
        <v>108</v>
      </c>
      <c r="C192" s="1" t="str">
        <f>HYPERLINK("https://new.land.naver.com/complexes/8800", "클릭")</f>
        <v>클릭</v>
      </c>
      <c r="D192">
        <v>2000</v>
      </c>
      <c r="E192">
        <v>10</v>
      </c>
      <c r="F192">
        <v>370</v>
      </c>
      <c r="G192">
        <v>126</v>
      </c>
      <c r="H192" t="s">
        <v>135</v>
      </c>
      <c r="I192" t="s">
        <v>139</v>
      </c>
      <c r="J192" t="s">
        <v>621</v>
      </c>
      <c r="K192">
        <v>75000</v>
      </c>
      <c r="L192" t="s">
        <v>621</v>
      </c>
      <c r="M192">
        <v>40000</v>
      </c>
      <c r="N192">
        <v>35000</v>
      </c>
      <c r="O192" s="2">
        <v>0.53333333333333333</v>
      </c>
      <c r="R192">
        <v>38100</v>
      </c>
      <c r="S192" s="2">
        <v>1.9685039370078741</v>
      </c>
      <c r="W192" t="s">
        <v>198</v>
      </c>
    </row>
    <row r="193" spans="1:23" x14ac:dyDescent="0.3">
      <c r="A193" t="s">
        <v>28</v>
      </c>
      <c r="B193" t="s">
        <v>72</v>
      </c>
      <c r="C193" s="1" t="str">
        <f>HYPERLINK("https://new.land.naver.com/complexes/3081", "클릭")</f>
        <v>클릭</v>
      </c>
      <c r="D193">
        <v>2002</v>
      </c>
      <c r="E193">
        <v>11</v>
      </c>
      <c r="F193">
        <v>604</v>
      </c>
      <c r="G193">
        <v>84</v>
      </c>
      <c r="H193" t="s">
        <v>135</v>
      </c>
      <c r="I193" t="s">
        <v>137</v>
      </c>
      <c r="J193" t="s">
        <v>166</v>
      </c>
      <c r="K193">
        <v>75000</v>
      </c>
      <c r="L193" t="s">
        <v>166</v>
      </c>
      <c r="M193">
        <v>45000</v>
      </c>
      <c r="N193">
        <v>30000</v>
      </c>
      <c r="O193" s="2">
        <v>0.6</v>
      </c>
      <c r="P193">
        <v>85600</v>
      </c>
      <c r="Q193" s="2">
        <v>-0.12383177570093459</v>
      </c>
      <c r="R193">
        <v>47800</v>
      </c>
      <c r="S193" s="2">
        <v>1.5690376569037661</v>
      </c>
      <c r="W193" t="s">
        <v>198</v>
      </c>
    </row>
    <row r="194" spans="1:23" x14ac:dyDescent="0.3">
      <c r="A194" t="s">
        <v>28</v>
      </c>
      <c r="B194" t="s">
        <v>72</v>
      </c>
      <c r="C194" s="1" t="str">
        <f>HYPERLINK("https://new.land.naver.com/complexes/3081", "클릭")</f>
        <v>클릭</v>
      </c>
      <c r="D194">
        <v>2002</v>
      </c>
      <c r="E194">
        <v>11</v>
      </c>
      <c r="F194">
        <v>604</v>
      </c>
      <c r="G194">
        <v>74</v>
      </c>
      <c r="H194" t="s">
        <v>135</v>
      </c>
      <c r="I194" t="s">
        <v>137</v>
      </c>
      <c r="J194" t="s">
        <v>354</v>
      </c>
      <c r="K194">
        <v>75000</v>
      </c>
      <c r="R194">
        <v>46500</v>
      </c>
      <c r="S194" s="2">
        <v>1.612903225806452</v>
      </c>
      <c r="W194" t="s">
        <v>198</v>
      </c>
    </row>
    <row r="195" spans="1:23" x14ac:dyDescent="0.3">
      <c r="A195" t="s">
        <v>28</v>
      </c>
      <c r="B195" t="s">
        <v>91</v>
      </c>
      <c r="C195" s="1" t="str">
        <f>HYPERLINK("https://new.land.naver.com/complexes/8036", "클릭")</f>
        <v>클릭</v>
      </c>
      <c r="D195">
        <v>2003</v>
      </c>
      <c r="E195">
        <v>12</v>
      </c>
      <c r="F195">
        <v>1752</v>
      </c>
      <c r="G195">
        <v>116</v>
      </c>
      <c r="H195" t="s">
        <v>135</v>
      </c>
      <c r="I195" t="s">
        <v>139</v>
      </c>
      <c r="J195" t="s">
        <v>620</v>
      </c>
      <c r="K195">
        <v>75000</v>
      </c>
      <c r="L195" t="s">
        <v>620</v>
      </c>
      <c r="M195">
        <v>50000</v>
      </c>
      <c r="N195">
        <v>25000</v>
      </c>
      <c r="O195" s="2">
        <v>0.66666666666666663</v>
      </c>
      <c r="R195">
        <v>47100</v>
      </c>
      <c r="S195" s="2">
        <v>1.592356687898089</v>
      </c>
      <c r="W195" t="s">
        <v>198</v>
      </c>
    </row>
    <row r="196" spans="1:23" x14ac:dyDescent="0.3">
      <c r="A196" t="s">
        <v>31</v>
      </c>
      <c r="B196" t="s">
        <v>51</v>
      </c>
      <c r="C196" s="1" t="str">
        <f>HYPERLINK("https://new.land.naver.com/complexes/13922", "클릭")</f>
        <v>클릭</v>
      </c>
      <c r="D196">
        <v>1981</v>
      </c>
      <c r="E196">
        <v>9</v>
      </c>
      <c r="F196">
        <v>912</v>
      </c>
      <c r="G196">
        <v>44</v>
      </c>
      <c r="H196" t="s">
        <v>136</v>
      </c>
      <c r="I196" t="s">
        <v>235</v>
      </c>
      <c r="J196" t="s">
        <v>459</v>
      </c>
      <c r="K196">
        <v>75000</v>
      </c>
      <c r="W196" t="s">
        <v>407</v>
      </c>
    </row>
    <row r="197" spans="1:23" x14ac:dyDescent="0.3">
      <c r="A197" t="s">
        <v>28</v>
      </c>
      <c r="B197" t="s">
        <v>90</v>
      </c>
      <c r="C197" s="1" t="str">
        <f>HYPERLINK("https://new.land.naver.com/complexes/3082", "클릭")</f>
        <v>클릭</v>
      </c>
      <c r="D197">
        <v>2003</v>
      </c>
      <c r="E197">
        <v>11</v>
      </c>
      <c r="F197">
        <v>1977</v>
      </c>
      <c r="G197">
        <v>115</v>
      </c>
      <c r="H197" t="s">
        <v>135</v>
      </c>
      <c r="I197" t="s">
        <v>139</v>
      </c>
      <c r="J197" t="s">
        <v>609</v>
      </c>
      <c r="K197">
        <v>75000</v>
      </c>
      <c r="L197" t="s">
        <v>609</v>
      </c>
      <c r="M197">
        <v>47250</v>
      </c>
      <c r="N197">
        <v>27750</v>
      </c>
      <c r="O197" s="2">
        <v>0.63</v>
      </c>
      <c r="R197">
        <v>46100</v>
      </c>
      <c r="S197" s="2">
        <v>1.6268980477223429</v>
      </c>
      <c r="W197" t="s">
        <v>198</v>
      </c>
    </row>
    <row r="198" spans="1:23" x14ac:dyDescent="0.3">
      <c r="A198" t="s">
        <v>28</v>
      </c>
      <c r="B198" t="s">
        <v>73</v>
      </c>
      <c r="C198" s="1" t="str">
        <f>HYPERLINK("https://new.land.naver.com/complexes/1473", "클릭")</f>
        <v>클릭</v>
      </c>
      <c r="D198">
        <v>1992</v>
      </c>
      <c r="E198">
        <v>9</v>
      </c>
      <c r="F198">
        <v>321</v>
      </c>
      <c r="G198">
        <v>84</v>
      </c>
      <c r="H198" t="s">
        <v>135</v>
      </c>
      <c r="I198" t="s">
        <v>137</v>
      </c>
      <c r="J198" t="s">
        <v>150</v>
      </c>
      <c r="K198">
        <v>75000</v>
      </c>
      <c r="L198" t="s">
        <v>150</v>
      </c>
      <c r="M198">
        <v>46000</v>
      </c>
      <c r="N198">
        <v>29000</v>
      </c>
      <c r="O198" s="2">
        <v>0.61333333333333329</v>
      </c>
      <c r="P198">
        <v>88000</v>
      </c>
      <c r="Q198" s="2">
        <v>-0.14772727272727271</v>
      </c>
      <c r="R198">
        <v>41800</v>
      </c>
      <c r="S198" s="2">
        <v>1.794258373205742</v>
      </c>
      <c r="W198" t="s">
        <v>198</v>
      </c>
    </row>
    <row r="199" spans="1:23" x14ac:dyDescent="0.3">
      <c r="A199" t="s">
        <v>30</v>
      </c>
      <c r="B199" t="s">
        <v>59</v>
      </c>
      <c r="C199" s="1" t="str">
        <f>HYPERLINK("https://new.land.naver.com/complexes/8205", "클릭")</f>
        <v>클릭</v>
      </c>
      <c r="D199">
        <v>2001</v>
      </c>
      <c r="E199">
        <v>4</v>
      </c>
      <c r="F199">
        <v>1996</v>
      </c>
      <c r="G199">
        <v>59</v>
      </c>
      <c r="H199" t="s">
        <v>135</v>
      </c>
      <c r="I199" t="s">
        <v>137</v>
      </c>
      <c r="J199" t="s">
        <v>252</v>
      </c>
      <c r="K199">
        <v>74000</v>
      </c>
      <c r="L199" t="s">
        <v>252</v>
      </c>
      <c r="M199">
        <v>38000</v>
      </c>
      <c r="N199">
        <v>36000</v>
      </c>
      <c r="O199" s="2">
        <v>0.51351351351351349</v>
      </c>
      <c r="P199">
        <v>87000</v>
      </c>
      <c r="Q199" s="2">
        <v>-0.14942528735632191</v>
      </c>
      <c r="R199">
        <v>41100</v>
      </c>
      <c r="S199" s="2">
        <v>1.800486618004866</v>
      </c>
      <c r="W199" t="s">
        <v>198</v>
      </c>
    </row>
    <row r="200" spans="1:23" x14ac:dyDescent="0.3">
      <c r="A200" t="s">
        <v>28</v>
      </c>
      <c r="B200" t="s">
        <v>211</v>
      </c>
      <c r="C200" s="1" t="str">
        <f>HYPERLINK("https://new.land.naver.com/complexes/148980", "클릭")</f>
        <v>클릭</v>
      </c>
      <c r="D200">
        <v>2024</v>
      </c>
      <c r="E200">
        <v>9</v>
      </c>
      <c r="F200">
        <v>304</v>
      </c>
      <c r="G200">
        <v>59</v>
      </c>
      <c r="H200" t="s">
        <v>135</v>
      </c>
      <c r="I200" t="s">
        <v>137</v>
      </c>
      <c r="J200" t="s">
        <v>253</v>
      </c>
      <c r="K200">
        <v>73700</v>
      </c>
      <c r="L200" t="s">
        <v>253</v>
      </c>
      <c r="M200">
        <v>41000</v>
      </c>
      <c r="N200">
        <v>32700</v>
      </c>
      <c r="O200" s="2">
        <v>0.55630936227951155</v>
      </c>
      <c r="W200" t="s">
        <v>199</v>
      </c>
    </row>
    <row r="201" spans="1:23" x14ac:dyDescent="0.3">
      <c r="A201" t="s">
        <v>29</v>
      </c>
      <c r="B201" t="s">
        <v>219</v>
      </c>
      <c r="C201" s="1" t="str">
        <f>HYPERLINK("https://new.land.naver.com/complexes/1462", "클릭")</f>
        <v>클릭</v>
      </c>
      <c r="D201">
        <v>1993</v>
      </c>
      <c r="E201">
        <v>2</v>
      </c>
      <c r="F201">
        <v>750</v>
      </c>
      <c r="G201">
        <v>79</v>
      </c>
      <c r="H201" t="s">
        <v>135</v>
      </c>
      <c r="I201" t="s">
        <v>137</v>
      </c>
      <c r="J201" t="s">
        <v>169</v>
      </c>
      <c r="K201">
        <v>73000</v>
      </c>
      <c r="L201" t="s">
        <v>169</v>
      </c>
      <c r="M201">
        <v>44000</v>
      </c>
      <c r="N201">
        <v>29000</v>
      </c>
      <c r="O201" s="2">
        <v>0.60273972602739723</v>
      </c>
      <c r="R201">
        <v>44400</v>
      </c>
      <c r="S201" s="2">
        <v>1.644144144144144</v>
      </c>
      <c r="W201" t="s">
        <v>198</v>
      </c>
    </row>
    <row r="202" spans="1:23" x14ac:dyDescent="0.3">
      <c r="A202" t="s">
        <v>31</v>
      </c>
      <c r="B202" t="s">
        <v>74</v>
      </c>
      <c r="C202" s="1" t="str">
        <f>HYPERLINK("https://new.land.naver.com/complexes/25725", "클릭")</f>
        <v>클릭</v>
      </c>
      <c r="D202">
        <v>2009</v>
      </c>
      <c r="E202">
        <v>11</v>
      </c>
      <c r="F202">
        <v>774</v>
      </c>
      <c r="G202">
        <v>84</v>
      </c>
      <c r="H202" t="s">
        <v>135</v>
      </c>
      <c r="I202" t="s">
        <v>137</v>
      </c>
      <c r="J202" t="s">
        <v>163</v>
      </c>
      <c r="K202">
        <v>73000</v>
      </c>
      <c r="L202" t="s">
        <v>163</v>
      </c>
      <c r="M202">
        <v>44000</v>
      </c>
      <c r="N202">
        <v>29000</v>
      </c>
      <c r="O202" s="2">
        <v>0.60273972602739723</v>
      </c>
      <c r="P202">
        <v>88500</v>
      </c>
      <c r="Q202" s="2">
        <v>-0.1751412429378531</v>
      </c>
      <c r="R202">
        <v>46300</v>
      </c>
      <c r="S202" s="2">
        <v>1.5766738660907129</v>
      </c>
      <c r="W202" t="s">
        <v>198</v>
      </c>
    </row>
    <row r="203" spans="1:23" x14ac:dyDescent="0.3">
      <c r="A203" t="s">
        <v>31</v>
      </c>
      <c r="B203" t="s">
        <v>51</v>
      </c>
      <c r="C203" s="1" t="str">
        <f>HYPERLINK("https://new.land.naver.com/complexes/13922", "클릭")</f>
        <v>클릭</v>
      </c>
      <c r="D203">
        <v>1981</v>
      </c>
      <c r="E203">
        <v>9</v>
      </c>
      <c r="F203">
        <v>912</v>
      </c>
      <c r="G203">
        <v>70</v>
      </c>
      <c r="H203" t="s">
        <v>136</v>
      </c>
      <c r="I203" t="s">
        <v>138</v>
      </c>
      <c r="J203" t="s">
        <v>355</v>
      </c>
      <c r="K203">
        <v>72600</v>
      </c>
      <c r="R203">
        <v>40200</v>
      </c>
      <c r="S203" s="2">
        <v>1.805970149253731</v>
      </c>
      <c r="W203" t="s">
        <v>198</v>
      </c>
    </row>
    <row r="204" spans="1:23" x14ac:dyDescent="0.3">
      <c r="A204" t="s">
        <v>30</v>
      </c>
      <c r="B204" t="s">
        <v>59</v>
      </c>
      <c r="C204" s="1" t="str">
        <f>HYPERLINK("https://new.land.naver.com/complexes/8205", "클릭")</f>
        <v>클릭</v>
      </c>
      <c r="D204">
        <v>2001</v>
      </c>
      <c r="E204">
        <v>4</v>
      </c>
      <c r="F204">
        <v>1996</v>
      </c>
      <c r="G204">
        <v>60</v>
      </c>
      <c r="H204" t="s">
        <v>135</v>
      </c>
      <c r="I204" t="s">
        <v>235</v>
      </c>
      <c r="J204" t="s">
        <v>239</v>
      </c>
      <c r="K204">
        <v>72000</v>
      </c>
      <c r="L204" t="s">
        <v>239</v>
      </c>
      <c r="M204">
        <v>37000</v>
      </c>
      <c r="N204">
        <v>35000</v>
      </c>
      <c r="O204" s="2">
        <v>0.51388888888888884</v>
      </c>
      <c r="R204">
        <v>41400</v>
      </c>
      <c r="S204" s="2">
        <v>1.7391304347826091</v>
      </c>
      <c r="W204" t="s">
        <v>198</v>
      </c>
    </row>
    <row r="205" spans="1:23" x14ac:dyDescent="0.3">
      <c r="A205" t="s">
        <v>31</v>
      </c>
      <c r="B205" t="s">
        <v>296</v>
      </c>
      <c r="C205" s="1" t="str">
        <f>HYPERLINK("https://new.land.naver.com/complexes/141825", "클릭")</f>
        <v>클릭</v>
      </c>
      <c r="D205">
        <v>2023</v>
      </c>
      <c r="E205">
        <v>5</v>
      </c>
      <c r="F205">
        <v>230</v>
      </c>
      <c r="G205">
        <v>71</v>
      </c>
      <c r="H205" t="s">
        <v>135</v>
      </c>
      <c r="I205" t="s">
        <v>137</v>
      </c>
      <c r="J205" t="s">
        <v>341</v>
      </c>
      <c r="K205">
        <v>72000</v>
      </c>
      <c r="L205" t="s">
        <v>341</v>
      </c>
      <c r="M205">
        <v>44000</v>
      </c>
      <c r="N205">
        <v>28000</v>
      </c>
      <c r="O205" s="2">
        <v>0.61111111111111116</v>
      </c>
      <c r="W205" t="s">
        <v>198</v>
      </c>
    </row>
    <row r="206" spans="1:23" x14ac:dyDescent="0.3">
      <c r="A206" t="s">
        <v>30</v>
      </c>
      <c r="B206" t="s">
        <v>64</v>
      </c>
      <c r="C206" s="1" t="str">
        <f>HYPERLINK("https://new.land.naver.com/complexes/8481", "클릭")</f>
        <v>클릭</v>
      </c>
      <c r="D206">
        <v>1993</v>
      </c>
      <c r="E206">
        <v>11</v>
      </c>
      <c r="F206">
        <v>870</v>
      </c>
      <c r="G206">
        <v>79</v>
      </c>
      <c r="H206" t="s">
        <v>135</v>
      </c>
      <c r="I206" t="s">
        <v>137</v>
      </c>
      <c r="J206" t="s">
        <v>342</v>
      </c>
      <c r="K206">
        <v>72000</v>
      </c>
      <c r="R206">
        <v>39000</v>
      </c>
      <c r="S206" s="2">
        <v>1.846153846153846</v>
      </c>
      <c r="W206" t="s">
        <v>199</v>
      </c>
    </row>
    <row r="207" spans="1:23" x14ac:dyDescent="0.3">
      <c r="A207" t="s">
        <v>31</v>
      </c>
      <c r="B207" t="s">
        <v>84</v>
      </c>
      <c r="C207" s="1" t="str">
        <f>HYPERLINK("https://new.land.naver.com/complexes/22957", "클릭")</f>
        <v>클릭</v>
      </c>
      <c r="D207">
        <v>2007</v>
      </c>
      <c r="E207">
        <v>7</v>
      </c>
      <c r="F207">
        <v>492</v>
      </c>
      <c r="G207">
        <v>108</v>
      </c>
      <c r="H207" t="s">
        <v>135</v>
      </c>
      <c r="I207" t="s">
        <v>139</v>
      </c>
      <c r="J207" t="s">
        <v>601</v>
      </c>
      <c r="K207">
        <v>72000</v>
      </c>
      <c r="L207" t="s">
        <v>601</v>
      </c>
      <c r="M207">
        <v>50000</v>
      </c>
      <c r="N207">
        <v>22000</v>
      </c>
      <c r="O207" s="2">
        <v>0.69444444444444442</v>
      </c>
      <c r="R207">
        <v>48200</v>
      </c>
      <c r="S207" s="2">
        <v>1.493775933609959</v>
      </c>
      <c r="W207" t="s">
        <v>198</v>
      </c>
    </row>
    <row r="208" spans="1:23" x14ac:dyDescent="0.3">
      <c r="A208" t="s">
        <v>28</v>
      </c>
      <c r="B208" t="s">
        <v>212</v>
      </c>
      <c r="C208" s="1" t="str">
        <f>HYPERLINK("https://new.land.naver.com/complexes/3023", "클릭")</f>
        <v>클릭</v>
      </c>
      <c r="D208">
        <v>1993</v>
      </c>
      <c r="E208">
        <v>3</v>
      </c>
      <c r="F208">
        <v>683</v>
      </c>
      <c r="G208">
        <v>58</v>
      </c>
      <c r="H208" t="s">
        <v>136</v>
      </c>
      <c r="I208" t="s">
        <v>235</v>
      </c>
      <c r="J208" t="s">
        <v>254</v>
      </c>
      <c r="K208">
        <v>72000</v>
      </c>
      <c r="L208" t="s">
        <v>254</v>
      </c>
      <c r="M208">
        <v>32000</v>
      </c>
      <c r="N208">
        <v>40000</v>
      </c>
      <c r="O208" s="2">
        <v>0.44444444444444442</v>
      </c>
      <c r="P208">
        <v>58750</v>
      </c>
      <c r="Q208" s="2">
        <v>0.22553191489361701</v>
      </c>
      <c r="R208">
        <v>40400</v>
      </c>
      <c r="S208" s="2">
        <v>1.782178217821782</v>
      </c>
      <c r="W208" t="s">
        <v>198</v>
      </c>
    </row>
    <row r="209" spans="1:23" x14ac:dyDescent="0.3">
      <c r="A209" t="s">
        <v>30</v>
      </c>
      <c r="B209" t="s">
        <v>56</v>
      </c>
      <c r="C209" s="1" t="str">
        <f>HYPERLINK("https://new.land.naver.com/complexes/1477", "클릭")</f>
        <v>클릭</v>
      </c>
      <c r="D209">
        <v>1993</v>
      </c>
      <c r="E209">
        <v>7</v>
      </c>
      <c r="F209">
        <v>752</v>
      </c>
      <c r="G209">
        <v>59</v>
      </c>
      <c r="H209" t="s">
        <v>135</v>
      </c>
      <c r="I209" t="s">
        <v>138</v>
      </c>
      <c r="J209" t="s">
        <v>255</v>
      </c>
      <c r="K209">
        <v>72000</v>
      </c>
      <c r="L209" t="s">
        <v>255</v>
      </c>
      <c r="M209">
        <v>35000</v>
      </c>
      <c r="N209">
        <v>37000</v>
      </c>
      <c r="O209" s="2">
        <v>0.4861111111111111</v>
      </c>
      <c r="P209">
        <v>82000</v>
      </c>
      <c r="Q209" s="2">
        <v>-0.12195121951219511</v>
      </c>
      <c r="R209">
        <v>40500</v>
      </c>
      <c r="S209" s="2">
        <v>1.7777777777777779</v>
      </c>
      <c r="W209" t="s">
        <v>198</v>
      </c>
    </row>
    <row r="210" spans="1:23" x14ac:dyDescent="0.3">
      <c r="A210" t="s">
        <v>28</v>
      </c>
      <c r="B210" t="s">
        <v>213</v>
      </c>
      <c r="C210" s="1" t="str">
        <f>HYPERLINK("https://new.land.naver.com/complexes/111921", "클릭")</f>
        <v>클릭</v>
      </c>
      <c r="D210">
        <v>2018</v>
      </c>
      <c r="E210">
        <v>3</v>
      </c>
      <c r="F210">
        <v>200</v>
      </c>
      <c r="G210">
        <v>59</v>
      </c>
      <c r="H210" t="s">
        <v>135</v>
      </c>
      <c r="I210" t="s">
        <v>137</v>
      </c>
      <c r="J210" t="s">
        <v>256</v>
      </c>
      <c r="K210">
        <v>71000</v>
      </c>
      <c r="L210" t="s">
        <v>256</v>
      </c>
      <c r="M210">
        <v>43000</v>
      </c>
      <c r="N210">
        <v>28000</v>
      </c>
      <c r="O210" s="2">
        <v>0.60563380281690138</v>
      </c>
      <c r="P210">
        <v>89700</v>
      </c>
      <c r="Q210" s="2">
        <v>-0.20847268673355629</v>
      </c>
      <c r="R210">
        <v>39700</v>
      </c>
      <c r="S210" s="2">
        <v>1.7884130982367761</v>
      </c>
      <c r="W210" t="s">
        <v>198</v>
      </c>
    </row>
    <row r="211" spans="1:23" x14ac:dyDescent="0.3">
      <c r="A211" t="s">
        <v>29</v>
      </c>
      <c r="B211" t="s">
        <v>75</v>
      </c>
      <c r="C211" s="1" t="str">
        <f>HYPERLINK("https://new.land.naver.com/complexes/10281", "클릭")</f>
        <v>클릭</v>
      </c>
      <c r="D211">
        <v>2000</v>
      </c>
      <c r="E211">
        <v>10</v>
      </c>
      <c r="F211">
        <v>160</v>
      </c>
      <c r="G211">
        <v>84</v>
      </c>
      <c r="H211" t="s">
        <v>136</v>
      </c>
      <c r="I211" t="s">
        <v>137</v>
      </c>
      <c r="J211" t="s">
        <v>167</v>
      </c>
      <c r="K211">
        <v>71000</v>
      </c>
      <c r="L211" t="s">
        <v>167</v>
      </c>
      <c r="M211">
        <v>42000</v>
      </c>
      <c r="N211">
        <v>29000</v>
      </c>
      <c r="O211" s="2">
        <v>0.59154929577464788</v>
      </c>
      <c r="P211">
        <v>102500</v>
      </c>
      <c r="Q211" s="2">
        <v>-0.3073170731707317</v>
      </c>
      <c r="R211">
        <v>45200</v>
      </c>
      <c r="S211" s="2">
        <v>1.570796460176991</v>
      </c>
      <c r="W211" t="s">
        <v>198</v>
      </c>
    </row>
    <row r="212" spans="1:23" x14ac:dyDescent="0.3">
      <c r="A212" t="s">
        <v>31</v>
      </c>
      <c r="B212" t="s">
        <v>76</v>
      </c>
      <c r="C212" s="1" t="str">
        <f>HYPERLINK("https://new.land.naver.com/complexes/1993", "클릭")</f>
        <v>클릭</v>
      </c>
      <c r="D212">
        <v>1993</v>
      </c>
      <c r="E212">
        <v>10</v>
      </c>
      <c r="F212">
        <v>796</v>
      </c>
      <c r="G212">
        <v>84</v>
      </c>
      <c r="H212" t="s">
        <v>135</v>
      </c>
      <c r="I212" t="s">
        <v>137</v>
      </c>
      <c r="J212" t="s">
        <v>150</v>
      </c>
      <c r="K212">
        <v>71000</v>
      </c>
      <c r="L212" t="s">
        <v>150</v>
      </c>
      <c r="M212">
        <v>39000</v>
      </c>
      <c r="N212">
        <v>32000</v>
      </c>
      <c r="O212" s="2">
        <v>0.54929577464788737</v>
      </c>
      <c r="P212">
        <v>87000</v>
      </c>
      <c r="Q212" s="2">
        <v>-0.18390804597701149</v>
      </c>
      <c r="R212">
        <v>41500</v>
      </c>
      <c r="S212" s="2">
        <v>1.7108433734939761</v>
      </c>
      <c r="W212" t="s">
        <v>198</v>
      </c>
    </row>
    <row r="213" spans="1:23" x14ac:dyDescent="0.3">
      <c r="A213" t="s">
        <v>31</v>
      </c>
      <c r="B213" t="s">
        <v>51</v>
      </c>
      <c r="C213" s="1" t="str">
        <f>HYPERLINK("https://new.land.naver.com/complexes/13922", "클릭")</f>
        <v>클릭</v>
      </c>
      <c r="D213">
        <v>1981</v>
      </c>
      <c r="E213">
        <v>9</v>
      </c>
      <c r="F213">
        <v>912</v>
      </c>
      <c r="G213">
        <v>69</v>
      </c>
      <c r="H213" t="s">
        <v>136</v>
      </c>
      <c r="I213" t="s">
        <v>235</v>
      </c>
      <c r="J213" t="s">
        <v>356</v>
      </c>
      <c r="K213">
        <v>70500</v>
      </c>
      <c r="R213">
        <v>40200</v>
      </c>
      <c r="S213" s="2">
        <v>1.7537313432835819</v>
      </c>
      <c r="W213" t="s">
        <v>198</v>
      </c>
    </row>
    <row r="214" spans="1:23" x14ac:dyDescent="0.3">
      <c r="A214" t="s">
        <v>31</v>
      </c>
      <c r="B214" t="s">
        <v>53</v>
      </c>
      <c r="C214" s="1" t="str">
        <f>HYPERLINK("https://new.land.naver.com/complexes/1467", "클릭")</f>
        <v>클릭</v>
      </c>
      <c r="D214">
        <v>1992</v>
      </c>
      <c r="E214">
        <v>5</v>
      </c>
      <c r="F214">
        <v>620</v>
      </c>
      <c r="G214">
        <v>59</v>
      </c>
      <c r="H214" t="s">
        <v>136</v>
      </c>
      <c r="I214" t="s">
        <v>235</v>
      </c>
      <c r="J214" t="s">
        <v>248</v>
      </c>
      <c r="K214">
        <v>70000</v>
      </c>
      <c r="L214" t="s">
        <v>248</v>
      </c>
      <c r="M214">
        <v>35000</v>
      </c>
      <c r="N214">
        <v>35000</v>
      </c>
      <c r="O214" s="2">
        <v>0.5</v>
      </c>
      <c r="P214">
        <v>76000</v>
      </c>
      <c r="Q214" s="2">
        <v>-7.8947368421052627E-2</v>
      </c>
      <c r="R214">
        <v>38900</v>
      </c>
      <c r="S214" s="2">
        <v>1.7994858611825191</v>
      </c>
      <c r="W214" t="s">
        <v>198</v>
      </c>
    </row>
    <row r="215" spans="1:23" x14ac:dyDescent="0.3">
      <c r="A215" t="s">
        <v>30</v>
      </c>
      <c r="B215" t="s">
        <v>297</v>
      </c>
      <c r="C215" s="1" t="str">
        <f>HYPERLINK("https://new.land.naver.com/complexes/2595", "클릭")</f>
        <v>클릭</v>
      </c>
      <c r="D215">
        <v>1992</v>
      </c>
      <c r="E215">
        <v>10</v>
      </c>
      <c r="F215">
        <v>1743</v>
      </c>
      <c r="G215">
        <v>60</v>
      </c>
      <c r="H215" t="s">
        <v>136</v>
      </c>
      <c r="I215" t="s">
        <v>138</v>
      </c>
      <c r="J215" t="s">
        <v>263</v>
      </c>
      <c r="K215">
        <v>70000</v>
      </c>
      <c r="L215" t="s">
        <v>263</v>
      </c>
      <c r="M215">
        <v>32000</v>
      </c>
      <c r="N215">
        <v>38000</v>
      </c>
      <c r="O215" s="2">
        <v>0.45714285714285707</v>
      </c>
      <c r="R215">
        <v>41700</v>
      </c>
      <c r="S215" s="2">
        <v>1.678657074340528</v>
      </c>
      <c r="W215" t="s">
        <v>198</v>
      </c>
    </row>
    <row r="216" spans="1:23" x14ac:dyDescent="0.3">
      <c r="A216" t="s">
        <v>29</v>
      </c>
      <c r="B216" t="s">
        <v>214</v>
      </c>
      <c r="C216" s="1" t="str">
        <f>HYPERLINK("https://new.land.naver.com/complexes/1977", "클릭")</f>
        <v>클릭</v>
      </c>
      <c r="D216">
        <v>1986</v>
      </c>
      <c r="E216">
        <v>5</v>
      </c>
      <c r="F216">
        <v>220</v>
      </c>
      <c r="G216">
        <v>57</v>
      </c>
      <c r="H216" t="s">
        <v>135</v>
      </c>
      <c r="I216" t="s">
        <v>235</v>
      </c>
      <c r="J216" t="s">
        <v>248</v>
      </c>
      <c r="K216">
        <v>70000</v>
      </c>
      <c r="L216" t="s">
        <v>248</v>
      </c>
      <c r="M216">
        <v>25000</v>
      </c>
      <c r="N216">
        <v>45000</v>
      </c>
      <c r="O216" s="2">
        <v>0.35714285714285721</v>
      </c>
      <c r="P216">
        <v>53500</v>
      </c>
      <c r="Q216" s="2">
        <v>0.30841121495327101</v>
      </c>
      <c r="R216">
        <v>36900</v>
      </c>
      <c r="S216" s="2">
        <v>1.897018970189702</v>
      </c>
      <c r="W216" t="s">
        <v>198</v>
      </c>
    </row>
    <row r="217" spans="1:23" x14ac:dyDescent="0.3">
      <c r="A217" t="s">
        <v>31</v>
      </c>
      <c r="B217" t="s">
        <v>51</v>
      </c>
      <c r="C217" s="1" t="str">
        <f>HYPERLINK("https://new.land.naver.com/complexes/13922", "클릭")</f>
        <v>클릭</v>
      </c>
      <c r="D217">
        <v>1981</v>
      </c>
      <c r="E217">
        <v>9</v>
      </c>
      <c r="F217">
        <v>912</v>
      </c>
      <c r="G217">
        <v>86</v>
      </c>
      <c r="H217" t="s">
        <v>136</v>
      </c>
      <c r="I217" t="s">
        <v>137</v>
      </c>
      <c r="J217" t="s">
        <v>622</v>
      </c>
      <c r="K217">
        <v>70000</v>
      </c>
      <c r="W217" t="s">
        <v>644</v>
      </c>
    </row>
    <row r="218" spans="1:23" x14ac:dyDescent="0.3">
      <c r="A218" t="s">
        <v>31</v>
      </c>
      <c r="B218" t="s">
        <v>44</v>
      </c>
      <c r="C218" s="1" t="str">
        <f>HYPERLINK("https://new.land.naver.com/complexes/13924", "클릭")</f>
        <v>클릭</v>
      </c>
      <c r="D218">
        <v>1985</v>
      </c>
      <c r="E218">
        <v>8</v>
      </c>
      <c r="F218">
        <v>474</v>
      </c>
      <c r="G218">
        <v>55</v>
      </c>
      <c r="H218" t="s">
        <v>136</v>
      </c>
      <c r="I218" t="s">
        <v>235</v>
      </c>
      <c r="J218" t="s">
        <v>385</v>
      </c>
      <c r="K218">
        <v>70000</v>
      </c>
      <c r="R218">
        <v>40800</v>
      </c>
      <c r="S218" s="2">
        <v>1.715686274509804</v>
      </c>
      <c r="W218" t="s">
        <v>198</v>
      </c>
    </row>
    <row r="219" spans="1:23" x14ac:dyDescent="0.3">
      <c r="A219" t="s">
        <v>30</v>
      </c>
      <c r="B219" t="s">
        <v>77</v>
      </c>
      <c r="C219" s="1" t="str">
        <f>HYPERLINK("https://new.land.naver.com/complexes/8193", "클릭")</f>
        <v>클릭</v>
      </c>
      <c r="D219">
        <v>2000</v>
      </c>
      <c r="E219">
        <v>5</v>
      </c>
      <c r="F219">
        <v>535</v>
      </c>
      <c r="G219">
        <v>84</v>
      </c>
      <c r="H219" t="s">
        <v>135</v>
      </c>
      <c r="I219" t="s">
        <v>137</v>
      </c>
      <c r="J219" t="s">
        <v>168</v>
      </c>
      <c r="K219">
        <v>70000</v>
      </c>
      <c r="L219" t="s">
        <v>168</v>
      </c>
      <c r="M219">
        <v>46000</v>
      </c>
      <c r="N219">
        <v>24000</v>
      </c>
      <c r="O219" s="2">
        <v>0.65714285714285714</v>
      </c>
      <c r="P219">
        <v>94000</v>
      </c>
      <c r="Q219" s="2">
        <v>-0.25531914893617019</v>
      </c>
      <c r="W219" t="s">
        <v>198</v>
      </c>
    </row>
    <row r="220" spans="1:23" x14ac:dyDescent="0.3">
      <c r="A220" t="s">
        <v>31</v>
      </c>
      <c r="B220" t="s">
        <v>416</v>
      </c>
      <c r="C220" s="1" t="str">
        <f>HYPERLINK("https://new.land.naver.com/complexes/1988", "클릭")</f>
        <v>클릭</v>
      </c>
      <c r="D220">
        <v>1988</v>
      </c>
      <c r="E220">
        <v>11</v>
      </c>
      <c r="F220">
        <v>80</v>
      </c>
      <c r="G220">
        <v>52</v>
      </c>
      <c r="H220" t="s">
        <v>135</v>
      </c>
      <c r="I220" t="s">
        <v>138</v>
      </c>
      <c r="J220" t="s">
        <v>339</v>
      </c>
      <c r="K220">
        <v>70000</v>
      </c>
      <c r="L220" t="s">
        <v>339</v>
      </c>
      <c r="M220">
        <v>19000</v>
      </c>
      <c r="N220">
        <v>51000</v>
      </c>
      <c r="O220" s="2">
        <v>0.27142857142857141</v>
      </c>
      <c r="R220">
        <v>36300</v>
      </c>
      <c r="S220" s="2">
        <v>1.9283746556473831</v>
      </c>
      <c r="W220" t="s">
        <v>198</v>
      </c>
    </row>
    <row r="221" spans="1:23" x14ac:dyDescent="0.3">
      <c r="A221" t="s">
        <v>28</v>
      </c>
      <c r="B221" t="s">
        <v>212</v>
      </c>
      <c r="C221" s="1" t="str">
        <f>HYPERLINK("https://new.land.naver.com/complexes/3023", "클릭")</f>
        <v>클릭</v>
      </c>
      <c r="D221">
        <v>1993</v>
      </c>
      <c r="E221">
        <v>3</v>
      </c>
      <c r="F221">
        <v>683</v>
      </c>
      <c r="G221">
        <v>60</v>
      </c>
      <c r="H221" t="s">
        <v>136</v>
      </c>
      <c r="I221" t="s">
        <v>235</v>
      </c>
      <c r="J221" t="s">
        <v>247</v>
      </c>
      <c r="K221">
        <v>70000</v>
      </c>
      <c r="L221" t="s">
        <v>247</v>
      </c>
      <c r="M221">
        <v>30000</v>
      </c>
      <c r="N221">
        <v>40000</v>
      </c>
      <c r="O221" s="2">
        <v>0.42857142857142849</v>
      </c>
      <c r="R221">
        <v>40800</v>
      </c>
      <c r="S221" s="2">
        <v>1.715686274509804</v>
      </c>
      <c r="W221" t="s">
        <v>198</v>
      </c>
    </row>
    <row r="222" spans="1:23" x14ac:dyDescent="0.3">
      <c r="A222" t="s">
        <v>28</v>
      </c>
      <c r="B222" t="s">
        <v>69</v>
      </c>
      <c r="C222" s="1" t="str">
        <f>HYPERLINK("https://new.land.naver.com/complexes/123900", "클릭")</f>
        <v>클릭</v>
      </c>
      <c r="D222">
        <v>2022</v>
      </c>
      <c r="E222">
        <v>5</v>
      </c>
      <c r="F222">
        <v>855</v>
      </c>
      <c r="G222">
        <v>70</v>
      </c>
      <c r="H222" t="s">
        <v>135</v>
      </c>
      <c r="I222" t="s">
        <v>337</v>
      </c>
      <c r="J222" t="s">
        <v>357</v>
      </c>
      <c r="K222">
        <v>70000</v>
      </c>
      <c r="L222" t="s">
        <v>377</v>
      </c>
      <c r="M222">
        <v>41000</v>
      </c>
      <c r="N222">
        <v>29000</v>
      </c>
      <c r="O222" s="2">
        <v>0.58571428571428574</v>
      </c>
      <c r="R222">
        <v>45900</v>
      </c>
      <c r="S222" s="2">
        <v>1.5250544662309371</v>
      </c>
      <c r="W222" t="s">
        <v>198</v>
      </c>
    </row>
    <row r="223" spans="1:23" x14ac:dyDescent="0.3">
      <c r="A223" t="s">
        <v>28</v>
      </c>
      <c r="B223" t="s">
        <v>70</v>
      </c>
      <c r="C223" s="1" t="str">
        <f>HYPERLINK("https://new.land.naver.com/complexes/107639", "클릭")</f>
        <v>클릭</v>
      </c>
      <c r="D223">
        <v>2015</v>
      </c>
      <c r="E223">
        <v>8</v>
      </c>
      <c r="F223">
        <v>410</v>
      </c>
      <c r="G223">
        <v>74</v>
      </c>
      <c r="H223" t="s">
        <v>135</v>
      </c>
      <c r="I223" t="s">
        <v>137</v>
      </c>
      <c r="J223" t="s">
        <v>349</v>
      </c>
      <c r="K223">
        <v>70000</v>
      </c>
      <c r="L223" t="s">
        <v>349</v>
      </c>
      <c r="M223">
        <v>45000</v>
      </c>
      <c r="N223">
        <v>25000</v>
      </c>
      <c r="O223" s="2">
        <v>0.6428571428571429</v>
      </c>
      <c r="R223">
        <v>40000</v>
      </c>
      <c r="S223" s="2">
        <v>1.75</v>
      </c>
      <c r="W223" t="s">
        <v>198</v>
      </c>
    </row>
    <row r="224" spans="1:23" x14ac:dyDescent="0.3">
      <c r="A224" t="s">
        <v>31</v>
      </c>
      <c r="B224" t="s">
        <v>78</v>
      </c>
      <c r="C224" s="1" t="str">
        <f>HYPERLINK("https://new.land.naver.com/complexes/105771", "클릭")</f>
        <v>클릭</v>
      </c>
      <c r="D224">
        <v>2003</v>
      </c>
      <c r="E224">
        <v>3</v>
      </c>
      <c r="F224">
        <v>12</v>
      </c>
      <c r="G224">
        <v>83</v>
      </c>
      <c r="H224" t="s">
        <v>135</v>
      </c>
      <c r="I224" t="s">
        <v>138</v>
      </c>
      <c r="J224" t="s">
        <v>169</v>
      </c>
      <c r="K224">
        <v>70000</v>
      </c>
      <c r="L224" t="s">
        <v>169</v>
      </c>
      <c r="M224">
        <v>30000</v>
      </c>
      <c r="N224">
        <v>40000</v>
      </c>
      <c r="O224" s="2">
        <v>0.42857142857142849</v>
      </c>
      <c r="P224">
        <v>49500</v>
      </c>
      <c r="Q224" s="2">
        <v>0.41414141414141409</v>
      </c>
      <c r="R224">
        <v>38600</v>
      </c>
      <c r="S224" s="2">
        <v>1.813471502590674</v>
      </c>
      <c r="W224" t="s">
        <v>198</v>
      </c>
    </row>
    <row r="225" spans="1:23" x14ac:dyDescent="0.3">
      <c r="A225" t="s">
        <v>31</v>
      </c>
      <c r="B225" t="s">
        <v>51</v>
      </c>
      <c r="C225" s="1" t="str">
        <f>HYPERLINK("https://new.land.naver.com/complexes/13922", "클릭")</f>
        <v>클릭</v>
      </c>
      <c r="D225">
        <v>1981</v>
      </c>
      <c r="E225">
        <v>9</v>
      </c>
      <c r="F225">
        <v>912</v>
      </c>
      <c r="G225">
        <v>59</v>
      </c>
      <c r="H225" t="s">
        <v>136</v>
      </c>
      <c r="I225" t="s">
        <v>236</v>
      </c>
      <c r="J225" t="s">
        <v>257</v>
      </c>
      <c r="K225">
        <v>69500</v>
      </c>
      <c r="P225">
        <v>96000</v>
      </c>
      <c r="Q225" s="2">
        <v>-0.27604166666666669</v>
      </c>
      <c r="R225">
        <v>34900</v>
      </c>
      <c r="S225" s="2">
        <v>1.9914040114613181</v>
      </c>
      <c r="W225" t="s">
        <v>198</v>
      </c>
    </row>
    <row r="226" spans="1:23" x14ac:dyDescent="0.3">
      <c r="A226" t="s">
        <v>30</v>
      </c>
      <c r="B226" t="s">
        <v>66</v>
      </c>
      <c r="C226" s="1" t="str">
        <f>HYPERLINK("https://new.land.naver.com/complexes/8194", "클릭")</f>
        <v>클릭</v>
      </c>
      <c r="D226">
        <v>2004</v>
      </c>
      <c r="E226">
        <v>11</v>
      </c>
      <c r="F226">
        <v>862</v>
      </c>
      <c r="G226">
        <v>59</v>
      </c>
      <c r="H226" t="s">
        <v>135</v>
      </c>
      <c r="I226" t="s">
        <v>137</v>
      </c>
      <c r="J226" t="s">
        <v>258</v>
      </c>
      <c r="K226">
        <v>69000</v>
      </c>
      <c r="L226" t="s">
        <v>258</v>
      </c>
      <c r="M226">
        <v>40000</v>
      </c>
      <c r="N226">
        <v>29000</v>
      </c>
      <c r="O226" s="2">
        <v>0.57971014492753625</v>
      </c>
      <c r="P226">
        <v>79500</v>
      </c>
      <c r="Q226" s="2">
        <v>-0.13207547169811321</v>
      </c>
      <c r="R226">
        <v>39800</v>
      </c>
      <c r="S226" s="2">
        <v>1.733668341708543</v>
      </c>
      <c r="W226" t="s">
        <v>198</v>
      </c>
    </row>
    <row r="227" spans="1:23" x14ac:dyDescent="0.3">
      <c r="A227" t="s">
        <v>29</v>
      </c>
      <c r="B227" t="s">
        <v>312</v>
      </c>
      <c r="C227" s="1" t="str">
        <f>HYPERLINK("https://new.land.naver.com/complexes/118693", "클릭")</f>
        <v>클릭</v>
      </c>
      <c r="D227">
        <v>2017</v>
      </c>
      <c r="E227">
        <v>11</v>
      </c>
      <c r="F227">
        <v>29</v>
      </c>
      <c r="G227">
        <v>129</v>
      </c>
      <c r="H227" t="s">
        <v>135</v>
      </c>
      <c r="I227" t="s">
        <v>554</v>
      </c>
      <c r="J227" t="s">
        <v>623</v>
      </c>
      <c r="K227">
        <v>69000</v>
      </c>
      <c r="L227" t="s">
        <v>623</v>
      </c>
      <c r="M227">
        <v>36000</v>
      </c>
      <c r="N227">
        <v>33000</v>
      </c>
      <c r="O227" s="2">
        <v>0.52173913043478259</v>
      </c>
      <c r="R227">
        <v>44700</v>
      </c>
      <c r="S227" s="2">
        <v>1.5436241610738251</v>
      </c>
      <c r="W227" t="s">
        <v>198</v>
      </c>
    </row>
    <row r="228" spans="1:23" x14ac:dyDescent="0.3">
      <c r="A228" t="s">
        <v>28</v>
      </c>
      <c r="B228" t="s">
        <v>79</v>
      </c>
      <c r="C228" s="1" t="str">
        <f>HYPERLINK("https://new.land.naver.com/complexes/1474", "클릭")</f>
        <v>클릭</v>
      </c>
      <c r="D228">
        <v>1992</v>
      </c>
      <c r="E228">
        <v>9</v>
      </c>
      <c r="F228">
        <v>458</v>
      </c>
      <c r="G228">
        <v>84</v>
      </c>
      <c r="H228" t="s">
        <v>135</v>
      </c>
      <c r="I228" t="s">
        <v>137</v>
      </c>
      <c r="J228" t="s">
        <v>163</v>
      </c>
      <c r="K228">
        <v>68000</v>
      </c>
      <c r="L228" t="s">
        <v>163</v>
      </c>
      <c r="M228">
        <v>44000</v>
      </c>
      <c r="N228">
        <v>24000</v>
      </c>
      <c r="O228" s="2">
        <v>0.6470588235294118</v>
      </c>
      <c r="P228">
        <v>87000</v>
      </c>
      <c r="Q228" s="2">
        <v>-0.21839080459770119</v>
      </c>
      <c r="R228">
        <v>42600</v>
      </c>
      <c r="S228" s="2">
        <v>1.596244131455399</v>
      </c>
      <c r="W228" t="s">
        <v>198</v>
      </c>
    </row>
    <row r="229" spans="1:23" x14ac:dyDescent="0.3">
      <c r="A229" t="s">
        <v>28</v>
      </c>
      <c r="B229" t="s">
        <v>72</v>
      </c>
      <c r="C229" s="1" t="str">
        <f>HYPERLINK("https://new.land.naver.com/complexes/3081", "클릭")</f>
        <v>클릭</v>
      </c>
      <c r="D229">
        <v>2002</v>
      </c>
      <c r="E229">
        <v>11</v>
      </c>
      <c r="F229">
        <v>604</v>
      </c>
      <c r="G229">
        <v>59</v>
      </c>
      <c r="H229" t="s">
        <v>135</v>
      </c>
      <c r="I229" t="s">
        <v>137</v>
      </c>
      <c r="J229" t="s">
        <v>259</v>
      </c>
      <c r="K229">
        <v>68000</v>
      </c>
      <c r="L229" t="s">
        <v>259</v>
      </c>
      <c r="M229">
        <v>40000</v>
      </c>
      <c r="N229">
        <v>28000</v>
      </c>
      <c r="O229" s="2">
        <v>0.58823529411764708</v>
      </c>
      <c r="P229">
        <v>72800</v>
      </c>
      <c r="Q229" s="2">
        <v>-6.5934065934065936E-2</v>
      </c>
      <c r="R229">
        <v>39000</v>
      </c>
      <c r="S229" s="2">
        <v>1.7435897435897441</v>
      </c>
      <c r="W229" t="s">
        <v>198</v>
      </c>
    </row>
    <row r="230" spans="1:23" x14ac:dyDescent="0.3">
      <c r="A230" t="s">
        <v>31</v>
      </c>
      <c r="B230" t="s">
        <v>295</v>
      </c>
      <c r="C230" s="1" t="str">
        <f>HYPERLINK("https://new.land.naver.com/complexes/13918", "클릭")</f>
        <v>클릭</v>
      </c>
      <c r="D230">
        <v>1988</v>
      </c>
      <c r="E230">
        <v>6</v>
      </c>
      <c r="F230">
        <v>126</v>
      </c>
      <c r="G230">
        <v>55</v>
      </c>
      <c r="H230" t="s">
        <v>135</v>
      </c>
      <c r="I230" t="s">
        <v>235</v>
      </c>
      <c r="J230" t="s">
        <v>460</v>
      </c>
      <c r="K230">
        <v>68000</v>
      </c>
      <c r="R230">
        <v>44200</v>
      </c>
      <c r="S230" s="2">
        <v>1.538461538461539</v>
      </c>
      <c r="W230" t="s">
        <v>198</v>
      </c>
    </row>
    <row r="231" spans="1:23" x14ac:dyDescent="0.3">
      <c r="A231" t="s">
        <v>31</v>
      </c>
      <c r="B231" t="s">
        <v>55</v>
      </c>
      <c r="C231" s="1" t="str">
        <f>HYPERLINK("https://new.land.naver.com/complexes/3075", "클릭")</f>
        <v>클릭</v>
      </c>
      <c r="D231">
        <v>1992</v>
      </c>
      <c r="E231">
        <v>6</v>
      </c>
      <c r="F231">
        <v>502</v>
      </c>
      <c r="G231">
        <v>64</v>
      </c>
      <c r="H231" t="s">
        <v>136</v>
      </c>
      <c r="I231" t="s">
        <v>138</v>
      </c>
      <c r="J231" t="s">
        <v>358</v>
      </c>
      <c r="K231">
        <v>68000</v>
      </c>
      <c r="L231" t="s">
        <v>358</v>
      </c>
      <c r="M231">
        <v>37000</v>
      </c>
      <c r="N231">
        <v>31000</v>
      </c>
      <c r="O231" s="2">
        <v>0.54411764705882348</v>
      </c>
      <c r="R231">
        <v>37600</v>
      </c>
      <c r="S231" s="2">
        <v>1.808510638297872</v>
      </c>
      <c r="W231" t="s">
        <v>198</v>
      </c>
    </row>
    <row r="232" spans="1:23" x14ac:dyDescent="0.3">
      <c r="A232" t="s">
        <v>28</v>
      </c>
      <c r="B232" t="s">
        <v>91</v>
      </c>
      <c r="C232" s="1" t="str">
        <f>HYPERLINK("https://new.land.naver.com/complexes/8036", "클릭")</f>
        <v>클릭</v>
      </c>
      <c r="D232">
        <v>2003</v>
      </c>
      <c r="E232">
        <v>12</v>
      </c>
      <c r="F232">
        <v>1752</v>
      </c>
      <c r="G232">
        <v>97</v>
      </c>
      <c r="H232" t="s">
        <v>135</v>
      </c>
      <c r="I232" t="s">
        <v>137</v>
      </c>
      <c r="J232" t="s">
        <v>586</v>
      </c>
      <c r="K232">
        <v>68000</v>
      </c>
      <c r="L232" t="s">
        <v>586</v>
      </c>
      <c r="M232">
        <v>42000</v>
      </c>
      <c r="N232">
        <v>26000</v>
      </c>
      <c r="O232" s="2">
        <v>0.61764705882352944</v>
      </c>
      <c r="R232">
        <v>43400</v>
      </c>
      <c r="S232" s="2">
        <v>1.566820276497696</v>
      </c>
      <c r="W232" t="s">
        <v>198</v>
      </c>
    </row>
    <row r="233" spans="1:23" x14ac:dyDescent="0.3">
      <c r="A233" t="s">
        <v>31</v>
      </c>
      <c r="B233" t="s">
        <v>80</v>
      </c>
      <c r="C233" s="1" t="str">
        <f>HYPERLINK("https://new.land.naver.com/complexes/3076", "클릭")</f>
        <v>클릭</v>
      </c>
      <c r="D233">
        <v>1992</v>
      </c>
      <c r="E233">
        <v>11</v>
      </c>
      <c r="F233">
        <v>1800</v>
      </c>
      <c r="G233">
        <v>84</v>
      </c>
      <c r="H233" t="s">
        <v>135</v>
      </c>
      <c r="I233" t="s">
        <v>137</v>
      </c>
      <c r="J233" t="s">
        <v>170</v>
      </c>
      <c r="K233">
        <v>68000</v>
      </c>
      <c r="L233" t="s">
        <v>170</v>
      </c>
      <c r="M233">
        <v>37000</v>
      </c>
      <c r="N233">
        <v>31000</v>
      </c>
      <c r="O233" s="2">
        <v>0.54411764705882348</v>
      </c>
      <c r="P233">
        <v>94000</v>
      </c>
      <c r="Q233" s="2">
        <v>-0.27659574468085107</v>
      </c>
      <c r="R233">
        <v>41800</v>
      </c>
      <c r="S233" s="2">
        <v>1.626794258373206</v>
      </c>
      <c r="W233" t="s">
        <v>198</v>
      </c>
    </row>
    <row r="234" spans="1:23" x14ac:dyDescent="0.3">
      <c r="A234" t="s">
        <v>29</v>
      </c>
      <c r="B234" t="s">
        <v>298</v>
      </c>
      <c r="C234" s="1" t="str">
        <f>HYPERLINK("https://new.land.naver.com/complexes/23128", "클릭")</f>
        <v>클릭</v>
      </c>
      <c r="D234">
        <v>1979</v>
      </c>
      <c r="E234">
        <v>11</v>
      </c>
      <c r="F234">
        <v>48</v>
      </c>
      <c r="G234">
        <v>82</v>
      </c>
      <c r="H234" t="s">
        <v>135</v>
      </c>
      <c r="I234" t="s">
        <v>137</v>
      </c>
      <c r="J234" t="s">
        <v>359</v>
      </c>
      <c r="K234">
        <v>68000</v>
      </c>
      <c r="L234" t="s">
        <v>359</v>
      </c>
      <c r="M234">
        <v>25000</v>
      </c>
      <c r="N234">
        <v>43000</v>
      </c>
      <c r="O234" s="2">
        <v>0.36764705882352938</v>
      </c>
      <c r="W234" t="s">
        <v>391</v>
      </c>
    </row>
    <row r="235" spans="1:23" x14ac:dyDescent="0.3">
      <c r="A235" t="s">
        <v>31</v>
      </c>
      <c r="B235" t="s">
        <v>81</v>
      </c>
      <c r="C235" s="1" t="str">
        <f>HYPERLINK("https://new.land.naver.com/complexes/3079", "클릭")</f>
        <v>클릭</v>
      </c>
      <c r="D235">
        <v>2003</v>
      </c>
      <c r="E235">
        <v>12</v>
      </c>
      <c r="F235">
        <v>3806</v>
      </c>
      <c r="G235">
        <v>84</v>
      </c>
      <c r="H235" t="s">
        <v>135</v>
      </c>
      <c r="I235" t="s">
        <v>137</v>
      </c>
      <c r="J235" t="s">
        <v>160</v>
      </c>
      <c r="K235">
        <v>68000</v>
      </c>
      <c r="L235" t="s">
        <v>160</v>
      </c>
      <c r="M235">
        <v>40000</v>
      </c>
      <c r="N235">
        <v>28000</v>
      </c>
      <c r="O235" s="2">
        <v>0.58823529411764708</v>
      </c>
      <c r="P235">
        <v>95000</v>
      </c>
      <c r="Q235" s="2">
        <v>-0.28421052631578952</v>
      </c>
      <c r="R235">
        <v>44000</v>
      </c>
      <c r="S235" s="2">
        <v>1.545454545454545</v>
      </c>
      <c r="W235" t="s">
        <v>198</v>
      </c>
    </row>
    <row r="236" spans="1:23" x14ac:dyDescent="0.3">
      <c r="A236" t="s">
        <v>31</v>
      </c>
      <c r="B236" t="s">
        <v>417</v>
      </c>
      <c r="C236" s="1" t="str">
        <f>HYPERLINK("https://new.land.naver.com/complexes/24918", "클릭")</f>
        <v>클릭</v>
      </c>
      <c r="D236">
        <v>1988</v>
      </c>
      <c r="E236">
        <v>11</v>
      </c>
      <c r="F236">
        <v>20</v>
      </c>
      <c r="G236">
        <v>49</v>
      </c>
      <c r="H236" t="s">
        <v>135</v>
      </c>
      <c r="I236" t="s">
        <v>137</v>
      </c>
      <c r="J236" t="s">
        <v>461</v>
      </c>
      <c r="K236">
        <v>68000</v>
      </c>
      <c r="L236" t="s">
        <v>461</v>
      </c>
      <c r="M236">
        <v>16000</v>
      </c>
      <c r="N236">
        <v>52000</v>
      </c>
      <c r="O236" s="2">
        <v>0.23529411764705879</v>
      </c>
      <c r="R236">
        <v>34400</v>
      </c>
      <c r="S236" s="2">
        <v>1.976744186046512</v>
      </c>
      <c r="W236" t="s">
        <v>198</v>
      </c>
    </row>
    <row r="237" spans="1:23" x14ac:dyDescent="0.3">
      <c r="A237" t="s">
        <v>29</v>
      </c>
      <c r="B237" t="s">
        <v>218</v>
      </c>
      <c r="C237" s="1" t="str">
        <f>HYPERLINK("https://new.land.naver.com/complexes/153038", "클릭")</f>
        <v>클릭</v>
      </c>
      <c r="D237">
        <v>2022</v>
      </c>
      <c r="E237">
        <v>10</v>
      </c>
      <c r="F237">
        <v>15</v>
      </c>
      <c r="G237">
        <v>61</v>
      </c>
      <c r="H237" t="s">
        <v>135</v>
      </c>
      <c r="I237" t="s">
        <v>137</v>
      </c>
      <c r="J237" t="s">
        <v>340</v>
      </c>
      <c r="K237">
        <v>67900</v>
      </c>
      <c r="L237" t="s">
        <v>340</v>
      </c>
      <c r="M237">
        <v>42000</v>
      </c>
      <c r="N237">
        <v>25900</v>
      </c>
      <c r="O237" s="2">
        <v>0.61855670103092786</v>
      </c>
      <c r="W237" t="s">
        <v>198</v>
      </c>
    </row>
    <row r="238" spans="1:23" x14ac:dyDescent="0.3">
      <c r="A238" t="s">
        <v>30</v>
      </c>
      <c r="B238" t="s">
        <v>54</v>
      </c>
      <c r="C238" s="1" t="str">
        <f>HYPERLINK("https://new.land.naver.com/complexes/1479", "클릭")</f>
        <v>클릭</v>
      </c>
      <c r="D238">
        <v>1992</v>
      </c>
      <c r="E238">
        <v>8</v>
      </c>
      <c r="F238">
        <v>368</v>
      </c>
      <c r="G238">
        <v>59</v>
      </c>
      <c r="H238" t="s">
        <v>135</v>
      </c>
      <c r="I238" t="s">
        <v>138</v>
      </c>
      <c r="J238" t="s">
        <v>245</v>
      </c>
      <c r="K238">
        <v>67500</v>
      </c>
      <c r="L238" t="s">
        <v>245</v>
      </c>
      <c r="M238">
        <v>40000</v>
      </c>
      <c r="N238">
        <v>27500</v>
      </c>
      <c r="O238" s="2">
        <v>0.59259259259259256</v>
      </c>
      <c r="P238">
        <v>81700</v>
      </c>
      <c r="Q238" s="2">
        <v>-0.1738066095471236</v>
      </c>
      <c r="R238">
        <v>40300</v>
      </c>
      <c r="S238" s="2">
        <v>1.6749379652605461</v>
      </c>
      <c r="W238" t="s">
        <v>198</v>
      </c>
    </row>
    <row r="239" spans="1:23" x14ac:dyDescent="0.3">
      <c r="A239" t="s">
        <v>30</v>
      </c>
      <c r="B239" t="s">
        <v>60</v>
      </c>
      <c r="C239" s="1" t="str">
        <f>HYPERLINK("https://new.land.naver.com/complexes/1478", "클릭")</f>
        <v>클릭</v>
      </c>
      <c r="D239">
        <v>1993</v>
      </c>
      <c r="E239">
        <v>10</v>
      </c>
      <c r="F239">
        <v>656</v>
      </c>
      <c r="G239">
        <v>59</v>
      </c>
      <c r="H239" t="s">
        <v>135</v>
      </c>
      <c r="I239" t="s">
        <v>138</v>
      </c>
      <c r="J239" t="s">
        <v>250</v>
      </c>
      <c r="K239">
        <v>67000</v>
      </c>
      <c r="L239" t="s">
        <v>250</v>
      </c>
      <c r="M239">
        <v>39000</v>
      </c>
      <c r="N239">
        <v>28000</v>
      </c>
      <c r="O239" s="2">
        <v>0.58208955223880599</v>
      </c>
      <c r="P239">
        <v>80000</v>
      </c>
      <c r="Q239" s="2">
        <v>-0.16250000000000001</v>
      </c>
      <c r="R239">
        <v>41900</v>
      </c>
      <c r="S239" s="2">
        <v>1.599045346062052</v>
      </c>
      <c r="W239" t="s">
        <v>198</v>
      </c>
    </row>
    <row r="240" spans="1:23" x14ac:dyDescent="0.3">
      <c r="A240" t="s">
        <v>31</v>
      </c>
      <c r="B240" t="s">
        <v>51</v>
      </c>
      <c r="C240" s="1" t="str">
        <f>HYPERLINK("https://new.land.naver.com/complexes/13922", "클릭")</f>
        <v>클릭</v>
      </c>
      <c r="D240">
        <v>1981</v>
      </c>
      <c r="E240">
        <v>9</v>
      </c>
      <c r="F240">
        <v>912</v>
      </c>
      <c r="G240">
        <v>56</v>
      </c>
      <c r="H240" t="s">
        <v>136</v>
      </c>
      <c r="I240" t="s">
        <v>138</v>
      </c>
      <c r="J240" t="s">
        <v>462</v>
      </c>
      <c r="K240">
        <v>67000</v>
      </c>
      <c r="P240">
        <v>96000</v>
      </c>
      <c r="Q240" s="2">
        <v>-0.30208333333333331</v>
      </c>
      <c r="R240">
        <v>34600</v>
      </c>
      <c r="S240" s="2">
        <v>1.9364161849710979</v>
      </c>
      <c r="W240" t="s">
        <v>198</v>
      </c>
    </row>
    <row r="241" spans="1:23" x14ac:dyDescent="0.3">
      <c r="A241" t="s">
        <v>28</v>
      </c>
      <c r="B241" t="s">
        <v>90</v>
      </c>
      <c r="C241" s="1" t="str">
        <f>HYPERLINK("https://new.land.naver.com/complexes/3082", "클릭")</f>
        <v>클릭</v>
      </c>
      <c r="D241">
        <v>2003</v>
      </c>
      <c r="E241">
        <v>11</v>
      </c>
      <c r="F241">
        <v>1977</v>
      </c>
      <c r="G241">
        <v>98</v>
      </c>
      <c r="H241" t="s">
        <v>135</v>
      </c>
      <c r="I241" t="s">
        <v>139</v>
      </c>
      <c r="J241" t="s">
        <v>594</v>
      </c>
      <c r="K241">
        <v>67000</v>
      </c>
      <c r="L241" t="s">
        <v>594</v>
      </c>
      <c r="M241">
        <v>39000</v>
      </c>
      <c r="N241">
        <v>28000</v>
      </c>
      <c r="O241" s="2">
        <v>0.58208955223880599</v>
      </c>
      <c r="R241">
        <v>41400</v>
      </c>
      <c r="S241" s="2">
        <v>1.618357487922705</v>
      </c>
      <c r="W241" t="s">
        <v>198</v>
      </c>
    </row>
    <row r="242" spans="1:23" x14ac:dyDescent="0.3">
      <c r="A242" t="s">
        <v>28</v>
      </c>
      <c r="B242" t="s">
        <v>65</v>
      </c>
      <c r="C242" s="1" t="str">
        <f>HYPERLINK("https://new.land.naver.com/complexes/19492", "클릭")</f>
        <v>클릭</v>
      </c>
      <c r="D242">
        <v>1992</v>
      </c>
      <c r="E242">
        <v>12</v>
      </c>
      <c r="F242">
        <v>800</v>
      </c>
      <c r="G242">
        <v>79</v>
      </c>
      <c r="H242" t="s">
        <v>135</v>
      </c>
      <c r="I242" t="s">
        <v>137</v>
      </c>
      <c r="J242" t="s">
        <v>181</v>
      </c>
      <c r="K242">
        <v>67000</v>
      </c>
      <c r="L242" t="s">
        <v>181</v>
      </c>
      <c r="M242">
        <v>45000</v>
      </c>
      <c r="N242">
        <v>22000</v>
      </c>
      <c r="O242" s="2">
        <v>0.67164179104477617</v>
      </c>
      <c r="R242">
        <v>40800</v>
      </c>
      <c r="S242" s="2">
        <v>1.642156862745098</v>
      </c>
      <c r="W242" t="s">
        <v>392</v>
      </c>
    </row>
    <row r="243" spans="1:23" x14ac:dyDescent="0.3">
      <c r="A243" t="s">
        <v>29</v>
      </c>
      <c r="B243" t="s">
        <v>82</v>
      </c>
      <c r="C243" s="1" t="str">
        <f>HYPERLINK("https://new.land.naver.com/complexes/24012", "클릭")</f>
        <v>클릭</v>
      </c>
      <c r="D243">
        <v>2001</v>
      </c>
      <c r="E243">
        <v>7</v>
      </c>
      <c r="F243">
        <v>34</v>
      </c>
      <c r="G243">
        <v>84</v>
      </c>
      <c r="H243" t="s">
        <v>135</v>
      </c>
      <c r="I243" t="s">
        <v>137</v>
      </c>
      <c r="J243" t="s">
        <v>171</v>
      </c>
      <c r="K243">
        <v>67000</v>
      </c>
      <c r="L243" t="s">
        <v>171</v>
      </c>
      <c r="M243">
        <v>40000</v>
      </c>
      <c r="N243">
        <v>27000</v>
      </c>
      <c r="O243" s="2">
        <v>0.59701492537313428</v>
      </c>
      <c r="P243">
        <v>59000</v>
      </c>
      <c r="Q243" s="2">
        <v>0.13559322033898311</v>
      </c>
      <c r="R243">
        <v>33400</v>
      </c>
      <c r="S243" s="2">
        <v>2.0059880239520962</v>
      </c>
      <c r="W243" t="s">
        <v>198</v>
      </c>
    </row>
    <row r="244" spans="1:23" x14ac:dyDescent="0.3">
      <c r="A244" t="s">
        <v>29</v>
      </c>
      <c r="B244" t="s">
        <v>299</v>
      </c>
      <c r="C244" s="1" t="str">
        <f>HYPERLINK("https://new.land.naver.com/complexes/153342", "클릭")</f>
        <v>클릭</v>
      </c>
      <c r="D244">
        <v>2022</v>
      </c>
      <c r="E244">
        <v>10</v>
      </c>
      <c r="F244">
        <v>18</v>
      </c>
      <c r="G244">
        <v>81</v>
      </c>
      <c r="H244" t="s">
        <v>135</v>
      </c>
      <c r="I244" t="s">
        <v>137</v>
      </c>
      <c r="J244" t="s">
        <v>360</v>
      </c>
      <c r="K244">
        <v>66000</v>
      </c>
      <c r="L244" t="s">
        <v>360</v>
      </c>
      <c r="M244">
        <v>38000</v>
      </c>
      <c r="N244">
        <v>28000</v>
      </c>
      <c r="O244" s="2">
        <v>0.5757575757575758</v>
      </c>
      <c r="R244">
        <v>32000</v>
      </c>
      <c r="S244" s="2">
        <v>2.0625</v>
      </c>
      <c r="W244" t="s">
        <v>393</v>
      </c>
    </row>
    <row r="245" spans="1:23" x14ac:dyDescent="0.3">
      <c r="A245" t="s">
        <v>31</v>
      </c>
      <c r="B245" t="s">
        <v>215</v>
      </c>
      <c r="C245" s="1" t="str">
        <f>HYPERLINK("https://new.land.naver.com/complexes/127903", "클릭")</f>
        <v>클릭</v>
      </c>
      <c r="D245">
        <v>2022</v>
      </c>
      <c r="E245">
        <v>4</v>
      </c>
      <c r="F245">
        <v>303</v>
      </c>
      <c r="G245">
        <v>59</v>
      </c>
      <c r="H245" t="s">
        <v>135</v>
      </c>
      <c r="I245" t="s">
        <v>137</v>
      </c>
      <c r="J245" t="s">
        <v>260</v>
      </c>
      <c r="K245">
        <v>66000</v>
      </c>
      <c r="L245" t="s">
        <v>260</v>
      </c>
      <c r="M245">
        <v>42000</v>
      </c>
      <c r="N245">
        <v>24000</v>
      </c>
      <c r="O245" s="2">
        <v>0.63636363636363635</v>
      </c>
      <c r="P245">
        <v>59500</v>
      </c>
      <c r="Q245" s="2">
        <v>0.1092436974789916</v>
      </c>
      <c r="R245">
        <v>38400</v>
      </c>
      <c r="S245" s="2">
        <v>1.71875</v>
      </c>
      <c r="W245" t="s">
        <v>198</v>
      </c>
    </row>
    <row r="246" spans="1:23" x14ac:dyDescent="0.3">
      <c r="A246" t="s">
        <v>29</v>
      </c>
      <c r="B246" t="s">
        <v>62</v>
      </c>
      <c r="C246" s="1" t="str">
        <f>HYPERLINK("https://new.land.naver.com/complexes/3001", "클릭")</f>
        <v>클릭</v>
      </c>
      <c r="D246">
        <v>1995</v>
      </c>
      <c r="E246">
        <v>5</v>
      </c>
      <c r="F246">
        <v>952</v>
      </c>
      <c r="G246">
        <v>59</v>
      </c>
      <c r="H246" t="s">
        <v>136</v>
      </c>
      <c r="I246" t="s">
        <v>138</v>
      </c>
      <c r="J246" t="s">
        <v>258</v>
      </c>
      <c r="K246">
        <v>65500</v>
      </c>
      <c r="L246" t="s">
        <v>258</v>
      </c>
      <c r="M246">
        <v>28500</v>
      </c>
      <c r="N246">
        <v>37000</v>
      </c>
      <c r="O246" s="2">
        <v>0.4351145038167939</v>
      </c>
      <c r="P246">
        <v>67000</v>
      </c>
      <c r="Q246" s="2">
        <v>-2.2388059701492539E-2</v>
      </c>
      <c r="R246">
        <v>37200</v>
      </c>
      <c r="S246" s="2">
        <v>1.760752688172043</v>
      </c>
      <c r="W246" t="s">
        <v>198</v>
      </c>
    </row>
    <row r="247" spans="1:23" x14ac:dyDescent="0.3">
      <c r="A247" t="s">
        <v>31</v>
      </c>
      <c r="B247" t="s">
        <v>53</v>
      </c>
      <c r="C247" s="1" t="str">
        <f>HYPERLINK("https://new.land.naver.com/complexes/1467", "클릭")</f>
        <v>클릭</v>
      </c>
      <c r="D247">
        <v>1992</v>
      </c>
      <c r="E247">
        <v>5</v>
      </c>
      <c r="F247">
        <v>620</v>
      </c>
      <c r="G247">
        <v>55</v>
      </c>
      <c r="H247" t="s">
        <v>136</v>
      </c>
      <c r="I247" t="s">
        <v>235</v>
      </c>
      <c r="J247" t="s">
        <v>385</v>
      </c>
      <c r="K247">
        <v>65000</v>
      </c>
      <c r="L247" t="s">
        <v>385</v>
      </c>
      <c r="M247">
        <v>32000</v>
      </c>
      <c r="N247">
        <v>33000</v>
      </c>
      <c r="O247" s="2">
        <v>0.49230769230769228</v>
      </c>
      <c r="R247">
        <v>35800</v>
      </c>
      <c r="S247" s="2">
        <v>1.815642458100559</v>
      </c>
      <c r="W247" t="s">
        <v>198</v>
      </c>
    </row>
    <row r="248" spans="1:23" x14ac:dyDescent="0.3">
      <c r="A248" t="s">
        <v>28</v>
      </c>
      <c r="B248" t="s">
        <v>52</v>
      </c>
      <c r="C248" s="1" t="str">
        <f>HYPERLINK("https://new.land.naver.com/complexes/1472", "클릭")</f>
        <v>클릭</v>
      </c>
      <c r="D248">
        <v>1992</v>
      </c>
      <c r="E248">
        <v>8</v>
      </c>
      <c r="F248">
        <v>438</v>
      </c>
      <c r="G248">
        <v>59</v>
      </c>
      <c r="H248" t="s">
        <v>135</v>
      </c>
      <c r="I248" t="s">
        <v>138</v>
      </c>
      <c r="J248" t="s">
        <v>248</v>
      </c>
      <c r="K248">
        <v>65000</v>
      </c>
      <c r="L248" t="s">
        <v>248</v>
      </c>
      <c r="M248">
        <v>40000</v>
      </c>
      <c r="N248">
        <v>25000</v>
      </c>
      <c r="O248" s="2">
        <v>0.61538461538461542</v>
      </c>
      <c r="P248">
        <v>74000</v>
      </c>
      <c r="Q248" s="2">
        <v>-0.1216216216216216</v>
      </c>
      <c r="R248">
        <v>36500</v>
      </c>
      <c r="S248" s="2">
        <v>1.780821917808219</v>
      </c>
      <c r="W248" t="s">
        <v>198</v>
      </c>
    </row>
    <row r="249" spans="1:23" x14ac:dyDescent="0.3">
      <c r="A249" t="s">
        <v>28</v>
      </c>
      <c r="B249" t="s">
        <v>79</v>
      </c>
      <c r="C249" s="1" t="str">
        <f>HYPERLINK("https://new.land.naver.com/complexes/1474", "클릭")</f>
        <v>클릭</v>
      </c>
      <c r="D249">
        <v>1992</v>
      </c>
      <c r="E249">
        <v>9</v>
      </c>
      <c r="F249">
        <v>458</v>
      </c>
      <c r="G249">
        <v>76</v>
      </c>
      <c r="H249" t="s">
        <v>135</v>
      </c>
      <c r="I249" t="s">
        <v>137</v>
      </c>
      <c r="J249" t="s">
        <v>361</v>
      </c>
      <c r="K249">
        <v>65000</v>
      </c>
      <c r="L249" t="s">
        <v>361</v>
      </c>
      <c r="M249">
        <v>38000</v>
      </c>
      <c r="N249">
        <v>27000</v>
      </c>
      <c r="O249" s="2">
        <v>0.58461538461538465</v>
      </c>
      <c r="R249">
        <v>38700</v>
      </c>
      <c r="S249" s="2">
        <v>1.679586563307494</v>
      </c>
      <c r="W249" t="s">
        <v>198</v>
      </c>
    </row>
    <row r="250" spans="1:23" x14ac:dyDescent="0.3">
      <c r="A250" t="s">
        <v>28</v>
      </c>
      <c r="B250" t="s">
        <v>98</v>
      </c>
      <c r="C250" s="1" t="str">
        <f>HYPERLINK("https://new.land.naver.com/complexes/10509", "클릭")</f>
        <v>클릭</v>
      </c>
      <c r="D250">
        <v>2004</v>
      </c>
      <c r="E250">
        <v>12</v>
      </c>
      <c r="F250">
        <v>361</v>
      </c>
      <c r="G250">
        <v>103</v>
      </c>
      <c r="H250" t="s">
        <v>135</v>
      </c>
      <c r="I250" t="s">
        <v>137</v>
      </c>
      <c r="J250" t="s">
        <v>591</v>
      </c>
      <c r="K250">
        <v>65000</v>
      </c>
      <c r="L250" t="s">
        <v>591</v>
      </c>
      <c r="M250">
        <v>39500</v>
      </c>
      <c r="N250">
        <v>25500</v>
      </c>
      <c r="O250" s="2">
        <v>0.60769230769230764</v>
      </c>
      <c r="R250">
        <v>39800</v>
      </c>
      <c r="S250" s="2">
        <v>1.6331658291457289</v>
      </c>
      <c r="W250" t="s">
        <v>198</v>
      </c>
    </row>
    <row r="251" spans="1:23" x14ac:dyDescent="0.3">
      <c r="A251" t="s">
        <v>29</v>
      </c>
      <c r="B251" t="s">
        <v>83</v>
      </c>
      <c r="C251" s="1" t="str">
        <f>HYPERLINK("https://new.land.naver.com/complexes/25883", "클릭")</f>
        <v>클릭</v>
      </c>
      <c r="D251">
        <v>2007</v>
      </c>
      <c r="E251">
        <v>5</v>
      </c>
      <c r="F251">
        <v>80</v>
      </c>
      <c r="G251">
        <v>84</v>
      </c>
      <c r="H251" t="s">
        <v>135</v>
      </c>
      <c r="I251" t="s">
        <v>137</v>
      </c>
      <c r="J251" t="s">
        <v>147</v>
      </c>
      <c r="K251">
        <v>65000</v>
      </c>
      <c r="L251" t="s">
        <v>147</v>
      </c>
      <c r="M251">
        <v>43000</v>
      </c>
      <c r="N251">
        <v>22000</v>
      </c>
      <c r="O251" s="2">
        <v>0.66153846153846152</v>
      </c>
      <c r="P251">
        <v>70000</v>
      </c>
      <c r="Q251" s="2">
        <v>-7.1428571428571425E-2</v>
      </c>
      <c r="R251">
        <v>36700</v>
      </c>
      <c r="S251" s="2">
        <v>1.771117166212534</v>
      </c>
      <c r="W251" t="s">
        <v>201</v>
      </c>
    </row>
    <row r="252" spans="1:23" x14ac:dyDescent="0.3">
      <c r="A252" t="s">
        <v>30</v>
      </c>
      <c r="B252" t="s">
        <v>317</v>
      </c>
      <c r="C252" s="1" t="str">
        <f>HYPERLINK("https://new.land.naver.com/complexes/27012", "클릭")</f>
        <v>클릭</v>
      </c>
      <c r="D252">
        <v>2008</v>
      </c>
      <c r="E252">
        <v>10</v>
      </c>
      <c r="F252">
        <v>41</v>
      </c>
      <c r="G252">
        <v>115</v>
      </c>
      <c r="H252" t="s">
        <v>135</v>
      </c>
      <c r="I252" t="s">
        <v>551</v>
      </c>
      <c r="J252" t="s">
        <v>620</v>
      </c>
      <c r="K252">
        <v>65000</v>
      </c>
      <c r="L252" t="s">
        <v>620</v>
      </c>
      <c r="M252">
        <v>40000</v>
      </c>
      <c r="N252">
        <v>25000</v>
      </c>
      <c r="O252" s="2">
        <v>0.61538461538461542</v>
      </c>
      <c r="R252">
        <v>42300</v>
      </c>
      <c r="S252" s="2">
        <v>1.5366430260047279</v>
      </c>
      <c r="W252" t="s">
        <v>198</v>
      </c>
    </row>
    <row r="253" spans="1:23" x14ac:dyDescent="0.3">
      <c r="A253" t="s">
        <v>31</v>
      </c>
      <c r="B253" t="s">
        <v>84</v>
      </c>
      <c r="C253" s="1" t="str">
        <f>HYPERLINK("https://new.land.naver.com/complexes/22957", "클릭")</f>
        <v>클릭</v>
      </c>
      <c r="D253">
        <v>2007</v>
      </c>
      <c r="E253">
        <v>7</v>
      </c>
      <c r="F253">
        <v>492</v>
      </c>
      <c r="G253">
        <v>84</v>
      </c>
      <c r="H253" t="s">
        <v>135</v>
      </c>
      <c r="I253" t="s">
        <v>137</v>
      </c>
      <c r="J253" t="s">
        <v>146</v>
      </c>
      <c r="K253">
        <v>65000</v>
      </c>
      <c r="L253" t="s">
        <v>146</v>
      </c>
      <c r="M253">
        <v>40000</v>
      </c>
      <c r="N253">
        <v>25000</v>
      </c>
      <c r="O253" s="2">
        <v>0.61538461538461542</v>
      </c>
      <c r="P253">
        <v>80200</v>
      </c>
      <c r="Q253" s="2">
        <v>-0.18952618453865341</v>
      </c>
      <c r="R253">
        <v>40100</v>
      </c>
      <c r="S253" s="2">
        <v>1.6209476309226929</v>
      </c>
      <c r="W253" t="s">
        <v>198</v>
      </c>
    </row>
    <row r="254" spans="1:23" x14ac:dyDescent="0.3">
      <c r="A254" t="s">
        <v>28</v>
      </c>
      <c r="B254" t="s">
        <v>85</v>
      </c>
      <c r="C254" s="1" t="str">
        <f>HYPERLINK("https://new.land.naver.com/complexes/1470", "클릭")</f>
        <v>클릭</v>
      </c>
      <c r="D254">
        <v>1992</v>
      </c>
      <c r="E254">
        <v>9</v>
      </c>
      <c r="F254">
        <v>468</v>
      </c>
      <c r="G254">
        <v>76</v>
      </c>
      <c r="H254" t="s">
        <v>135</v>
      </c>
      <c r="I254" t="s">
        <v>137</v>
      </c>
      <c r="J254" t="s">
        <v>348</v>
      </c>
      <c r="K254">
        <v>65000</v>
      </c>
      <c r="L254" t="s">
        <v>348</v>
      </c>
      <c r="M254">
        <v>38000</v>
      </c>
      <c r="N254">
        <v>27000</v>
      </c>
      <c r="O254" s="2">
        <v>0.58461538461538465</v>
      </c>
      <c r="R254">
        <v>38100</v>
      </c>
      <c r="S254" s="2">
        <v>1.7060367454068239</v>
      </c>
      <c r="W254" t="s">
        <v>198</v>
      </c>
    </row>
    <row r="255" spans="1:23" x14ac:dyDescent="0.3">
      <c r="A255" t="s">
        <v>28</v>
      </c>
      <c r="B255" t="s">
        <v>85</v>
      </c>
      <c r="C255" s="1" t="str">
        <f>HYPERLINK("https://new.land.naver.com/complexes/1470", "클릭")</f>
        <v>클릭</v>
      </c>
      <c r="D255">
        <v>1992</v>
      </c>
      <c r="E255">
        <v>9</v>
      </c>
      <c r="F255">
        <v>468</v>
      </c>
      <c r="G255">
        <v>84</v>
      </c>
      <c r="H255" t="s">
        <v>135</v>
      </c>
      <c r="I255" t="s">
        <v>137</v>
      </c>
      <c r="J255" t="s">
        <v>157</v>
      </c>
      <c r="K255">
        <v>65000</v>
      </c>
      <c r="L255" t="s">
        <v>157</v>
      </c>
      <c r="M255">
        <v>36500</v>
      </c>
      <c r="N255">
        <v>28500</v>
      </c>
      <c r="O255" s="2">
        <v>0.56153846153846154</v>
      </c>
      <c r="P255">
        <v>81700</v>
      </c>
      <c r="Q255" s="2">
        <v>-0.204406364749082</v>
      </c>
      <c r="R255">
        <v>41800</v>
      </c>
      <c r="S255" s="2">
        <v>1.5550239234449761</v>
      </c>
      <c r="W255" t="s">
        <v>198</v>
      </c>
    </row>
    <row r="256" spans="1:23" x14ac:dyDescent="0.3">
      <c r="A256" t="s">
        <v>30</v>
      </c>
      <c r="B256" t="s">
        <v>77</v>
      </c>
      <c r="C256" s="1" t="str">
        <f>HYPERLINK("https://new.land.naver.com/complexes/8193", "클릭")</f>
        <v>클릭</v>
      </c>
      <c r="D256">
        <v>2000</v>
      </c>
      <c r="E256">
        <v>5</v>
      </c>
      <c r="F256">
        <v>535</v>
      </c>
      <c r="G256">
        <v>59</v>
      </c>
      <c r="H256" t="s">
        <v>135</v>
      </c>
      <c r="I256" t="s">
        <v>138</v>
      </c>
      <c r="J256" t="s">
        <v>261</v>
      </c>
      <c r="K256">
        <v>65000</v>
      </c>
      <c r="L256" t="s">
        <v>261</v>
      </c>
      <c r="M256">
        <v>34000</v>
      </c>
      <c r="N256">
        <v>31000</v>
      </c>
      <c r="O256" s="2">
        <v>0.52307692307692311</v>
      </c>
      <c r="P256">
        <v>81800</v>
      </c>
      <c r="Q256" s="2">
        <v>-0.2053789731051345</v>
      </c>
      <c r="W256" t="s">
        <v>198</v>
      </c>
    </row>
    <row r="257" spans="1:23" x14ac:dyDescent="0.3">
      <c r="A257" t="s">
        <v>31</v>
      </c>
      <c r="B257" t="s">
        <v>416</v>
      </c>
      <c r="C257" s="1" t="str">
        <f>HYPERLINK("https://new.land.naver.com/complexes/1988", "클릭")</f>
        <v>클릭</v>
      </c>
      <c r="D257">
        <v>1988</v>
      </c>
      <c r="E257">
        <v>11</v>
      </c>
      <c r="F257">
        <v>80</v>
      </c>
      <c r="G257">
        <v>55</v>
      </c>
      <c r="H257" t="s">
        <v>135</v>
      </c>
      <c r="I257" t="s">
        <v>138</v>
      </c>
      <c r="J257" t="s">
        <v>463</v>
      </c>
      <c r="K257">
        <v>65000</v>
      </c>
      <c r="L257" t="s">
        <v>463</v>
      </c>
      <c r="M257">
        <v>17000</v>
      </c>
      <c r="N257">
        <v>48000</v>
      </c>
      <c r="O257" s="2">
        <v>0.26153846153846161</v>
      </c>
      <c r="R257">
        <v>39600</v>
      </c>
      <c r="S257" s="2">
        <v>1.641414141414141</v>
      </c>
      <c r="W257" t="s">
        <v>198</v>
      </c>
    </row>
    <row r="258" spans="1:23" x14ac:dyDescent="0.3">
      <c r="A258" t="s">
        <v>29</v>
      </c>
      <c r="B258" t="s">
        <v>63</v>
      </c>
      <c r="C258" s="1" t="str">
        <f>HYPERLINK("https://new.land.naver.com/complexes/1461", "클릭")</f>
        <v>클릭</v>
      </c>
      <c r="D258">
        <v>1992</v>
      </c>
      <c r="E258">
        <v>11</v>
      </c>
      <c r="F258">
        <v>436</v>
      </c>
      <c r="G258">
        <v>59</v>
      </c>
      <c r="H258" t="s">
        <v>135</v>
      </c>
      <c r="I258" t="s">
        <v>138</v>
      </c>
      <c r="J258" t="s">
        <v>254</v>
      </c>
      <c r="K258">
        <v>65000</v>
      </c>
      <c r="L258" t="s">
        <v>254</v>
      </c>
      <c r="M258">
        <v>37000</v>
      </c>
      <c r="N258">
        <v>28000</v>
      </c>
      <c r="O258" s="2">
        <v>0.56923076923076921</v>
      </c>
      <c r="P258">
        <v>72000</v>
      </c>
      <c r="Q258" s="2">
        <v>-9.7222222222222224E-2</v>
      </c>
      <c r="R258">
        <v>38500</v>
      </c>
      <c r="S258" s="2">
        <v>1.688311688311688</v>
      </c>
      <c r="W258" t="s">
        <v>198</v>
      </c>
    </row>
    <row r="259" spans="1:23" x14ac:dyDescent="0.3">
      <c r="A259" t="s">
        <v>29</v>
      </c>
      <c r="B259" t="s">
        <v>300</v>
      </c>
      <c r="C259" s="1" t="str">
        <f>HYPERLINK("https://new.land.naver.com/complexes/13227", "클릭")</f>
        <v>클릭</v>
      </c>
      <c r="D259">
        <v>1984</v>
      </c>
      <c r="E259">
        <v>10</v>
      </c>
      <c r="F259">
        <v>72</v>
      </c>
      <c r="G259">
        <v>62</v>
      </c>
      <c r="H259" t="s">
        <v>135</v>
      </c>
      <c r="I259" t="s">
        <v>138</v>
      </c>
      <c r="J259" t="s">
        <v>272</v>
      </c>
      <c r="K259">
        <v>65000</v>
      </c>
      <c r="L259" t="s">
        <v>272</v>
      </c>
      <c r="M259">
        <v>25000</v>
      </c>
      <c r="N259">
        <v>40000</v>
      </c>
      <c r="O259" s="2">
        <v>0.38461538461538458</v>
      </c>
      <c r="R259">
        <v>38100</v>
      </c>
      <c r="S259" s="2">
        <v>1.7060367454068239</v>
      </c>
      <c r="W259" t="s">
        <v>392</v>
      </c>
    </row>
    <row r="260" spans="1:23" x14ac:dyDescent="0.3">
      <c r="A260" t="s">
        <v>29</v>
      </c>
      <c r="B260" t="s">
        <v>418</v>
      </c>
      <c r="C260" s="1" t="str">
        <f>HYPERLINK("https://new.land.naver.com/complexes/132626", "클릭")</f>
        <v>클릭</v>
      </c>
      <c r="D260">
        <v>2020</v>
      </c>
      <c r="E260">
        <v>6</v>
      </c>
      <c r="F260">
        <v>9</v>
      </c>
      <c r="G260">
        <v>53</v>
      </c>
      <c r="H260" t="s">
        <v>135</v>
      </c>
      <c r="I260" t="s">
        <v>138</v>
      </c>
      <c r="J260" t="s">
        <v>464</v>
      </c>
      <c r="K260">
        <v>65000</v>
      </c>
      <c r="L260" t="s">
        <v>464</v>
      </c>
      <c r="M260">
        <v>44500</v>
      </c>
      <c r="N260">
        <v>20500</v>
      </c>
      <c r="O260" s="2">
        <v>0.68461538461538463</v>
      </c>
      <c r="W260" t="s">
        <v>204</v>
      </c>
    </row>
    <row r="261" spans="1:23" x14ac:dyDescent="0.3">
      <c r="A261" t="s">
        <v>31</v>
      </c>
      <c r="B261" t="s">
        <v>40</v>
      </c>
      <c r="C261" s="1" t="str">
        <f>HYPERLINK("https://new.land.naver.com/complexes/144023", "클릭")</f>
        <v>클릭</v>
      </c>
      <c r="D261">
        <v>2024</v>
      </c>
      <c r="E261">
        <v>6</v>
      </c>
      <c r="F261">
        <v>2739</v>
      </c>
      <c r="G261">
        <v>49</v>
      </c>
      <c r="H261" t="s">
        <v>135</v>
      </c>
      <c r="I261" t="s">
        <v>138</v>
      </c>
      <c r="J261" t="s">
        <v>465</v>
      </c>
      <c r="K261">
        <v>65000</v>
      </c>
      <c r="L261" t="s">
        <v>278</v>
      </c>
      <c r="M261">
        <v>38000</v>
      </c>
      <c r="N261">
        <v>27000</v>
      </c>
      <c r="O261" s="2">
        <v>0.58461538461538465</v>
      </c>
      <c r="W261" t="s">
        <v>198</v>
      </c>
    </row>
    <row r="262" spans="1:23" x14ac:dyDescent="0.3">
      <c r="A262" t="s">
        <v>28</v>
      </c>
      <c r="B262" t="s">
        <v>69</v>
      </c>
      <c r="C262" s="1" t="str">
        <f>HYPERLINK("https://new.land.naver.com/complexes/123900", "클릭")</f>
        <v>클릭</v>
      </c>
      <c r="D262">
        <v>2022</v>
      </c>
      <c r="E262">
        <v>5</v>
      </c>
      <c r="F262">
        <v>855</v>
      </c>
      <c r="G262">
        <v>59</v>
      </c>
      <c r="H262" t="s">
        <v>135</v>
      </c>
      <c r="I262" t="s">
        <v>137</v>
      </c>
      <c r="J262" t="s">
        <v>262</v>
      </c>
      <c r="K262">
        <v>65000</v>
      </c>
      <c r="L262" t="s">
        <v>281</v>
      </c>
      <c r="M262">
        <v>39000</v>
      </c>
      <c r="N262">
        <v>26000</v>
      </c>
      <c r="O262" s="2">
        <v>0.6</v>
      </c>
      <c r="P262">
        <v>84760</v>
      </c>
      <c r="Q262" s="2">
        <v>-0.23312883435582821</v>
      </c>
      <c r="R262">
        <v>38900</v>
      </c>
      <c r="S262" s="2">
        <v>1.670951156812339</v>
      </c>
      <c r="W262" t="s">
        <v>198</v>
      </c>
    </row>
    <row r="263" spans="1:23" x14ac:dyDescent="0.3">
      <c r="A263" t="s">
        <v>28</v>
      </c>
      <c r="B263" t="s">
        <v>547</v>
      </c>
      <c r="C263" s="1" t="str">
        <f>HYPERLINK("https://new.land.naver.com/complexes/24870", "클릭")</f>
        <v>클릭</v>
      </c>
      <c r="D263">
        <v>2008</v>
      </c>
      <c r="E263">
        <v>2</v>
      </c>
      <c r="F263">
        <v>137</v>
      </c>
      <c r="G263">
        <v>176</v>
      </c>
      <c r="H263" t="s">
        <v>135</v>
      </c>
      <c r="I263" t="s">
        <v>139</v>
      </c>
      <c r="J263" t="s">
        <v>624</v>
      </c>
      <c r="K263">
        <v>64500</v>
      </c>
      <c r="L263" t="s">
        <v>624</v>
      </c>
      <c r="M263">
        <v>50000</v>
      </c>
      <c r="N263">
        <v>14500</v>
      </c>
      <c r="O263" s="2">
        <v>0.77519379844961245</v>
      </c>
      <c r="R263">
        <v>40500</v>
      </c>
      <c r="S263" s="2">
        <v>1.592592592592593</v>
      </c>
      <c r="W263" t="s">
        <v>198</v>
      </c>
    </row>
    <row r="264" spans="1:23" x14ac:dyDescent="0.3">
      <c r="A264" t="s">
        <v>28</v>
      </c>
      <c r="B264" t="s">
        <v>216</v>
      </c>
      <c r="C264" s="1" t="str">
        <f>HYPERLINK("https://new.land.naver.com/complexes/3015", "클릭")</f>
        <v>클릭</v>
      </c>
      <c r="D264">
        <v>1992</v>
      </c>
      <c r="E264">
        <v>3</v>
      </c>
      <c r="F264">
        <v>994</v>
      </c>
      <c r="G264">
        <v>58</v>
      </c>
      <c r="H264" t="s">
        <v>136</v>
      </c>
      <c r="I264" t="s">
        <v>235</v>
      </c>
      <c r="J264" t="s">
        <v>250</v>
      </c>
      <c r="K264">
        <v>64000</v>
      </c>
      <c r="L264" t="s">
        <v>250</v>
      </c>
      <c r="M264">
        <v>23000</v>
      </c>
      <c r="N264">
        <v>41000</v>
      </c>
      <c r="O264" s="2">
        <v>0.359375</v>
      </c>
      <c r="P264">
        <v>93700</v>
      </c>
      <c r="Q264" s="2">
        <v>-0.31696905016008542</v>
      </c>
      <c r="R264">
        <v>42100</v>
      </c>
      <c r="S264" s="2">
        <v>1.5201900237529691</v>
      </c>
      <c r="W264" t="s">
        <v>198</v>
      </c>
    </row>
    <row r="265" spans="1:23" x14ac:dyDescent="0.3">
      <c r="A265" t="s">
        <v>31</v>
      </c>
      <c r="B265" t="s">
        <v>102</v>
      </c>
      <c r="C265" s="1" t="str">
        <f>HYPERLINK("https://new.land.naver.com/complexes/3080", "클릭")</f>
        <v>클릭</v>
      </c>
      <c r="D265">
        <v>2003</v>
      </c>
      <c r="E265">
        <v>3</v>
      </c>
      <c r="F265">
        <v>2044</v>
      </c>
      <c r="G265">
        <v>114</v>
      </c>
      <c r="H265" t="s">
        <v>135</v>
      </c>
      <c r="I265" t="s">
        <v>139</v>
      </c>
      <c r="J265" t="s">
        <v>625</v>
      </c>
      <c r="K265">
        <v>64000</v>
      </c>
      <c r="L265" t="s">
        <v>625</v>
      </c>
      <c r="M265">
        <v>47000</v>
      </c>
      <c r="N265">
        <v>17000</v>
      </c>
      <c r="O265" s="2">
        <v>0.734375</v>
      </c>
      <c r="R265">
        <v>40600</v>
      </c>
      <c r="S265" s="2">
        <v>1.576354679802956</v>
      </c>
      <c r="W265" t="s">
        <v>198</v>
      </c>
    </row>
    <row r="266" spans="1:23" x14ac:dyDescent="0.3">
      <c r="A266" t="s">
        <v>30</v>
      </c>
      <c r="B266" t="s">
        <v>50</v>
      </c>
      <c r="C266" s="1" t="str">
        <f>HYPERLINK("https://new.land.naver.com/complexes/1483", "클릭")</f>
        <v>클릭</v>
      </c>
      <c r="D266">
        <v>1993</v>
      </c>
      <c r="E266">
        <v>11</v>
      </c>
      <c r="F266">
        <v>1035</v>
      </c>
      <c r="G266">
        <v>59</v>
      </c>
      <c r="H266" t="s">
        <v>136</v>
      </c>
      <c r="I266" t="s">
        <v>138</v>
      </c>
      <c r="J266" t="s">
        <v>263</v>
      </c>
      <c r="K266">
        <v>64000</v>
      </c>
      <c r="L266" t="s">
        <v>263</v>
      </c>
      <c r="M266">
        <v>34000</v>
      </c>
      <c r="N266">
        <v>30000</v>
      </c>
      <c r="O266" s="2">
        <v>0.53125</v>
      </c>
      <c r="P266">
        <v>80000</v>
      </c>
      <c r="Q266" s="2">
        <v>-0.2</v>
      </c>
      <c r="R266">
        <v>43900</v>
      </c>
      <c r="S266" s="2">
        <v>1.457858769931663</v>
      </c>
      <c r="W266" t="s">
        <v>198</v>
      </c>
    </row>
    <row r="267" spans="1:23" x14ac:dyDescent="0.3">
      <c r="A267" t="s">
        <v>31</v>
      </c>
      <c r="B267" t="s">
        <v>57</v>
      </c>
      <c r="C267" s="1" t="str">
        <f>HYPERLINK("https://new.land.naver.com/complexes/1454", "클릭")</f>
        <v>클릭</v>
      </c>
      <c r="D267">
        <v>1993</v>
      </c>
      <c r="E267">
        <v>4</v>
      </c>
      <c r="F267">
        <v>1482</v>
      </c>
      <c r="G267">
        <v>59</v>
      </c>
      <c r="H267" t="s">
        <v>136</v>
      </c>
      <c r="I267" t="s">
        <v>138</v>
      </c>
      <c r="J267" t="s">
        <v>247</v>
      </c>
      <c r="K267">
        <v>63000</v>
      </c>
      <c r="L267" t="s">
        <v>247</v>
      </c>
      <c r="M267">
        <v>27500</v>
      </c>
      <c r="N267">
        <v>35500</v>
      </c>
      <c r="O267" s="2">
        <v>0.43650793650793651</v>
      </c>
      <c r="P267">
        <v>79500</v>
      </c>
      <c r="Q267" s="2">
        <v>-0.20754716981132079</v>
      </c>
      <c r="R267">
        <v>37000</v>
      </c>
      <c r="S267" s="2">
        <v>1.7027027027027031</v>
      </c>
      <c r="W267" t="s">
        <v>198</v>
      </c>
    </row>
    <row r="268" spans="1:23" x14ac:dyDescent="0.3">
      <c r="A268" t="s">
        <v>31</v>
      </c>
      <c r="B268" t="s">
        <v>301</v>
      </c>
      <c r="C268" s="1" t="str">
        <f>HYPERLINK("https://new.land.naver.com/complexes/3078", "클릭")</f>
        <v>클릭</v>
      </c>
      <c r="D268">
        <v>2003</v>
      </c>
      <c r="E268">
        <v>9</v>
      </c>
      <c r="F268">
        <v>955</v>
      </c>
      <c r="G268">
        <v>82</v>
      </c>
      <c r="H268" t="s">
        <v>135</v>
      </c>
      <c r="I268" t="s">
        <v>137</v>
      </c>
      <c r="J268" t="s">
        <v>155</v>
      </c>
      <c r="K268">
        <v>63000</v>
      </c>
      <c r="L268" t="s">
        <v>155</v>
      </c>
      <c r="M268">
        <v>38800</v>
      </c>
      <c r="N268">
        <v>24200</v>
      </c>
      <c r="O268" s="2">
        <v>0.61587301587301591</v>
      </c>
      <c r="R268">
        <v>41500</v>
      </c>
      <c r="S268" s="2">
        <v>1.518072289156627</v>
      </c>
      <c r="W268" t="s">
        <v>198</v>
      </c>
    </row>
    <row r="269" spans="1:23" x14ac:dyDescent="0.3">
      <c r="A269" t="s">
        <v>31</v>
      </c>
      <c r="B269" t="s">
        <v>223</v>
      </c>
      <c r="C269" s="1" t="str">
        <f>HYPERLINK("https://new.land.naver.com/complexes/13571", "클릭")</f>
        <v>클릭</v>
      </c>
      <c r="D269">
        <v>2005</v>
      </c>
      <c r="E269">
        <v>11</v>
      </c>
      <c r="F269">
        <v>551</v>
      </c>
      <c r="G269">
        <v>82</v>
      </c>
      <c r="H269" t="s">
        <v>135</v>
      </c>
      <c r="I269" t="s">
        <v>137</v>
      </c>
      <c r="J269" t="s">
        <v>155</v>
      </c>
      <c r="K269">
        <v>63000</v>
      </c>
      <c r="L269" t="s">
        <v>155</v>
      </c>
      <c r="M269">
        <v>37000</v>
      </c>
      <c r="N269">
        <v>26000</v>
      </c>
      <c r="O269" s="2">
        <v>0.58730158730158732</v>
      </c>
      <c r="R269">
        <v>38900</v>
      </c>
      <c r="S269" s="2">
        <v>1.6195372750642669</v>
      </c>
      <c r="W269" t="s">
        <v>198</v>
      </c>
    </row>
    <row r="270" spans="1:23" x14ac:dyDescent="0.3">
      <c r="A270" t="s">
        <v>28</v>
      </c>
      <c r="B270" t="s">
        <v>48</v>
      </c>
      <c r="C270" s="1" t="str">
        <f>HYPERLINK("https://new.land.naver.com/complexes/1471", "클릭")</f>
        <v>클릭</v>
      </c>
      <c r="D270">
        <v>1994</v>
      </c>
      <c r="E270">
        <v>8</v>
      </c>
      <c r="F270">
        <v>590</v>
      </c>
      <c r="G270">
        <v>59</v>
      </c>
      <c r="H270" t="s">
        <v>136</v>
      </c>
      <c r="I270" t="s">
        <v>138</v>
      </c>
      <c r="J270" t="s">
        <v>252</v>
      </c>
      <c r="K270">
        <v>63000</v>
      </c>
      <c r="L270" t="s">
        <v>252</v>
      </c>
      <c r="M270">
        <v>35000</v>
      </c>
      <c r="N270">
        <v>28000</v>
      </c>
      <c r="O270" s="2">
        <v>0.55555555555555558</v>
      </c>
      <c r="P270">
        <v>75800</v>
      </c>
      <c r="Q270" s="2">
        <v>-0.16886543535620049</v>
      </c>
      <c r="R270">
        <v>36000</v>
      </c>
      <c r="S270" s="2">
        <v>1.75</v>
      </c>
      <c r="W270" t="s">
        <v>198</v>
      </c>
    </row>
    <row r="271" spans="1:23" x14ac:dyDescent="0.3">
      <c r="A271" t="s">
        <v>29</v>
      </c>
      <c r="B271" t="s">
        <v>300</v>
      </c>
      <c r="C271" s="1" t="str">
        <f>HYPERLINK("https://new.land.naver.com/complexes/13227", "클릭")</f>
        <v>클릭</v>
      </c>
      <c r="D271">
        <v>1984</v>
      </c>
      <c r="E271">
        <v>10</v>
      </c>
      <c r="F271">
        <v>72</v>
      </c>
      <c r="G271">
        <v>55</v>
      </c>
      <c r="H271" t="s">
        <v>135</v>
      </c>
      <c r="I271" t="s">
        <v>138</v>
      </c>
      <c r="J271" t="s">
        <v>254</v>
      </c>
      <c r="K271">
        <v>63000</v>
      </c>
      <c r="L271" t="s">
        <v>254</v>
      </c>
      <c r="M271">
        <v>22000</v>
      </c>
      <c r="N271">
        <v>41000</v>
      </c>
      <c r="O271" s="2">
        <v>0.34920634920634919</v>
      </c>
      <c r="R271">
        <v>34000</v>
      </c>
      <c r="S271" s="2">
        <v>1.8529411764705881</v>
      </c>
      <c r="W271" t="s">
        <v>521</v>
      </c>
    </row>
    <row r="272" spans="1:23" x14ac:dyDescent="0.3">
      <c r="A272" t="s">
        <v>31</v>
      </c>
      <c r="B272" t="s">
        <v>217</v>
      </c>
      <c r="C272" s="1" t="str">
        <f>HYPERLINK("https://new.land.naver.com/complexes/126337", "클릭")</f>
        <v>클릭</v>
      </c>
      <c r="D272">
        <v>2021</v>
      </c>
      <c r="E272">
        <v>11</v>
      </c>
      <c r="F272">
        <v>304</v>
      </c>
      <c r="G272">
        <v>59</v>
      </c>
      <c r="H272" t="s">
        <v>135</v>
      </c>
      <c r="I272" t="s">
        <v>137</v>
      </c>
      <c r="J272" t="s">
        <v>240</v>
      </c>
      <c r="K272">
        <v>63000</v>
      </c>
      <c r="L272" t="s">
        <v>240</v>
      </c>
      <c r="M272">
        <v>38000</v>
      </c>
      <c r="N272">
        <v>25000</v>
      </c>
      <c r="O272" s="2">
        <v>0.60317460317460314</v>
      </c>
      <c r="P272">
        <v>53600</v>
      </c>
      <c r="Q272" s="2">
        <v>0.17537313432835819</v>
      </c>
      <c r="W272" t="s">
        <v>198</v>
      </c>
    </row>
    <row r="273" spans="1:23" x14ac:dyDescent="0.3">
      <c r="A273" t="s">
        <v>29</v>
      </c>
      <c r="B273" t="s">
        <v>218</v>
      </c>
      <c r="C273" s="1" t="str">
        <f>HYPERLINK("https://new.land.naver.com/complexes/153038", "클릭")</f>
        <v>클릭</v>
      </c>
      <c r="D273">
        <v>2022</v>
      </c>
      <c r="E273">
        <v>10</v>
      </c>
      <c r="F273">
        <v>15</v>
      </c>
      <c r="G273">
        <v>59</v>
      </c>
      <c r="H273" t="s">
        <v>135</v>
      </c>
      <c r="I273" t="s">
        <v>137</v>
      </c>
      <c r="J273" t="s">
        <v>264</v>
      </c>
      <c r="K273">
        <v>63000</v>
      </c>
      <c r="L273" t="s">
        <v>264</v>
      </c>
      <c r="M273">
        <v>42000</v>
      </c>
      <c r="N273">
        <v>21000</v>
      </c>
      <c r="O273" s="2">
        <v>0.66666666666666663</v>
      </c>
      <c r="W273" t="s">
        <v>198</v>
      </c>
    </row>
    <row r="274" spans="1:23" x14ac:dyDescent="0.3">
      <c r="A274" t="s">
        <v>29</v>
      </c>
      <c r="B274" t="s">
        <v>218</v>
      </c>
      <c r="C274" s="1" t="str">
        <f>HYPERLINK("https://new.land.naver.com/complexes/153038", "클릭")</f>
        <v>클릭</v>
      </c>
      <c r="D274">
        <v>2022</v>
      </c>
      <c r="E274">
        <v>10</v>
      </c>
      <c r="F274">
        <v>15</v>
      </c>
      <c r="G274">
        <v>56</v>
      </c>
      <c r="H274" t="s">
        <v>135</v>
      </c>
      <c r="I274" t="s">
        <v>137</v>
      </c>
      <c r="J274" t="s">
        <v>384</v>
      </c>
      <c r="K274">
        <v>63000</v>
      </c>
      <c r="L274" t="s">
        <v>384</v>
      </c>
      <c r="M274">
        <v>42000</v>
      </c>
      <c r="N274">
        <v>21000</v>
      </c>
      <c r="O274" s="2">
        <v>0.66666666666666663</v>
      </c>
      <c r="W274" t="s">
        <v>198</v>
      </c>
    </row>
    <row r="275" spans="1:23" x14ac:dyDescent="0.3">
      <c r="A275" t="s">
        <v>28</v>
      </c>
      <c r="B275" t="s">
        <v>70</v>
      </c>
      <c r="C275" s="1" t="str">
        <f>HYPERLINK("https://new.land.naver.com/complexes/107639", "클릭")</f>
        <v>클릭</v>
      </c>
      <c r="D275">
        <v>2015</v>
      </c>
      <c r="E275">
        <v>8</v>
      </c>
      <c r="F275">
        <v>410</v>
      </c>
      <c r="G275">
        <v>59</v>
      </c>
      <c r="H275" t="s">
        <v>135</v>
      </c>
      <c r="I275" t="s">
        <v>137</v>
      </c>
      <c r="J275" t="s">
        <v>265</v>
      </c>
      <c r="K275">
        <v>63000</v>
      </c>
      <c r="L275" t="s">
        <v>265</v>
      </c>
      <c r="M275">
        <v>40000</v>
      </c>
      <c r="N275">
        <v>23000</v>
      </c>
      <c r="O275" s="2">
        <v>0.63492063492063489</v>
      </c>
      <c r="P275">
        <v>78000</v>
      </c>
      <c r="Q275" s="2">
        <v>-0.19230769230769229</v>
      </c>
      <c r="R275">
        <v>36600</v>
      </c>
      <c r="S275" s="2">
        <v>1.721311475409836</v>
      </c>
      <c r="W275" t="s">
        <v>198</v>
      </c>
    </row>
    <row r="276" spans="1:23" x14ac:dyDescent="0.3">
      <c r="A276" t="s">
        <v>29</v>
      </c>
      <c r="B276" t="s">
        <v>219</v>
      </c>
      <c r="C276" s="1" t="str">
        <f>HYPERLINK("https://new.land.naver.com/complexes/1462", "클릭")</f>
        <v>클릭</v>
      </c>
      <c r="D276">
        <v>1993</v>
      </c>
      <c r="E276">
        <v>2</v>
      </c>
      <c r="F276">
        <v>750</v>
      </c>
      <c r="G276">
        <v>59</v>
      </c>
      <c r="H276" t="s">
        <v>135</v>
      </c>
      <c r="I276" t="s">
        <v>138</v>
      </c>
      <c r="J276" t="s">
        <v>254</v>
      </c>
      <c r="K276">
        <v>62000</v>
      </c>
      <c r="L276" t="s">
        <v>254</v>
      </c>
      <c r="M276">
        <v>30000</v>
      </c>
      <c r="N276">
        <v>32000</v>
      </c>
      <c r="O276" s="2">
        <v>0.4838709677419355</v>
      </c>
      <c r="P276">
        <v>76000</v>
      </c>
      <c r="Q276" s="2">
        <v>-0.18421052631578949</v>
      </c>
      <c r="R276">
        <v>36000</v>
      </c>
      <c r="S276" s="2">
        <v>1.7222222222222221</v>
      </c>
      <c r="W276" t="s">
        <v>198</v>
      </c>
    </row>
    <row r="277" spans="1:23" x14ac:dyDescent="0.3">
      <c r="A277" t="s">
        <v>28</v>
      </c>
      <c r="B277" t="s">
        <v>419</v>
      </c>
      <c r="C277" s="1" t="str">
        <f>HYPERLINK("https://new.land.naver.com/complexes/3022", "클릭")</f>
        <v>클릭</v>
      </c>
      <c r="D277">
        <v>1992</v>
      </c>
      <c r="E277">
        <v>7</v>
      </c>
      <c r="F277">
        <v>902</v>
      </c>
      <c r="G277">
        <v>56</v>
      </c>
      <c r="H277" t="s">
        <v>136</v>
      </c>
      <c r="I277" t="s">
        <v>235</v>
      </c>
      <c r="J277" t="s">
        <v>356</v>
      </c>
      <c r="K277">
        <v>62000</v>
      </c>
      <c r="L277" t="s">
        <v>356</v>
      </c>
      <c r="M277">
        <v>23500</v>
      </c>
      <c r="N277">
        <v>38500</v>
      </c>
      <c r="O277" s="2">
        <v>0.37903225806451613</v>
      </c>
      <c r="R277">
        <v>40100</v>
      </c>
      <c r="S277" s="2">
        <v>1.546134663341646</v>
      </c>
      <c r="W277" t="s">
        <v>198</v>
      </c>
    </row>
    <row r="278" spans="1:23" x14ac:dyDescent="0.3">
      <c r="A278" t="s">
        <v>31</v>
      </c>
      <c r="B278" t="s">
        <v>111</v>
      </c>
      <c r="C278" s="1" t="str">
        <f>HYPERLINK("https://new.land.naver.com/complexes/108656", "클릭")</f>
        <v>클릭</v>
      </c>
      <c r="D278">
        <v>2014</v>
      </c>
      <c r="E278">
        <v>10</v>
      </c>
      <c r="F278">
        <v>191</v>
      </c>
      <c r="G278">
        <v>67</v>
      </c>
      <c r="J278" t="s">
        <v>362</v>
      </c>
      <c r="K278">
        <v>62000</v>
      </c>
      <c r="W278" t="s">
        <v>394</v>
      </c>
    </row>
    <row r="279" spans="1:23" x14ac:dyDescent="0.3">
      <c r="A279" t="s">
        <v>28</v>
      </c>
      <c r="B279" t="s">
        <v>86</v>
      </c>
      <c r="C279" s="1" t="str">
        <f>HYPERLINK("https://new.land.naver.com/complexes/2033", "클릭")</f>
        <v>클릭</v>
      </c>
      <c r="D279">
        <v>1992</v>
      </c>
      <c r="E279">
        <v>12</v>
      </c>
      <c r="F279">
        <v>794</v>
      </c>
      <c r="G279">
        <v>84</v>
      </c>
      <c r="H279" t="s">
        <v>135</v>
      </c>
      <c r="I279" t="s">
        <v>137</v>
      </c>
      <c r="J279" t="s">
        <v>172</v>
      </c>
      <c r="K279">
        <v>62000</v>
      </c>
      <c r="L279" t="s">
        <v>172</v>
      </c>
      <c r="M279">
        <v>29000</v>
      </c>
      <c r="N279">
        <v>33000</v>
      </c>
      <c r="O279" s="2">
        <v>0.46774193548387089</v>
      </c>
      <c r="P279">
        <v>74700</v>
      </c>
      <c r="Q279" s="2">
        <v>-0.17001338688085679</v>
      </c>
      <c r="R279">
        <v>36900</v>
      </c>
      <c r="S279" s="2">
        <v>1.6802168021680219</v>
      </c>
      <c r="W279" t="s">
        <v>198</v>
      </c>
    </row>
    <row r="280" spans="1:23" x14ac:dyDescent="0.3">
      <c r="A280" t="s">
        <v>29</v>
      </c>
      <c r="B280" t="s">
        <v>61</v>
      </c>
      <c r="C280" s="1" t="str">
        <f>HYPERLINK("https://new.land.naver.com/complexes/1465", "클릭")</f>
        <v>클릭</v>
      </c>
      <c r="D280">
        <v>1995</v>
      </c>
      <c r="E280">
        <v>1</v>
      </c>
      <c r="F280">
        <v>708</v>
      </c>
      <c r="G280">
        <v>59</v>
      </c>
      <c r="H280" t="s">
        <v>136</v>
      </c>
      <c r="I280" t="s">
        <v>138</v>
      </c>
      <c r="J280" t="s">
        <v>266</v>
      </c>
      <c r="K280">
        <v>62000</v>
      </c>
      <c r="L280" t="s">
        <v>266</v>
      </c>
      <c r="M280">
        <v>35000</v>
      </c>
      <c r="N280">
        <v>27000</v>
      </c>
      <c r="O280" s="2">
        <v>0.56451612903225812</v>
      </c>
      <c r="P280">
        <v>68000</v>
      </c>
      <c r="Q280" s="2">
        <v>-8.8235294117647065E-2</v>
      </c>
      <c r="R280">
        <v>38400</v>
      </c>
      <c r="S280" s="2">
        <v>1.614583333333333</v>
      </c>
      <c r="W280" t="s">
        <v>198</v>
      </c>
    </row>
    <row r="281" spans="1:23" x14ac:dyDescent="0.3">
      <c r="A281" t="s">
        <v>30</v>
      </c>
      <c r="B281" t="s">
        <v>87</v>
      </c>
      <c r="C281" s="1" t="str">
        <f>HYPERLINK("https://new.land.naver.com/complexes/25078", "클릭")</f>
        <v>클릭</v>
      </c>
      <c r="D281">
        <v>2000</v>
      </c>
      <c r="E281">
        <v>10</v>
      </c>
      <c r="F281">
        <v>180</v>
      </c>
      <c r="G281">
        <v>84</v>
      </c>
      <c r="H281" t="s">
        <v>135</v>
      </c>
      <c r="I281" t="s">
        <v>137</v>
      </c>
      <c r="J281" t="s">
        <v>173</v>
      </c>
      <c r="K281">
        <v>62000</v>
      </c>
      <c r="L281" t="s">
        <v>173</v>
      </c>
      <c r="M281">
        <v>38000</v>
      </c>
      <c r="N281">
        <v>24000</v>
      </c>
      <c r="O281" s="2">
        <v>0.61290322580645162</v>
      </c>
      <c r="P281">
        <v>78000</v>
      </c>
      <c r="Q281" s="2">
        <v>-0.20512820512820509</v>
      </c>
      <c r="R281">
        <v>36800</v>
      </c>
      <c r="S281" s="2">
        <v>1.6847826086956521</v>
      </c>
      <c r="W281" t="s">
        <v>198</v>
      </c>
    </row>
    <row r="282" spans="1:23" x14ac:dyDescent="0.3">
      <c r="A282" t="s">
        <v>28</v>
      </c>
      <c r="B282" t="s">
        <v>88</v>
      </c>
      <c r="C282" s="1" t="str">
        <f>HYPERLINK("https://new.land.naver.com/complexes/2042", "클릭")</f>
        <v>클릭</v>
      </c>
      <c r="D282">
        <v>1999</v>
      </c>
      <c r="E282">
        <v>7</v>
      </c>
      <c r="F282">
        <v>644</v>
      </c>
      <c r="G282">
        <v>84</v>
      </c>
      <c r="H282" t="s">
        <v>135</v>
      </c>
      <c r="I282" t="s">
        <v>137</v>
      </c>
      <c r="J282" t="s">
        <v>161</v>
      </c>
      <c r="K282">
        <v>62000</v>
      </c>
      <c r="L282" t="s">
        <v>161</v>
      </c>
      <c r="M282">
        <v>39000</v>
      </c>
      <c r="N282">
        <v>23000</v>
      </c>
      <c r="O282" s="2">
        <v>0.62903225806451613</v>
      </c>
      <c r="P282">
        <v>71600</v>
      </c>
      <c r="Q282" s="2">
        <v>-0.13407821229050279</v>
      </c>
      <c r="R282">
        <v>39300</v>
      </c>
      <c r="S282" s="2">
        <v>1.577608142493639</v>
      </c>
      <c r="W282" t="s">
        <v>198</v>
      </c>
    </row>
    <row r="283" spans="1:23" x14ac:dyDescent="0.3">
      <c r="A283" t="s">
        <v>28</v>
      </c>
      <c r="B283" t="s">
        <v>32</v>
      </c>
      <c r="C283" s="1" t="str">
        <f>HYPERLINK("https://new.land.naver.com/complexes/154917", "클릭")</f>
        <v>클릭</v>
      </c>
      <c r="D283">
        <v>2023</v>
      </c>
      <c r="E283">
        <v>11</v>
      </c>
      <c r="F283">
        <v>2886</v>
      </c>
      <c r="G283">
        <v>46</v>
      </c>
      <c r="H283" t="s">
        <v>135</v>
      </c>
      <c r="I283" t="s">
        <v>235</v>
      </c>
      <c r="J283" t="s">
        <v>466</v>
      </c>
      <c r="K283">
        <v>61500</v>
      </c>
      <c r="L283" t="s">
        <v>466</v>
      </c>
      <c r="M283">
        <v>36000</v>
      </c>
      <c r="N283">
        <v>25500</v>
      </c>
      <c r="O283" s="2">
        <v>0.58536585365853655</v>
      </c>
      <c r="W283" t="s">
        <v>198</v>
      </c>
    </row>
    <row r="284" spans="1:23" x14ac:dyDescent="0.3">
      <c r="A284" t="s">
        <v>28</v>
      </c>
      <c r="B284" t="s">
        <v>68</v>
      </c>
      <c r="C284" s="1" t="str">
        <f>HYPERLINK("https://new.land.naver.com/complexes/152005", "클릭")</f>
        <v>클릭</v>
      </c>
      <c r="D284">
        <v>2025</v>
      </c>
      <c r="E284">
        <v>6</v>
      </c>
      <c r="F284">
        <v>456</v>
      </c>
      <c r="G284">
        <v>59</v>
      </c>
      <c r="H284" t="s">
        <v>135</v>
      </c>
      <c r="I284" t="s">
        <v>137</v>
      </c>
      <c r="J284" t="s">
        <v>267</v>
      </c>
      <c r="K284">
        <v>61050</v>
      </c>
      <c r="L284" t="s">
        <v>267</v>
      </c>
      <c r="M284">
        <v>40000</v>
      </c>
      <c r="N284">
        <v>21050</v>
      </c>
      <c r="O284" s="2">
        <v>0.65520065520065518</v>
      </c>
      <c r="W284" t="s">
        <v>198</v>
      </c>
    </row>
    <row r="285" spans="1:23" x14ac:dyDescent="0.3">
      <c r="A285" t="s">
        <v>31</v>
      </c>
      <c r="B285" t="s">
        <v>74</v>
      </c>
      <c r="C285" s="1" t="str">
        <f>HYPERLINK("https://new.land.naver.com/complexes/25725", "클릭")</f>
        <v>클릭</v>
      </c>
      <c r="D285">
        <v>2009</v>
      </c>
      <c r="E285">
        <v>11</v>
      </c>
      <c r="F285">
        <v>774</v>
      </c>
      <c r="G285">
        <v>59</v>
      </c>
      <c r="H285" t="s">
        <v>135</v>
      </c>
      <c r="I285" t="s">
        <v>137</v>
      </c>
      <c r="J285" t="s">
        <v>266</v>
      </c>
      <c r="K285">
        <v>61000</v>
      </c>
      <c r="L285" t="s">
        <v>266</v>
      </c>
      <c r="M285">
        <v>37000</v>
      </c>
      <c r="N285">
        <v>24000</v>
      </c>
      <c r="O285" s="2">
        <v>0.60655737704918034</v>
      </c>
      <c r="P285">
        <v>75000</v>
      </c>
      <c r="Q285" s="2">
        <v>-0.1866666666666667</v>
      </c>
      <c r="R285">
        <v>37900</v>
      </c>
      <c r="S285" s="2">
        <v>1.6094986807387861</v>
      </c>
      <c r="W285" t="s">
        <v>198</v>
      </c>
    </row>
    <row r="286" spans="1:23" x14ac:dyDescent="0.3">
      <c r="A286" t="s">
        <v>31</v>
      </c>
      <c r="B286" t="s">
        <v>45</v>
      </c>
      <c r="C286" s="1" t="str">
        <f>HYPERLINK("https://new.land.naver.com/complexes/124780", "클릭")</f>
        <v>클릭</v>
      </c>
      <c r="D286">
        <v>2021</v>
      </c>
      <c r="E286">
        <v>12</v>
      </c>
      <c r="F286">
        <v>2737</v>
      </c>
      <c r="G286">
        <v>49</v>
      </c>
      <c r="H286" t="s">
        <v>135</v>
      </c>
      <c r="I286" t="s">
        <v>235</v>
      </c>
      <c r="J286" t="s">
        <v>278</v>
      </c>
      <c r="K286">
        <v>61000</v>
      </c>
      <c r="L286" t="s">
        <v>460</v>
      </c>
      <c r="M286">
        <v>38000</v>
      </c>
      <c r="N286">
        <v>23000</v>
      </c>
      <c r="O286" s="2">
        <v>0.62295081967213117</v>
      </c>
      <c r="R286">
        <v>37600</v>
      </c>
      <c r="S286" s="2">
        <v>1.6223404255319149</v>
      </c>
      <c r="W286" t="s">
        <v>198</v>
      </c>
    </row>
    <row r="287" spans="1:23" x14ac:dyDescent="0.3">
      <c r="A287" t="s">
        <v>31</v>
      </c>
      <c r="B287" t="s">
        <v>220</v>
      </c>
      <c r="C287" s="1" t="str">
        <f>HYPERLINK("https://new.land.naver.com/complexes/1992", "클릭")</f>
        <v>클릭</v>
      </c>
      <c r="D287">
        <v>1993</v>
      </c>
      <c r="E287">
        <v>11</v>
      </c>
      <c r="F287">
        <v>3227</v>
      </c>
      <c r="G287">
        <v>57</v>
      </c>
      <c r="H287" t="s">
        <v>135</v>
      </c>
      <c r="I287" t="s">
        <v>138</v>
      </c>
      <c r="J287" t="s">
        <v>268</v>
      </c>
      <c r="K287">
        <v>60000</v>
      </c>
      <c r="L287" t="s">
        <v>268</v>
      </c>
      <c r="M287">
        <v>30000</v>
      </c>
      <c r="N287">
        <v>30000</v>
      </c>
      <c r="O287" s="2">
        <v>0.5</v>
      </c>
      <c r="P287">
        <v>50000</v>
      </c>
      <c r="Q287" s="2">
        <v>0.2</v>
      </c>
      <c r="R287">
        <v>36900</v>
      </c>
      <c r="S287" s="2">
        <v>1.626016260162602</v>
      </c>
      <c r="W287" t="s">
        <v>198</v>
      </c>
    </row>
    <row r="288" spans="1:23" x14ac:dyDescent="0.3">
      <c r="A288" t="s">
        <v>28</v>
      </c>
      <c r="B288" t="s">
        <v>302</v>
      </c>
      <c r="C288" s="1" t="str">
        <f>HYPERLINK("https://new.land.naver.com/complexes/3083", "클릭")</f>
        <v>클릭</v>
      </c>
      <c r="D288">
        <v>2003</v>
      </c>
      <c r="E288">
        <v>4</v>
      </c>
      <c r="F288">
        <v>426</v>
      </c>
      <c r="G288">
        <v>79</v>
      </c>
      <c r="H288" t="s">
        <v>135</v>
      </c>
      <c r="I288" t="s">
        <v>137</v>
      </c>
      <c r="J288" t="s">
        <v>189</v>
      </c>
      <c r="K288">
        <v>60000</v>
      </c>
      <c r="L288" t="s">
        <v>189</v>
      </c>
      <c r="M288">
        <v>41000</v>
      </c>
      <c r="N288">
        <v>19000</v>
      </c>
      <c r="O288" s="2">
        <v>0.68333333333333335</v>
      </c>
      <c r="W288" t="s">
        <v>198</v>
      </c>
    </row>
    <row r="289" spans="1:23" x14ac:dyDescent="0.3">
      <c r="A289" t="s">
        <v>28</v>
      </c>
      <c r="B289" t="s">
        <v>89</v>
      </c>
      <c r="C289" s="1" t="str">
        <f>HYPERLINK("https://new.land.naver.com/complexes/1476", "클릭")</f>
        <v>클릭</v>
      </c>
      <c r="D289">
        <v>1992</v>
      </c>
      <c r="E289">
        <v>8</v>
      </c>
      <c r="F289">
        <v>654</v>
      </c>
      <c r="G289">
        <v>76</v>
      </c>
      <c r="H289" t="s">
        <v>135</v>
      </c>
      <c r="I289" t="s">
        <v>138</v>
      </c>
      <c r="J289" t="s">
        <v>361</v>
      </c>
      <c r="K289">
        <v>60000</v>
      </c>
      <c r="L289" t="s">
        <v>361</v>
      </c>
      <c r="M289">
        <v>35000</v>
      </c>
      <c r="N289">
        <v>25000</v>
      </c>
      <c r="O289" s="2">
        <v>0.58333333333333337</v>
      </c>
      <c r="R289">
        <v>32500</v>
      </c>
      <c r="S289" s="2">
        <v>1.846153846153846</v>
      </c>
      <c r="W289" t="s">
        <v>198</v>
      </c>
    </row>
    <row r="290" spans="1:23" x14ac:dyDescent="0.3">
      <c r="A290" t="s">
        <v>28</v>
      </c>
      <c r="B290" t="s">
        <v>89</v>
      </c>
      <c r="C290" s="1" t="str">
        <f>HYPERLINK("https://new.land.naver.com/complexes/1476", "클릭")</f>
        <v>클릭</v>
      </c>
      <c r="D290">
        <v>1992</v>
      </c>
      <c r="E290">
        <v>8</v>
      </c>
      <c r="F290">
        <v>654</v>
      </c>
      <c r="G290">
        <v>84</v>
      </c>
      <c r="H290" t="s">
        <v>135</v>
      </c>
      <c r="I290" t="s">
        <v>137</v>
      </c>
      <c r="J290" t="s">
        <v>155</v>
      </c>
      <c r="K290">
        <v>60000</v>
      </c>
      <c r="L290" t="s">
        <v>155</v>
      </c>
      <c r="M290">
        <v>37000</v>
      </c>
      <c r="N290">
        <v>23000</v>
      </c>
      <c r="O290" s="2">
        <v>0.6166666666666667</v>
      </c>
      <c r="P290">
        <v>82000</v>
      </c>
      <c r="Q290" s="2">
        <v>-0.26829268292682928</v>
      </c>
      <c r="R290">
        <v>38000</v>
      </c>
      <c r="S290" s="2">
        <v>1.5789473684210531</v>
      </c>
      <c r="W290" t="s">
        <v>198</v>
      </c>
    </row>
    <row r="291" spans="1:23" x14ac:dyDescent="0.3">
      <c r="A291" t="s">
        <v>31</v>
      </c>
      <c r="B291" t="s">
        <v>80</v>
      </c>
      <c r="C291" s="1" t="str">
        <f>HYPERLINK("https://new.land.naver.com/complexes/3076", "클릭")</f>
        <v>클릭</v>
      </c>
      <c r="D291">
        <v>1992</v>
      </c>
      <c r="E291">
        <v>11</v>
      </c>
      <c r="F291">
        <v>1800</v>
      </c>
      <c r="G291">
        <v>71</v>
      </c>
      <c r="H291" t="s">
        <v>135</v>
      </c>
      <c r="I291" t="s">
        <v>138</v>
      </c>
      <c r="J291" t="s">
        <v>259</v>
      </c>
      <c r="K291">
        <v>60000</v>
      </c>
      <c r="L291" t="s">
        <v>259</v>
      </c>
      <c r="M291">
        <v>39000</v>
      </c>
      <c r="N291">
        <v>21000</v>
      </c>
      <c r="O291" s="2">
        <v>0.65</v>
      </c>
      <c r="R291">
        <v>39900</v>
      </c>
      <c r="S291" s="2">
        <v>1.503759398496241</v>
      </c>
      <c r="W291" t="s">
        <v>198</v>
      </c>
    </row>
    <row r="292" spans="1:23" x14ac:dyDescent="0.3">
      <c r="A292" t="s">
        <v>28</v>
      </c>
      <c r="B292" t="s">
        <v>221</v>
      </c>
      <c r="C292" s="1" t="str">
        <f>HYPERLINK("https://new.land.naver.com/complexes/115703", "클릭")</f>
        <v>클릭</v>
      </c>
      <c r="D292">
        <v>2019</v>
      </c>
      <c r="E292">
        <v>4</v>
      </c>
      <c r="F292">
        <v>203</v>
      </c>
      <c r="G292">
        <v>59</v>
      </c>
      <c r="H292" t="s">
        <v>135</v>
      </c>
      <c r="I292" t="s">
        <v>137</v>
      </c>
      <c r="J292" t="s">
        <v>253</v>
      </c>
      <c r="K292">
        <v>60000</v>
      </c>
      <c r="L292" t="s">
        <v>282</v>
      </c>
      <c r="M292">
        <v>42000</v>
      </c>
      <c r="N292">
        <v>18000</v>
      </c>
      <c r="O292" s="2">
        <v>0.7</v>
      </c>
      <c r="P292">
        <v>70000</v>
      </c>
      <c r="Q292" s="2">
        <v>-0.14285714285714279</v>
      </c>
      <c r="R292">
        <v>39300</v>
      </c>
      <c r="S292" s="2">
        <v>1.5267175572519081</v>
      </c>
      <c r="W292" t="s">
        <v>198</v>
      </c>
    </row>
    <row r="293" spans="1:23" x14ac:dyDescent="0.3">
      <c r="A293" t="s">
        <v>28</v>
      </c>
      <c r="B293" t="s">
        <v>90</v>
      </c>
      <c r="C293" s="1" t="str">
        <f>HYPERLINK("https://new.land.naver.com/complexes/3082", "클릭")</f>
        <v>클릭</v>
      </c>
      <c r="D293">
        <v>2003</v>
      </c>
      <c r="E293">
        <v>11</v>
      </c>
      <c r="F293">
        <v>1977</v>
      </c>
      <c r="G293">
        <v>84</v>
      </c>
      <c r="H293" t="s">
        <v>135</v>
      </c>
      <c r="I293" t="s">
        <v>137</v>
      </c>
      <c r="J293" t="s">
        <v>161</v>
      </c>
      <c r="K293">
        <v>60000</v>
      </c>
      <c r="L293" t="s">
        <v>161</v>
      </c>
      <c r="M293">
        <v>37000</v>
      </c>
      <c r="N293">
        <v>23000</v>
      </c>
      <c r="O293" s="2">
        <v>0.6166666666666667</v>
      </c>
      <c r="P293">
        <v>79750</v>
      </c>
      <c r="Q293" s="2">
        <v>-0.2476489028213166</v>
      </c>
      <c r="R293">
        <v>35900</v>
      </c>
      <c r="S293" s="2">
        <v>1.671309192200557</v>
      </c>
      <c r="W293" t="s">
        <v>198</v>
      </c>
    </row>
    <row r="294" spans="1:23" x14ac:dyDescent="0.3">
      <c r="A294" t="s">
        <v>28</v>
      </c>
      <c r="B294" t="s">
        <v>46</v>
      </c>
      <c r="C294" s="1" t="str">
        <f>HYPERLINK("https://new.land.naver.com/complexes/122682", "클릭")</f>
        <v>클릭</v>
      </c>
      <c r="D294">
        <v>2021</v>
      </c>
      <c r="E294">
        <v>4</v>
      </c>
      <c r="F294">
        <v>3850</v>
      </c>
      <c r="G294">
        <v>46</v>
      </c>
      <c r="H294" t="s">
        <v>135</v>
      </c>
      <c r="I294" t="s">
        <v>235</v>
      </c>
      <c r="J294" t="s">
        <v>467</v>
      </c>
      <c r="K294">
        <v>60000</v>
      </c>
      <c r="L294" t="s">
        <v>513</v>
      </c>
      <c r="M294">
        <v>35000</v>
      </c>
      <c r="N294">
        <v>25000</v>
      </c>
      <c r="O294" s="2">
        <v>0.58333333333333337</v>
      </c>
      <c r="R294">
        <v>34400</v>
      </c>
      <c r="S294" s="2">
        <v>1.7441860465116279</v>
      </c>
      <c r="W294" t="s">
        <v>198</v>
      </c>
    </row>
    <row r="295" spans="1:23" x14ac:dyDescent="0.3">
      <c r="A295" t="s">
        <v>31</v>
      </c>
      <c r="B295" t="s">
        <v>81</v>
      </c>
      <c r="C295" s="1" t="str">
        <f>HYPERLINK("https://new.land.naver.com/complexes/3079", "클릭")</f>
        <v>클릭</v>
      </c>
      <c r="D295">
        <v>2003</v>
      </c>
      <c r="E295">
        <v>12</v>
      </c>
      <c r="F295">
        <v>3806</v>
      </c>
      <c r="G295">
        <v>59</v>
      </c>
      <c r="H295" t="s">
        <v>135</v>
      </c>
      <c r="I295" t="s">
        <v>137</v>
      </c>
      <c r="J295" t="s">
        <v>269</v>
      </c>
      <c r="K295">
        <v>60000</v>
      </c>
      <c r="L295" t="s">
        <v>283</v>
      </c>
      <c r="M295">
        <v>35000</v>
      </c>
      <c r="N295">
        <v>25000</v>
      </c>
      <c r="O295" s="2">
        <v>0.58333333333333337</v>
      </c>
      <c r="P295">
        <v>76000</v>
      </c>
      <c r="Q295" s="2">
        <v>-0.2105263157894737</v>
      </c>
      <c r="R295">
        <v>37500</v>
      </c>
      <c r="S295" s="2">
        <v>1.6</v>
      </c>
      <c r="W295" t="s">
        <v>198</v>
      </c>
    </row>
    <row r="296" spans="1:23" x14ac:dyDescent="0.3">
      <c r="A296" t="s">
        <v>28</v>
      </c>
      <c r="B296" t="s">
        <v>303</v>
      </c>
      <c r="C296" s="1" t="str">
        <f>HYPERLINK("https://new.land.naver.com/complexes/139912", "클릭")</f>
        <v>클릭</v>
      </c>
      <c r="D296">
        <v>2022</v>
      </c>
      <c r="E296">
        <v>7</v>
      </c>
      <c r="F296">
        <v>25</v>
      </c>
      <c r="G296">
        <v>60</v>
      </c>
      <c r="H296" t="s">
        <v>135</v>
      </c>
      <c r="I296" t="s">
        <v>137</v>
      </c>
      <c r="J296" t="s">
        <v>240</v>
      </c>
      <c r="K296">
        <v>60000</v>
      </c>
      <c r="L296" t="s">
        <v>240</v>
      </c>
      <c r="M296">
        <v>37000</v>
      </c>
      <c r="N296">
        <v>23000</v>
      </c>
      <c r="O296" s="2">
        <v>0.6166666666666667</v>
      </c>
      <c r="W296" t="s">
        <v>198</v>
      </c>
    </row>
    <row r="297" spans="1:23" x14ac:dyDescent="0.3">
      <c r="A297" t="s">
        <v>28</v>
      </c>
      <c r="B297" t="s">
        <v>303</v>
      </c>
      <c r="C297" s="1" t="str">
        <f>HYPERLINK("https://new.land.naver.com/complexes/139912", "클릭")</f>
        <v>클릭</v>
      </c>
      <c r="D297">
        <v>2022</v>
      </c>
      <c r="E297">
        <v>7</v>
      </c>
      <c r="F297">
        <v>25</v>
      </c>
      <c r="G297">
        <v>62</v>
      </c>
      <c r="H297" t="s">
        <v>135</v>
      </c>
      <c r="I297" t="s">
        <v>137</v>
      </c>
      <c r="J297" t="s">
        <v>256</v>
      </c>
      <c r="K297">
        <v>60000</v>
      </c>
      <c r="L297" t="s">
        <v>256</v>
      </c>
      <c r="M297">
        <v>37000</v>
      </c>
      <c r="N297">
        <v>23000</v>
      </c>
      <c r="O297" s="2">
        <v>0.6166666666666667</v>
      </c>
      <c r="W297" t="s">
        <v>198</v>
      </c>
    </row>
    <row r="298" spans="1:23" x14ac:dyDescent="0.3">
      <c r="A298" t="s">
        <v>28</v>
      </c>
      <c r="B298" t="s">
        <v>303</v>
      </c>
      <c r="C298" s="1" t="str">
        <f>HYPERLINK("https://new.land.naver.com/complexes/139912", "클릭")</f>
        <v>클릭</v>
      </c>
      <c r="D298">
        <v>2022</v>
      </c>
      <c r="E298">
        <v>7</v>
      </c>
      <c r="F298">
        <v>25</v>
      </c>
      <c r="G298">
        <v>63</v>
      </c>
      <c r="H298" t="s">
        <v>135</v>
      </c>
      <c r="I298" t="s">
        <v>137</v>
      </c>
      <c r="J298" t="s">
        <v>363</v>
      </c>
      <c r="K298">
        <v>60000</v>
      </c>
      <c r="L298" t="s">
        <v>378</v>
      </c>
      <c r="M298">
        <v>37000</v>
      </c>
      <c r="N298">
        <v>23000</v>
      </c>
      <c r="O298" s="2">
        <v>0.6166666666666667</v>
      </c>
      <c r="W298" t="s">
        <v>198</v>
      </c>
    </row>
    <row r="299" spans="1:23" x14ac:dyDescent="0.3">
      <c r="A299" t="s">
        <v>28</v>
      </c>
      <c r="B299" t="s">
        <v>91</v>
      </c>
      <c r="C299" s="1" t="str">
        <f>HYPERLINK("https://new.land.naver.com/complexes/8036", "클릭")</f>
        <v>클릭</v>
      </c>
      <c r="D299">
        <v>2003</v>
      </c>
      <c r="E299">
        <v>12</v>
      </c>
      <c r="F299">
        <v>1752</v>
      </c>
      <c r="G299">
        <v>84</v>
      </c>
      <c r="H299" t="s">
        <v>135</v>
      </c>
      <c r="I299" t="s">
        <v>137</v>
      </c>
      <c r="J299" t="s">
        <v>158</v>
      </c>
      <c r="K299">
        <v>59500</v>
      </c>
      <c r="L299" t="s">
        <v>149</v>
      </c>
      <c r="M299">
        <v>40000</v>
      </c>
      <c r="N299">
        <v>19500</v>
      </c>
      <c r="O299" s="2">
        <v>0.67226890756302526</v>
      </c>
      <c r="P299">
        <v>83000</v>
      </c>
      <c r="Q299" s="2">
        <v>-0.28313253012048201</v>
      </c>
      <c r="R299">
        <v>37300</v>
      </c>
      <c r="S299" s="2">
        <v>1.595174262734584</v>
      </c>
      <c r="W299" t="s">
        <v>198</v>
      </c>
    </row>
    <row r="300" spans="1:23" x14ac:dyDescent="0.3">
      <c r="A300" t="s">
        <v>29</v>
      </c>
      <c r="B300" t="s">
        <v>304</v>
      </c>
      <c r="C300" s="1" t="str">
        <f>HYPERLINK("https://new.land.naver.com/complexes/1463", "클릭")</f>
        <v>클릭</v>
      </c>
      <c r="D300">
        <v>1993</v>
      </c>
      <c r="E300">
        <v>3</v>
      </c>
      <c r="F300">
        <v>1710</v>
      </c>
      <c r="G300">
        <v>60</v>
      </c>
      <c r="H300" t="s">
        <v>136</v>
      </c>
      <c r="I300" t="s">
        <v>138</v>
      </c>
      <c r="J300" t="s">
        <v>266</v>
      </c>
      <c r="K300">
        <v>59000</v>
      </c>
      <c r="L300" t="s">
        <v>266</v>
      </c>
      <c r="M300">
        <v>31000</v>
      </c>
      <c r="N300">
        <v>28000</v>
      </c>
      <c r="O300" s="2">
        <v>0.52542372881355937</v>
      </c>
      <c r="R300">
        <v>36900</v>
      </c>
      <c r="S300" s="2">
        <v>1.5989159891598921</v>
      </c>
      <c r="W300" t="s">
        <v>198</v>
      </c>
    </row>
    <row r="301" spans="1:23" x14ac:dyDescent="0.3">
      <c r="A301" t="s">
        <v>31</v>
      </c>
      <c r="B301" t="s">
        <v>301</v>
      </c>
      <c r="C301" s="1" t="str">
        <f>HYPERLINK("https://new.land.naver.com/complexes/3078", "클릭")</f>
        <v>클릭</v>
      </c>
      <c r="D301">
        <v>2003</v>
      </c>
      <c r="E301">
        <v>9</v>
      </c>
      <c r="F301">
        <v>955</v>
      </c>
      <c r="G301">
        <v>56</v>
      </c>
      <c r="H301" t="s">
        <v>135</v>
      </c>
      <c r="I301" t="s">
        <v>138</v>
      </c>
      <c r="J301" t="s">
        <v>371</v>
      </c>
      <c r="K301">
        <v>59000</v>
      </c>
      <c r="L301" t="s">
        <v>371</v>
      </c>
      <c r="M301">
        <v>38000</v>
      </c>
      <c r="N301">
        <v>21000</v>
      </c>
      <c r="O301" s="2">
        <v>0.64406779661016944</v>
      </c>
      <c r="R301">
        <v>33900</v>
      </c>
      <c r="S301" s="2">
        <v>1.7404129793510319</v>
      </c>
      <c r="W301" t="s">
        <v>198</v>
      </c>
    </row>
    <row r="302" spans="1:23" x14ac:dyDescent="0.3">
      <c r="A302" t="s">
        <v>31</v>
      </c>
      <c r="B302" t="s">
        <v>111</v>
      </c>
      <c r="C302" s="1" t="str">
        <f>HYPERLINK("https://new.land.naver.com/complexes/108656", "클릭")</f>
        <v>클릭</v>
      </c>
      <c r="D302">
        <v>2014</v>
      </c>
      <c r="E302">
        <v>10</v>
      </c>
      <c r="F302">
        <v>191</v>
      </c>
      <c r="G302">
        <v>108</v>
      </c>
      <c r="H302" t="s">
        <v>135</v>
      </c>
      <c r="I302" t="s">
        <v>137</v>
      </c>
      <c r="J302" t="s">
        <v>581</v>
      </c>
      <c r="K302">
        <v>59000</v>
      </c>
      <c r="L302" t="s">
        <v>581</v>
      </c>
      <c r="M302">
        <v>40000</v>
      </c>
      <c r="N302">
        <v>19000</v>
      </c>
      <c r="O302" s="2">
        <v>0.67796610169491522</v>
      </c>
      <c r="W302" t="s">
        <v>198</v>
      </c>
    </row>
    <row r="303" spans="1:23" x14ac:dyDescent="0.3">
      <c r="A303" t="s">
        <v>31</v>
      </c>
      <c r="B303" t="s">
        <v>296</v>
      </c>
      <c r="C303" s="1" t="str">
        <f>HYPERLINK("https://new.land.naver.com/complexes/141825", "클릭")</f>
        <v>클릭</v>
      </c>
      <c r="D303">
        <v>2023</v>
      </c>
      <c r="E303">
        <v>5</v>
      </c>
      <c r="F303">
        <v>230</v>
      </c>
      <c r="G303">
        <v>62</v>
      </c>
      <c r="H303" t="s">
        <v>135</v>
      </c>
      <c r="I303" t="s">
        <v>137</v>
      </c>
      <c r="J303" t="s">
        <v>364</v>
      </c>
      <c r="K303">
        <v>59000</v>
      </c>
      <c r="L303" t="s">
        <v>364</v>
      </c>
      <c r="M303">
        <v>40000</v>
      </c>
      <c r="N303">
        <v>19000</v>
      </c>
      <c r="O303" s="2">
        <v>0.67796610169491522</v>
      </c>
      <c r="W303" t="s">
        <v>198</v>
      </c>
    </row>
    <row r="304" spans="1:23" x14ac:dyDescent="0.3">
      <c r="A304" t="s">
        <v>29</v>
      </c>
      <c r="B304" t="s">
        <v>305</v>
      </c>
      <c r="C304" s="1" t="str">
        <f>HYPERLINK("https://new.land.naver.com/complexes/153721", "클릭")</f>
        <v>클릭</v>
      </c>
      <c r="D304">
        <v>2022</v>
      </c>
      <c r="E304">
        <v>10</v>
      </c>
      <c r="F304">
        <v>18</v>
      </c>
      <c r="G304">
        <v>69</v>
      </c>
      <c r="H304" t="s">
        <v>135</v>
      </c>
      <c r="I304" t="s">
        <v>137</v>
      </c>
      <c r="J304" t="s">
        <v>266</v>
      </c>
      <c r="K304">
        <v>58200</v>
      </c>
      <c r="L304" t="s">
        <v>266</v>
      </c>
      <c r="M304">
        <v>36000</v>
      </c>
      <c r="N304">
        <v>22200</v>
      </c>
      <c r="O304" s="2">
        <v>0.61855670103092786</v>
      </c>
      <c r="W304" t="s">
        <v>395</v>
      </c>
    </row>
    <row r="305" spans="1:23" x14ac:dyDescent="0.3">
      <c r="A305" t="s">
        <v>28</v>
      </c>
      <c r="B305" t="s">
        <v>68</v>
      </c>
      <c r="C305" s="1" t="str">
        <f>HYPERLINK("https://new.land.naver.com/complexes/152005", "클릭")</f>
        <v>클릭</v>
      </c>
      <c r="D305">
        <v>2025</v>
      </c>
      <c r="E305">
        <v>6</v>
      </c>
      <c r="F305">
        <v>456</v>
      </c>
      <c r="G305">
        <v>49</v>
      </c>
      <c r="H305" t="s">
        <v>135</v>
      </c>
      <c r="I305" t="s">
        <v>338</v>
      </c>
      <c r="J305" t="s">
        <v>468</v>
      </c>
      <c r="K305">
        <v>58100</v>
      </c>
      <c r="L305" t="s">
        <v>468</v>
      </c>
      <c r="M305">
        <v>41000</v>
      </c>
      <c r="N305">
        <v>17100</v>
      </c>
      <c r="O305" s="2">
        <v>0.70567986230636837</v>
      </c>
      <c r="W305" t="s">
        <v>198</v>
      </c>
    </row>
    <row r="306" spans="1:23" x14ac:dyDescent="0.3">
      <c r="A306" t="s">
        <v>29</v>
      </c>
      <c r="B306" t="s">
        <v>332</v>
      </c>
      <c r="C306" s="1" t="str">
        <f>HYPERLINK("https://new.land.naver.com/complexes/14854", "클릭")</f>
        <v>클릭</v>
      </c>
      <c r="D306">
        <v>1985</v>
      </c>
      <c r="E306">
        <v>8</v>
      </c>
      <c r="F306">
        <v>50</v>
      </c>
      <c r="G306">
        <v>54</v>
      </c>
      <c r="H306" t="s">
        <v>135</v>
      </c>
      <c r="I306" t="s">
        <v>138</v>
      </c>
      <c r="J306" t="s">
        <v>468</v>
      </c>
      <c r="K306">
        <v>58000</v>
      </c>
      <c r="L306" t="s">
        <v>468</v>
      </c>
      <c r="M306">
        <v>23000</v>
      </c>
      <c r="N306">
        <v>35000</v>
      </c>
      <c r="O306" s="2">
        <v>0.39655172413793099</v>
      </c>
      <c r="R306">
        <v>28100</v>
      </c>
      <c r="S306" s="2">
        <v>2.0640569395017789</v>
      </c>
      <c r="W306" t="s">
        <v>198</v>
      </c>
    </row>
    <row r="307" spans="1:23" x14ac:dyDescent="0.3">
      <c r="A307" t="s">
        <v>29</v>
      </c>
      <c r="B307" t="s">
        <v>306</v>
      </c>
      <c r="C307" s="1" t="str">
        <f>HYPERLINK("https://new.land.naver.com/complexes/123203", "클릭")</f>
        <v>클릭</v>
      </c>
      <c r="D307">
        <v>2018</v>
      </c>
      <c r="E307">
        <v>12</v>
      </c>
      <c r="F307">
        <v>9</v>
      </c>
      <c r="G307">
        <v>70</v>
      </c>
      <c r="H307" t="s">
        <v>135</v>
      </c>
      <c r="I307" t="s">
        <v>137</v>
      </c>
      <c r="J307" t="s">
        <v>251</v>
      </c>
      <c r="K307">
        <v>58000</v>
      </c>
      <c r="L307" t="s">
        <v>251</v>
      </c>
      <c r="M307">
        <v>37000</v>
      </c>
      <c r="N307">
        <v>21000</v>
      </c>
      <c r="O307" s="2">
        <v>0.63793103448275867</v>
      </c>
      <c r="W307" t="s">
        <v>198</v>
      </c>
    </row>
    <row r="308" spans="1:23" x14ac:dyDescent="0.3">
      <c r="A308" t="s">
        <v>28</v>
      </c>
      <c r="B308" t="s">
        <v>95</v>
      </c>
      <c r="C308" s="1" t="str">
        <f>HYPERLINK("https://new.land.naver.com/complexes/24045", "클릭")</f>
        <v>클릭</v>
      </c>
      <c r="D308">
        <v>2007</v>
      </c>
      <c r="E308">
        <v>7</v>
      </c>
      <c r="F308">
        <v>149</v>
      </c>
      <c r="G308">
        <v>80</v>
      </c>
      <c r="H308" t="s">
        <v>135</v>
      </c>
      <c r="I308" t="s">
        <v>137</v>
      </c>
      <c r="J308" t="s">
        <v>365</v>
      </c>
      <c r="K308">
        <v>58000</v>
      </c>
      <c r="L308" t="s">
        <v>365</v>
      </c>
      <c r="M308">
        <v>39000</v>
      </c>
      <c r="N308">
        <v>19000</v>
      </c>
      <c r="O308" s="2">
        <v>0.67241379310344829</v>
      </c>
      <c r="R308">
        <v>35000</v>
      </c>
      <c r="S308" s="2">
        <v>1.657142857142857</v>
      </c>
      <c r="W308" t="s">
        <v>198</v>
      </c>
    </row>
    <row r="309" spans="1:23" x14ac:dyDescent="0.3">
      <c r="A309" t="s">
        <v>31</v>
      </c>
      <c r="B309" t="s">
        <v>55</v>
      </c>
      <c r="C309" s="1" t="str">
        <f>HYPERLINK("https://new.land.naver.com/complexes/3075", "클릭")</f>
        <v>클릭</v>
      </c>
      <c r="D309">
        <v>1992</v>
      </c>
      <c r="E309">
        <v>6</v>
      </c>
      <c r="F309">
        <v>502</v>
      </c>
      <c r="G309">
        <v>55</v>
      </c>
      <c r="H309" t="s">
        <v>136</v>
      </c>
      <c r="I309" t="s">
        <v>235</v>
      </c>
      <c r="J309" t="s">
        <v>254</v>
      </c>
      <c r="K309">
        <v>58000</v>
      </c>
      <c r="L309" t="s">
        <v>254</v>
      </c>
      <c r="M309">
        <v>33000</v>
      </c>
      <c r="N309">
        <v>25000</v>
      </c>
      <c r="O309" s="2">
        <v>0.56896551724137934</v>
      </c>
      <c r="R309">
        <v>35000</v>
      </c>
      <c r="S309" s="2">
        <v>1.657142857142857</v>
      </c>
      <c r="W309" t="s">
        <v>198</v>
      </c>
    </row>
    <row r="310" spans="1:23" x14ac:dyDescent="0.3">
      <c r="A310" t="s">
        <v>28</v>
      </c>
      <c r="B310" t="s">
        <v>307</v>
      </c>
      <c r="C310" s="1" t="str">
        <f>HYPERLINK("https://new.land.naver.com/complexes/132112", "클릭")</f>
        <v>클릭</v>
      </c>
      <c r="D310">
        <v>2022</v>
      </c>
      <c r="E310">
        <v>3</v>
      </c>
      <c r="F310">
        <v>144</v>
      </c>
      <c r="G310">
        <v>75</v>
      </c>
      <c r="H310" t="s">
        <v>135</v>
      </c>
      <c r="I310" t="s">
        <v>137</v>
      </c>
      <c r="J310" t="s">
        <v>366</v>
      </c>
      <c r="K310">
        <v>58000</v>
      </c>
      <c r="L310" t="s">
        <v>366</v>
      </c>
      <c r="M310">
        <v>40000</v>
      </c>
      <c r="N310">
        <v>18000</v>
      </c>
      <c r="O310" s="2">
        <v>0.68965517241379315</v>
      </c>
      <c r="W310" t="s">
        <v>198</v>
      </c>
    </row>
    <row r="311" spans="1:23" x14ac:dyDescent="0.3">
      <c r="A311" t="s">
        <v>28</v>
      </c>
      <c r="B311" t="s">
        <v>123</v>
      </c>
      <c r="C311" s="1" t="str">
        <f>HYPERLINK("https://new.land.naver.com/complexes/19530", "클릭")</f>
        <v>클릭</v>
      </c>
      <c r="D311">
        <v>2007</v>
      </c>
      <c r="E311">
        <v>3</v>
      </c>
      <c r="F311">
        <v>210</v>
      </c>
      <c r="G311">
        <v>122</v>
      </c>
      <c r="H311" t="s">
        <v>135</v>
      </c>
      <c r="I311" t="s">
        <v>137</v>
      </c>
      <c r="J311" t="s">
        <v>626</v>
      </c>
      <c r="K311">
        <v>58000</v>
      </c>
      <c r="L311" t="s">
        <v>626</v>
      </c>
      <c r="M311">
        <v>36000</v>
      </c>
      <c r="N311">
        <v>22000</v>
      </c>
      <c r="O311" s="2">
        <v>0.62068965517241381</v>
      </c>
      <c r="R311">
        <v>33300</v>
      </c>
      <c r="S311" s="2">
        <v>1.741741741741742</v>
      </c>
      <c r="W311" t="s">
        <v>198</v>
      </c>
    </row>
    <row r="312" spans="1:23" x14ac:dyDescent="0.3">
      <c r="A312" t="s">
        <v>28</v>
      </c>
      <c r="B312" t="s">
        <v>92</v>
      </c>
      <c r="C312" s="1" t="str">
        <f>HYPERLINK("https://new.land.naver.com/complexes/2026", "클릭")</f>
        <v>클릭</v>
      </c>
      <c r="D312">
        <v>1999</v>
      </c>
      <c r="E312">
        <v>1</v>
      </c>
      <c r="F312">
        <v>231</v>
      </c>
      <c r="G312">
        <v>84</v>
      </c>
      <c r="H312" t="s">
        <v>135</v>
      </c>
      <c r="I312" t="s">
        <v>137</v>
      </c>
      <c r="J312" t="s">
        <v>161</v>
      </c>
      <c r="K312">
        <v>58000</v>
      </c>
      <c r="L312" t="s">
        <v>161</v>
      </c>
      <c r="M312">
        <v>38000</v>
      </c>
      <c r="N312">
        <v>20000</v>
      </c>
      <c r="O312" s="2">
        <v>0.65517241379310343</v>
      </c>
      <c r="P312">
        <v>59500</v>
      </c>
      <c r="Q312" s="2">
        <v>-2.5210084033613449E-2</v>
      </c>
      <c r="R312">
        <v>33100</v>
      </c>
      <c r="S312" s="2">
        <v>1.75226586102719</v>
      </c>
      <c r="W312" t="s">
        <v>198</v>
      </c>
    </row>
    <row r="313" spans="1:23" x14ac:dyDescent="0.3">
      <c r="A313" t="s">
        <v>30</v>
      </c>
      <c r="B313" t="s">
        <v>64</v>
      </c>
      <c r="C313" s="1" t="str">
        <f>HYPERLINK("https://new.land.naver.com/complexes/8481", "클릭")</f>
        <v>클릭</v>
      </c>
      <c r="D313">
        <v>1993</v>
      </c>
      <c r="E313">
        <v>11</v>
      </c>
      <c r="F313">
        <v>870</v>
      </c>
      <c r="G313">
        <v>59</v>
      </c>
      <c r="H313" t="s">
        <v>136</v>
      </c>
      <c r="I313" t="s">
        <v>138</v>
      </c>
      <c r="J313" t="s">
        <v>250</v>
      </c>
      <c r="K313">
        <v>58000</v>
      </c>
      <c r="L313" t="s">
        <v>250</v>
      </c>
      <c r="M313">
        <v>27000</v>
      </c>
      <c r="N313">
        <v>31000</v>
      </c>
      <c r="O313" s="2">
        <v>0.46551724137931028</v>
      </c>
      <c r="P313">
        <v>78000</v>
      </c>
      <c r="Q313" s="2">
        <v>-0.25641025641025639</v>
      </c>
      <c r="R313">
        <v>38000</v>
      </c>
      <c r="S313" s="2">
        <v>1.5263157894736841</v>
      </c>
      <c r="W313" t="s">
        <v>198</v>
      </c>
    </row>
    <row r="314" spans="1:23" x14ac:dyDescent="0.3">
      <c r="A314" t="s">
        <v>28</v>
      </c>
      <c r="B314" t="s">
        <v>93</v>
      </c>
      <c r="C314" s="1" t="str">
        <f>HYPERLINK("https://new.land.naver.com/complexes/26273", "클릭")</f>
        <v>클릭</v>
      </c>
      <c r="D314">
        <v>2006</v>
      </c>
      <c r="E314">
        <v>11</v>
      </c>
      <c r="F314">
        <v>59</v>
      </c>
      <c r="G314">
        <v>84</v>
      </c>
      <c r="H314" t="s">
        <v>135</v>
      </c>
      <c r="I314" t="s">
        <v>137</v>
      </c>
      <c r="J314" t="s">
        <v>143</v>
      </c>
      <c r="K314">
        <v>58000</v>
      </c>
      <c r="L314" t="s">
        <v>143</v>
      </c>
      <c r="M314">
        <v>45000</v>
      </c>
      <c r="N314">
        <v>13000</v>
      </c>
      <c r="O314" s="2">
        <v>0.77586206896551724</v>
      </c>
      <c r="P314">
        <v>60000</v>
      </c>
      <c r="Q314" s="2">
        <v>-3.3333333333333333E-2</v>
      </c>
      <c r="R314">
        <v>36900</v>
      </c>
      <c r="S314" s="2">
        <v>1.571815718157181</v>
      </c>
      <c r="W314" t="s">
        <v>198</v>
      </c>
    </row>
    <row r="315" spans="1:23" x14ac:dyDescent="0.3">
      <c r="A315" t="s">
        <v>31</v>
      </c>
      <c r="B315" t="s">
        <v>76</v>
      </c>
      <c r="C315" s="1" t="str">
        <f>HYPERLINK("https://new.land.naver.com/complexes/1993", "클릭")</f>
        <v>클릭</v>
      </c>
      <c r="D315">
        <v>1993</v>
      </c>
      <c r="E315">
        <v>10</v>
      </c>
      <c r="F315">
        <v>796</v>
      </c>
      <c r="G315">
        <v>59</v>
      </c>
      <c r="H315" t="s">
        <v>136</v>
      </c>
      <c r="I315" t="s">
        <v>138</v>
      </c>
      <c r="J315" t="s">
        <v>270</v>
      </c>
      <c r="K315">
        <v>58000</v>
      </c>
      <c r="L315" t="s">
        <v>270</v>
      </c>
      <c r="M315">
        <v>31000</v>
      </c>
      <c r="N315">
        <v>27000</v>
      </c>
      <c r="O315" s="2">
        <v>0.53448275862068961</v>
      </c>
      <c r="P315">
        <v>65300</v>
      </c>
      <c r="Q315" s="2">
        <v>-0.111791730474732</v>
      </c>
      <c r="R315">
        <v>32500</v>
      </c>
      <c r="S315" s="2">
        <v>1.7846153846153849</v>
      </c>
      <c r="W315" t="s">
        <v>198</v>
      </c>
    </row>
    <row r="316" spans="1:23" x14ac:dyDescent="0.3">
      <c r="A316" t="s">
        <v>29</v>
      </c>
      <c r="B316" t="s">
        <v>308</v>
      </c>
      <c r="C316" s="1" t="str">
        <f>HYPERLINK("https://new.land.naver.com/complexes/135882", "클릭")</f>
        <v>클릭</v>
      </c>
      <c r="D316">
        <v>2020</v>
      </c>
      <c r="E316">
        <v>10</v>
      </c>
      <c r="F316">
        <v>12</v>
      </c>
      <c r="G316">
        <v>68</v>
      </c>
      <c r="J316" t="s">
        <v>258</v>
      </c>
      <c r="K316">
        <v>58000</v>
      </c>
      <c r="L316" t="s">
        <v>258</v>
      </c>
      <c r="M316">
        <v>36000</v>
      </c>
      <c r="N316">
        <v>22000</v>
      </c>
      <c r="O316" s="2">
        <v>0.62068965517241381</v>
      </c>
      <c r="W316" t="s">
        <v>396</v>
      </c>
    </row>
    <row r="317" spans="1:23" x14ac:dyDescent="0.3">
      <c r="A317" t="s">
        <v>31</v>
      </c>
      <c r="B317" t="s">
        <v>220</v>
      </c>
      <c r="C317" s="1" t="str">
        <f>HYPERLINK("https://new.land.naver.com/complexes/1992", "클릭")</f>
        <v>클릭</v>
      </c>
      <c r="D317">
        <v>1993</v>
      </c>
      <c r="E317">
        <v>11</v>
      </c>
      <c r="F317">
        <v>3227</v>
      </c>
      <c r="G317">
        <v>49</v>
      </c>
      <c r="H317" t="s">
        <v>136</v>
      </c>
      <c r="I317" t="s">
        <v>138</v>
      </c>
      <c r="J317" t="s">
        <v>468</v>
      </c>
      <c r="K317">
        <v>57000</v>
      </c>
      <c r="L317" t="s">
        <v>468</v>
      </c>
      <c r="M317">
        <v>25000</v>
      </c>
      <c r="N317">
        <v>32000</v>
      </c>
      <c r="O317" s="2">
        <v>0.43859649122807021</v>
      </c>
      <c r="R317">
        <v>33400</v>
      </c>
      <c r="S317" s="2">
        <v>1.706586826347305</v>
      </c>
      <c r="W317" t="s">
        <v>198</v>
      </c>
    </row>
    <row r="318" spans="1:23" x14ac:dyDescent="0.3">
      <c r="A318" t="s">
        <v>28</v>
      </c>
      <c r="B318" t="s">
        <v>547</v>
      </c>
      <c r="C318" s="1" t="str">
        <f>HYPERLINK("https://new.land.naver.com/complexes/24870", "클릭")</f>
        <v>클릭</v>
      </c>
      <c r="D318">
        <v>2008</v>
      </c>
      <c r="E318">
        <v>2</v>
      </c>
      <c r="F318">
        <v>137</v>
      </c>
      <c r="G318">
        <v>115</v>
      </c>
      <c r="H318" t="s">
        <v>135</v>
      </c>
      <c r="I318" t="s">
        <v>139</v>
      </c>
      <c r="J318" t="s">
        <v>627</v>
      </c>
      <c r="K318">
        <v>57000</v>
      </c>
      <c r="L318" t="s">
        <v>627</v>
      </c>
      <c r="M318">
        <v>40000</v>
      </c>
      <c r="N318">
        <v>17000</v>
      </c>
      <c r="O318" s="2">
        <v>0.70175438596491224</v>
      </c>
      <c r="R318">
        <v>34400</v>
      </c>
      <c r="S318" s="2">
        <v>1.656976744186047</v>
      </c>
      <c r="W318" t="s">
        <v>198</v>
      </c>
    </row>
    <row r="319" spans="1:23" x14ac:dyDescent="0.3">
      <c r="A319" t="s">
        <v>31</v>
      </c>
      <c r="B319" t="s">
        <v>217</v>
      </c>
      <c r="C319" s="1" t="str">
        <f>HYPERLINK("https://new.land.naver.com/complexes/126337", "클릭")</f>
        <v>클릭</v>
      </c>
      <c r="D319">
        <v>2021</v>
      </c>
      <c r="E319">
        <v>11</v>
      </c>
      <c r="F319">
        <v>304</v>
      </c>
      <c r="G319">
        <v>51</v>
      </c>
      <c r="H319" t="s">
        <v>135</v>
      </c>
      <c r="I319" t="s">
        <v>338</v>
      </c>
      <c r="J319" t="s">
        <v>370</v>
      </c>
      <c r="K319">
        <v>57000</v>
      </c>
      <c r="L319" t="s">
        <v>370</v>
      </c>
      <c r="M319">
        <v>38000</v>
      </c>
      <c r="N319">
        <v>19000</v>
      </c>
      <c r="O319" s="2">
        <v>0.66666666666666663</v>
      </c>
      <c r="W319" t="s">
        <v>198</v>
      </c>
    </row>
    <row r="320" spans="1:23" x14ac:dyDescent="0.3">
      <c r="A320" t="s">
        <v>29</v>
      </c>
      <c r="B320" t="s">
        <v>222</v>
      </c>
      <c r="C320" s="1" t="str">
        <f>HYPERLINK("https://new.land.naver.com/complexes/1464", "클릭")</f>
        <v>클릭</v>
      </c>
      <c r="D320">
        <v>1992</v>
      </c>
      <c r="E320">
        <v>7</v>
      </c>
      <c r="F320">
        <v>1068</v>
      </c>
      <c r="G320">
        <v>59</v>
      </c>
      <c r="H320" t="s">
        <v>136</v>
      </c>
      <c r="I320" t="s">
        <v>138</v>
      </c>
      <c r="J320" t="s">
        <v>271</v>
      </c>
      <c r="K320">
        <v>57000</v>
      </c>
      <c r="L320" t="s">
        <v>271</v>
      </c>
      <c r="M320">
        <v>29000</v>
      </c>
      <c r="N320">
        <v>28000</v>
      </c>
      <c r="O320" s="2">
        <v>0.50877192982456143</v>
      </c>
      <c r="P320">
        <v>71300</v>
      </c>
      <c r="Q320" s="2">
        <v>-0.2005610098176718</v>
      </c>
      <c r="W320" t="s">
        <v>198</v>
      </c>
    </row>
    <row r="321" spans="1:23" x14ac:dyDescent="0.3">
      <c r="A321" t="s">
        <v>30</v>
      </c>
      <c r="B321" t="s">
        <v>94</v>
      </c>
      <c r="C321" s="1" t="str">
        <f>HYPERLINK("https://new.land.naver.com/complexes/2805", "클릭")</f>
        <v>클릭</v>
      </c>
      <c r="D321">
        <v>2000</v>
      </c>
      <c r="E321">
        <v>4</v>
      </c>
      <c r="F321">
        <v>230</v>
      </c>
      <c r="G321">
        <v>84</v>
      </c>
      <c r="H321" t="s">
        <v>135</v>
      </c>
      <c r="I321" t="s">
        <v>137</v>
      </c>
      <c r="J321" t="s">
        <v>163</v>
      </c>
      <c r="K321">
        <v>56500</v>
      </c>
      <c r="L321" t="s">
        <v>163</v>
      </c>
      <c r="M321">
        <v>40000</v>
      </c>
      <c r="N321">
        <v>16500</v>
      </c>
      <c r="O321" s="2">
        <v>0.70796460176991149</v>
      </c>
      <c r="P321">
        <v>70000</v>
      </c>
      <c r="Q321" s="2">
        <v>-0.19285714285714289</v>
      </c>
      <c r="R321">
        <v>38800</v>
      </c>
      <c r="S321" s="2">
        <v>1.456185567010309</v>
      </c>
      <c r="W321" t="s">
        <v>198</v>
      </c>
    </row>
    <row r="322" spans="1:23" x14ac:dyDescent="0.3">
      <c r="A322" t="s">
        <v>28</v>
      </c>
      <c r="B322" t="s">
        <v>419</v>
      </c>
      <c r="C322" s="1" t="str">
        <f>HYPERLINK("https://new.land.naver.com/complexes/3022", "클릭")</f>
        <v>클릭</v>
      </c>
      <c r="D322">
        <v>1992</v>
      </c>
      <c r="E322">
        <v>7</v>
      </c>
      <c r="F322">
        <v>902</v>
      </c>
      <c r="G322">
        <v>50</v>
      </c>
      <c r="H322" t="s">
        <v>136</v>
      </c>
      <c r="I322" t="s">
        <v>235</v>
      </c>
      <c r="J322" t="s">
        <v>339</v>
      </c>
      <c r="K322">
        <v>56000</v>
      </c>
      <c r="L322" t="s">
        <v>339</v>
      </c>
      <c r="M322">
        <v>24800</v>
      </c>
      <c r="N322">
        <v>31200</v>
      </c>
      <c r="O322" s="2">
        <v>0.44285714285714278</v>
      </c>
      <c r="R322">
        <v>36700</v>
      </c>
      <c r="S322" s="2">
        <v>1.5258855585831059</v>
      </c>
      <c r="W322" t="s">
        <v>198</v>
      </c>
    </row>
    <row r="323" spans="1:23" x14ac:dyDescent="0.3">
      <c r="A323" t="s">
        <v>31</v>
      </c>
      <c r="B323" t="s">
        <v>223</v>
      </c>
      <c r="C323" s="1" t="str">
        <f>HYPERLINK("https://new.land.naver.com/complexes/13571", "클릭")</f>
        <v>클릭</v>
      </c>
      <c r="D323">
        <v>2005</v>
      </c>
      <c r="E323">
        <v>11</v>
      </c>
      <c r="F323">
        <v>551</v>
      </c>
      <c r="G323">
        <v>59</v>
      </c>
      <c r="H323" t="s">
        <v>135</v>
      </c>
      <c r="I323" t="s">
        <v>137</v>
      </c>
      <c r="J323" t="s">
        <v>272</v>
      </c>
      <c r="K323">
        <v>56000</v>
      </c>
      <c r="L323" t="s">
        <v>272</v>
      </c>
      <c r="M323">
        <v>33000</v>
      </c>
      <c r="N323">
        <v>23000</v>
      </c>
      <c r="O323" s="2">
        <v>0.5892857142857143</v>
      </c>
      <c r="P323">
        <v>68000</v>
      </c>
      <c r="Q323" s="2">
        <v>-0.1764705882352941</v>
      </c>
      <c r="R323">
        <v>32500</v>
      </c>
      <c r="S323" s="2">
        <v>1.723076923076923</v>
      </c>
      <c r="W323" t="s">
        <v>198</v>
      </c>
    </row>
    <row r="324" spans="1:23" x14ac:dyDescent="0.3">
      <c r="A324" t="s">
        <v>28</v>
      </c>
      <c r="B324" t="s">
        <v>95</v>
      </c>
      <c r="C324" s="1" t="str">
        <f>HYPERLINK("https://new.land.naver.com/complexes/24045", "클릭")</f>
        <v>클릭</v>
      </c>
      <c r="D324">
        <v>2007</v>
      </c>
      <c r="E324">
        <v>7</v>
      </c>
      <c r="F324">
        <v>149</v>
      </c>
      <c r="G324">
        <v>84</v>
      </c>
      <c r="H324" t="s">
        <v>135</v>
      </c>
      <c r="I324" t="s">
        <v>137</v>
      </c>
      <c r="J324" t="s">
        <v>163</v>
      </c>
      <c r="K324">
        <v>56000</v>
      </c>
      <c r="L324" t="s">
        <v>163</v>
      </c>
      <c r="M324">
        <v>40000</v>
      </c>
      <c r="N324">
        <v>16000</v>
      </c>
      <c r="O324" s="2">
        <v>0.7142857142857143</v>
      </c>
      <c r="P324">
        <v>65000</v>
      </c>
      <c r="Q324" s="2">
        <v>-0.1384615384615385</v>
      </c>
      <c r="R324">
        <v>36200</v>
      </c>
      <c r="S324" s="2">
        <v>1.5469613259668511</v>
      </c>
      <c r="W324" t="s">
        <v>198</v>
      </c>
    </row>
    <row r="325" spans="1:23" x14ac:dyDescent="0.3">
      <c r="A325" t="s">
        <v>28</v>
      </c>
      <c r="B325" t="s">
        <v>96</v>
      </c>
      <c r="C325" s="1" t="str">
        <f>HYPERLINK("https://new.land.naver.com/complexes/11958", "클릭")</f>
        <v>클릭</v>
      </c>
      <c r="D325">
        <v>2005</v>
      </c>
      <c r="E325">
        <v>4</v>
      </c>
      <c r="F325">
        <v>149</v>
      </c>
      <c r="G325">
        <v>84</v>
      </c>
      <c r="H325" t="s">
        <v>135</v>
      </c>
      <c r="I325" t="s">
        <v>137</v>
      </c>
      <c r="J325" t="s">
        <v>155</v>
      </c>
      <c r="K325">
        <v>56000</v>
      </c>
      <c r="L325" t="s">
        <v>155</v>
      </c>
      <c r="M325">
        <v>35000</v>
      </c>
      <c r="N325">
        <v>21000</v>
      </c>
      <c r="O325" s="2">
        <v>0.625</v>
      </c>
      <c r="P325">
        <v>68000</v>
      </c>
      <c r="Q325" s="2">
        <v>-0.1764705882352941</v>
      </c>
      <c r="R325">
        <v>34600</v>
      </c>
      <c r="S325" s="2">
        <v>1.6184971098265899</v>
      </c>
      <c r="W325" t="s">
        <v>198</v>
      </c>
    </row>
    <row r="326" spans="1:23" x14ac:dyDescent="0.3">
      <c r="A326" t="s">
        <v>30</v>
      </c>
      <c r="B326" t="s">
        <v>97</v>
      </c>
      <c r="C326" s="1" t="str">
        <f>HYPERLINK("https://new.land.naver.com/complexes/8185", "클릭")</f>
        <v>클릭</v>
      </c>
      <c r="D326">
        <v>1999</v>
      </c>
      <c r="E326">
        <v>10</v>
      </c>
      <c r="F326">
        <v>129</v>
      </c>
      <c r="G326">
        <v>84</v>
      </c>
      <c r="H326" t="s">
        <v>135</v>
      </c>
      <c r="I326" t="s">
        <v>137</v>
      </c>
      <c r="J326" t="s">
        <v>174</v>
      </c>
      <c r="K326">
        <v>56000</v>
      </c>
      <c r="L326" t="s">
        <v>174</v>
      </c>
      <c r="M326">
        <v>40000</v>
      </c>
      <c r="N326">
        <v>16000</v>
      </c>
      <c r="O326" s="2">
        <v>0.7142857142857143</v>
      </c>
      <c r="P326">
        <v>59000</v>
      </c>
      <c r="Q326" s="2">
        <v>-5.0847457627118647E-2</v>
      </c>
      <c r="R326">
        <v>32000</v>
      </c>
      <c r="S326" s="2">
        <v>1.75</v>
      </c>
      <c r="W326" t="s">
        <v>198</v>
      </c>
    </row>
    <row r="327" spans="1:23" x14ac:dyDescent="0.3">
      <c r="A327" t="s">
        <v>28</v>
      </c>
      <c r="B327" t="s">
        <v>79</v>
      </c>
      <c r="C327" s="1" t="str">
        <f>HYPERLINK("https://new.land.naver.com/complexes/1474", "클릭")</f>
        <v>클릭</v>
      </c>
      <c r="D327">
        <v>1992</v>
      </c>
      <c r="E327">
        <v>9</v>
      </c>
      <c r="F327">
        <v>458</v>
      </c>
      <c r="G327">
        <v>59</v>
      </c>
      <c r="H327" t="s">
        <v>136</v>
      </c>
      <c r="I327" t="s">
        <v>138</v>
      </c>
      <c r="J327" t="s">
        <v>267</v>
      </c>
      <c r="K327">
        <v>55000</v>
      </c>
      <c r="L327" t="s">
        <v>267</v>
      </c>
      <c r="M327">
        <v>34000</v>
      </c>
      <c r="N327">
        <v>21000</v>
      </c>
      <c r="O327" s="2">
        <v>0.61818181818181817</v>
      </c>
      <c r="P327">
        <v>70700</v>
      </c>
      <c r="Q327" s="2">
        <v>-0.2220650636492221</v>
      </c>
      <c r="R327">
        <v>32000</v>
      </c>
      <c r="S327" s="2">
        <v>1.71875</v>
      </c>
      <c r="W327" t="s">
        <v>198</v>
      </c>
    </row>
    <row r="328" spans="1:23" x14ac:dyDescent="0.3">
      <c r="A328" t="s">
        <v>29</v>
      </c>
      <c r="B328" t="s">
        <v>75</v>
      </c>
      <c r="C328" s="1" t="str">
        <f>HYPERLINK("https://new.land.naver.com/complexes/10281", "클릭")</f>
        <v>클릭</v>
      </c>
      <c r="D328">
        <v>2000</v>
      </c>
      <c r="E328">
        <v>10</v>
      </c>
      <c r="F328">
        <v>160</v>
      </c>
      <c r="G328">
        <v>67</v>
      </c>
      <c r="H328" t="s">
        <v>136</v>
      </c>
      <c r="I328" t="s">
        <v>338</v>
      </c>
      <c r="J328" t="s">
        <v>341</v>
      </c>
      <c r="K328">
        <v>55000</v>
      </c>
      <c r="L328" t="s">
        <v>341</v>
      </c>
      <c r="M328">
        <v>32000</v>
      </c>
      <c r="N328">
        <v>23000</v>
      </c>
      <c r="O328" s="2">
        <v>0.58181818181818179</v>
      </c>
      <c r="R328">
        <v>35600</v>
      </c>
      <c r="S328" s="2">
        <v>1.544943820224719</v>
      </c>
      <c r="W328" t="s">
        <v>198</v>
      </c>
    </row>
    <row r="329" spans="1:23" x14ac:dyDescent="0.3">
      <c r="A329" t="s">
        <v>28</v>
      </c>
      <c r="B329" t="s">
        <v>98</v>
      </c>
      <c r="C329" s="1" t="str">
        <f>HYPERLINK("https://new.land.naver.com/complexes/10509", "클릭")</f>
        <v>클릭</v>
      </c>
      <c r="D329">
        <v>2004</v>
      </c>
      <c r="E329">
        <v>12</v>
      </c>
      <c r="F329">
        <v>361</v>
      </c>
      <c r="G329">
        <v>75</v>
      </c>
      <c r="H329" t="s">
        <v>135</v>
      </c>
      <c r="I329" t="s">
        <v>137</v>
      </c>
      <c r="J329" t="s">
        <v>348</v>
      </c>
      <c r="K329">
        <v>55000</v>
      </c>
      <c r="L329" t="s">
        <v>348</v>
      </c>
      <c r="M329">
        <v>39900</v>
      </c>
      <c r="N329">
        <v>15100</v>
      </c>
      <c r="O329" s="2">
        <v>0.72545454545454546</v>
      </c>
      <c r="R329">
        <v>33300</v>
      </c>
      <c r="S329" s="2">
        <v>1.651651651651652</v>
      </c>
      <c r="W329" t="s">
        <v>198</v>
      </c>
    </row>
    <row r="330" spans="1:23" x14ac:dyDescent="0.3">
      <c r="A330" t="s">
        <v>28</v>
      </c>
      <c r="B330" t="s">
        <v>98</v>
      </c>
      <c r="C330" s="1" t="str">
        <f>HYPERLINK("https://new.land.naver.com/complexes/10509", "클릭")</f>
        <v>클릭</v>
      </c>
      <c r="D330">
        <v>2004</v>
      </c>
      <c r="E330">
        <v>12</v>
      </c>
      <c r="F330">
        <v>361</v>
      </c>
      <c r="G330">
        <v>84</v>
      </c>
      <c r="H330" t="s">
        <v>135</v>
      </c>
      <c r="I330" t="s">
        <v>137</v>
      </c>
      <c r="J330" t="s">
        <v>175</v>
      </c>
      <c r="K330">
        <v>55000</v>
      </c>
      <c r="L330" t="s">
        <v>193</v>
      </c>
      <c r="M330">
        <v>38000</v>
      </c>
      <c r="N330">
        <v>17000</v>
      </c>
      <c r="O330" s="2">
        <v>0.69090909090909092</v>
      </c>
      <c r="P330">
        <v>70000</v>
      </c>
      <c r="Q330" s="2">
        <v>-0.2142857142857143</v>
      </c>
      <c r="R330">
        <v>36400</v>
      </c>
      <c r="S330" s="2">
        <v>1.5109890109890109</v>
      </c>
      <c r="W330" t="s">
        <v>198</v>
      </c>
    </row>
    <row r="331" spans="1:23" x14ac:dyDescent="0.3">
      <c r="A331" t="s">
        <v>31</v>
      </c>
      <c r="B331" t="s">
        <v>132</v>
      </c>
      <c r="C331" s="1" t="str">
        <f>HYPERLINK("https://new.land.naver.com/complexes/1989", "클릭")</f>
        <v>클릭</v>
      </c>
      <c r="D331">
        <v>1979</v>
      </c>
      <c r="E331">
        <v>9</v>
      </c>
      <c r="F331">
        <v>576</v>
      </c>
      <c r="G331">
        <v>85</v>
      </c>
      <c r="H331" t="s">
        <v>136</v>
      </c>
      <c r="I331" t="s">
        <v>235</v>
      </c>
      <c r="J331" t="s">
        <v>360</v>
      </c>
      <c r="K331">
        <v>55000</v>
      </c>
      <c r="L331" t="s">
        <v>360</v>
      </c>
      <c r="M331">
        <v>7000</v>
      </c>
      <c r="N331">
        <v>48000</v>
      </c>
      <c r="O331" s="2">
        <v>0.12727272727272729</v>
      </c>
      <c r="W331" t="s">
        <v>198</v>
      </c>
    </row>
    <row r="332" spans="1:23" x14ac:dyDescent="0.3">
      <c r="A332" t="s">
        <v>31</v>
      </c>
      <c r="B332" t="s">
        <v>99</v>
      </c>
      <c r="C332" s="1" t="str">
        <f>HYPERLINK("https://new.land.naver.com/complexes/110631", "클릭")</f>
        <v>클릭</v>
      </c>
      <c r="D332">
        <v>2017</v>
      </c>
      <c r="E332">
        <v>1</v>
      </c>
      <c r="F332">
        <v>219</v>
      </c>
      <c r="G332">
        <v>84</v>
      </c>
      <c r="H332" t="s">
        <v>135</v>
      </c>
      <c r="I332" t="s">
        <v>137</v>
      </c>
      <c r="J332" t="s">
        <v>176</v>
      </c>
      <c r="K332">
        <v>55000</v>
      </c>
      <c r="L332" t="s">
        <v>176</v>
      </c>
      <c r="M332">
        <v>41000</v>
      </c>
      <c r="N332">
        <v>14000</v>
      </c>
      <c r="O332" s="2">
        <v>0.74545454545454548</v>
      </c>
      <c r="P332">
        <v>67700</v>
      </c>
      <c r="Q332" s="2">
        <v>-0.1875923190546529</v>
      </c>
      <c r="R332">
        <v>39200</v>
      </c>
      <c r="S332" s="2">
        <v>1.403061224489796</v>
      </c>
      <c r="W332" t="s">
        <v>198</v>
      </c>
    </row>
    <row r="333" spans="1:23" x14ac:dyDescent="0.3">
      <c r="A333" t="s">
        <v>29</v>
      </c>
      <c r="B333" t="s">
        <v>299</v>
      </c>
      <c r="C333" s="1" t="str">
        <f>HYPERLINK("https://new.land.naver.com/complexes/153342", "클릭")</f>
        <v>클릭</v>
      </c>
      <c r="D333">
        <v>2022</v>
      </c>
      <c r="E333">
        <v>10</v>
      </c>
      <c r="F333">
        <v>18</v>
      </c>
      <c r="G333">
        <v>79</v>
      </c>
      <c r="I333" t="s">
        <v>137</v>
      </c>
      <c r="J333" t="s">
        <v>367</v>
      </c>
      <c r="K333">
        <v>55000</v>
      </c>
      <c r="L333" t="s">
        <v>367</v>
      </c>
      <c r="M333">
        <v>35000</v>
      </c>
      <c r="N333">
        <v>20000</v>
      </c>
      <c r="O333" s="2">
        <v>0.63636363636363635</v>
      </c>
      <c r="W333" t="s">
        <v>397</v>
      </c>
    </row>
    <row r="334" spans="1:23" x14ac:dyDescent="0.3">
      <c r="A334" t="s">
        <v>28</v>
      </c>
      <c r="B334" t="s">
        <v>123</v>
      </c>
      <c r="C334" s="1" t="str">
        <f>HYPERLINK("https://new.land.naver.com/complexes/19530", "클릭")</f>
        <v>클릭</v>
      </c>
      <c r="D334">
        <v>2007</v>
      </c>
      <c r="E334">
        <v>3</v>
      </c>
      <c r="F334">
        <v>210</v>
      </c>
      <c r="G334">
        <v>134</v>
      </c>
      <c r="J334" t="s">
        <v>628</v>
      </c>
      <c r="K334">
        <v>55000</v>
      </c>
      <c r="W334" t="s">
        <v>645</v>
      </c>
    </row>
    <row r="335" spans="1:23" x14ac:dyDescent="0.3">
      <c r="A335" t="s">
        <v>31</v>
      </c>
      <c r="B335" t="s">
        <v>309</v>
      </c>
      <c r="C335" s="1" t="str">
        <f>HYPERLINK("https://new.land.naver.com/complexes/25744", "클릭")</f>
        <v>클릭</v>
      </c>
      <c r="D335">
        <v>1988</v>
      </c>
      <c r="E335">
        <v>4</v>
      </c>
      <c r="F335">
        <v>40</v>
      </c>
      <c r="G335">
        <v>64</v>
      </c>
      <c r="H335" t="s">
        <v>135</v>
      </c>
      <c r="I335" t="s">
        <v>137</v>
      </c>
      <c r="J335" t="s">
        <v>270</v>
      </c>
      <c r="K335">
        <v>55000</v>
      </c>
      <c r="L335" t="s">
        <v>270</v>
      </c>
      <c r="M335">
        <v>19000</v>
      </c>
      <c r="N335">
        <v>36000</v>
      </c>
      <c r="O335" s="2">
        <v>0.34545454545454551</v>
      </c>
      <c r="W335" t="s">
        <v>398</v>
      </c>
    </row>
    <row r="336" spans="1:23" x14ac:dyDescent="0.3">
      <c r="A336" t="s">
        <v>31</v>
      </c>
      <c r="B336" t="s">
        <v>416</v>
      </c>
      <c r="C336" s="1" t="str">
        <f>HYPERLINK("https://new.land.naver.com/complexes/1988", "클릭")</f>
        <v>클릭</v>
      </c>
      <c r="D336">
        <v>1988</v>
      </c>
      <c r="E336">
        <v>11</v>
      </c>
      <c r="F336">
        <v>80</v>
      </c>
      <c r="G336">
        <v>49</v>
      </c>
      <c r="H336" t="s">
        <v>135</v>
      </c>
      <c r="I336" t="s">
        <v>138</v>
      </c>
      <c r="J336" t="s">
        <v>280</v>
      </c>
      <c r="K336">
        <v>55000</v>
      </c>
      <c r="L336" t="s">
        <v>478</v>
      </c>
      <c r="M336">
        <v>17000</v>
      </c>
      <c r="N336">
        <v>38000</v>
      </c>
      <c r="O336" s="2">
        <v>0.30909090909090908</v>
      </c>
      <c r="W336" t="s">
        <v>522</v>
      </c>
    </row>
    <row r="337" spans="1:23" x14ac:dyDescent="0.3">
      <c r="A337" t="s">
        <v>29</v>
      </c>
      <c r="B337" t="s">
        <v>310</v>
      </c>
      <c r="C337" s="1" t="str">
        <f>HYPERLINK("https://new.land.naver.com/complexes/25592", "클릭")</f>
        <v>클릭</v>
      </c>
      <c r="D337">
        <v>2001</v>
      </c>
      <c r="E337">
        <v>5</v>
      </c>
      <c r="F337">
        <v>14</v>
      </c>
      <c r="G337">
        <v>73</v>
      </c>
      <c r="H337" t="s">
        <v>135</v>
      </c>
      <c r="I337" t="s">
        <v>137</v>
      </c>
      <c r="J337" t="s">
        <v>270</v>
      </c>
      <c r="K337">
        <v>55000</v>
      </c>
      <c r="L337" t="s">
        <v>270</v>
      </c>
      <c r="M337">
        <v>27000</v>
      </c>
      <c r="N337">
        <v>28000</v>
      </c>
      <c r="O337" s="2">
        <v>0.49090909090909091</v>
      </c>
      <c r="R337">
        <v>24000</v>
      </c>
      <c r="S337" s="2">
        <v>2.291666666666667</v>
      </c>
      <c r="W337" t="s">
        <v>198</v>
      </c>
    </row>
    <row r="338" spans="1:23" x14ac:dyDescent="0.3">
      <c r="A338" t="s">
        <v>29</v>
      </c>
      <c r="B338" t="s">
        <v>311</v>
      </c>
      <c r="C338" s="1" t="str">
        <f>HYPERLINK("https://new.land.naver.com/complexes/102646", "클릭")</f>
        <v>클릭</v>
      </c>
      <c r="D338">
        <v>2010</v>
      </c>
      <c r="E338">
        <v>3</v>
      </c>
      <c r="F338">
        <v>52</v>
      </c>
      <c r="G338">
        <v>77</v>
      </c>
      <c r="H338" t="s">
        <v>135</v>
      </c>
      <c r="I338" t="s">
        <v>137</v>
      </c>
      <c r="J338" t="s">
        <v>348</v>
      </c>
      <c r="K338">
        <v>55000</v>
      </c>
      <c r="L338" t="s">
        <v>348</v>
      </c>
      <c r="M338">
        <v>45000</v>
      </c>
      <c r="N338">
        <v>10000</v>
      </c>
      <c r="O338" s="2">
        <v>0.81818181818181823</v>
      </c>
      <c r="R338">
        <v>31400</v>
      </c>
      <c r="S338" s="2">
        <v>1.7515923566878979</v>
      </c>
      <c r="W338" t="s">
        <v>198</v>
      </c>
    </row>
    <row r="339" spans="1:23" x14ac:dyDescent="0.3">
      <c r="A339" t="s">
        <v>28</v>
      </c>
      <c r="B339" t="s">
        <v>100</v>
      </c>
      <c r="C339" s="1" t="str">
        <f>HYPERLINK("https://new.land.naver.com/complexes/19662", "클릭")</f>
        <v>클릭</v>
      </c>
      <c r="D339">
        <v>2005</v>
      </c>
      <c r="E339">
        <v>9</v>
      </c>
      <c r="F339">
        <v>60</v>
      </c>
      <c r="G339">
        <v>84</v>
      </c>
      <c r="H339" t="s">
        <v>135</v>
      </c>
      <c r="I339" t="s">
        <v>137</v>
      </c>
      <c r="J339" t="s">
        <v>143</v>
      </c>
      <c r="K339">
        <v>55000</v>
      </c>
      <c r="L339" t="s">
        <v>143</v>
      </c>
      <c r="M339">
        <v>40000</v>
      </c>
      <c r="N339">
        <v>15000</v>
      </c>
      <c r="O339" s="2">
        <v>0.72727272727272729</v>
      </c>
      <c r="P339">
        <v>55300</v>
      </c>
      <c r="Q339" s="2">
        <v>-5.4249547920433997E-3</v>
      </c>
      <c r="R339">
        <v>31000</v>
      </c>
      <c r="S339" s="2">
        <v>1.774193548387097</v>
      </c>
      <c r="W339" t="s">
        <v>202</v>
      </c>
    </row>
    <row r="340" spans="1:23" x14ac:dyDescent="0.3">
      <c r="A340" t="s">
        <v>31</v>
      </c>
      <c r="B340" t="s">
        <v>101</v>
      </c>
      <c r="C340" s="1" t="str">
        <f>HYPERLINK("https://new.land.naver.com/complexes/13777", "클릭")</f>
        <v>클릭</v>
      </c>
      <c r="D340">
        <v>2005</v>
      </c>
      <c r="E340">
        <v>8</v>
      </c>
      <c r="F340">
        <v>131</v>
      </c>
      <c r="G340">
        <v>58</v>
      </c>
      <c r="J340" t="s">
        <v>250</v>
      </c>
      <c r="K340">
        <v>55000</v>
      </c>
      <c r="L340" t="s">
        <v>250</v>
      </c>
      <c r="M340">
        <v>24000</v>
      </c>
      <c r="N340">
        <v>31000</v>
      </c>
      <c r="O340" s="2">
        <v>0.43636363636363629</v>
      </c>
      <c r="P340">
        <v>55200</v>
      </c>
      <c r="Q340" s="2">
        <v>-3.6231884057971011E-3</v>
      </c>
      <c r="W340" t="s">
        <v>289</v>
      </c>
    </row>
    <row r="341" spans="1:23" x14ac:dyDescent="0.3">
      <c r="A341" t="s">
        <v>29</v>
      </c>
      <c r="B341" t="s">
        <v>548</v>
      </c>
      <c r="C341" s="1" t="str">
        <f>HYPERLINK("https://new.land.naver.com/complexes/23687", "클릭")</f>
        <v>클릭</v>
      </c>
      <c r="D341">
        <v>1995</v>
      </c>
      <c r="E341">
        <v>12</v>
      </c>
      <c r="F341">
        <v>16</v>
      </c>
      <c r="G341">
        <v>93</v>
      </c>
      <c r="H341" t="s">
        <v>135</v>
      </c>
      <c r="I341" t="s">
        <v>137</v>
      </c>
      <c r="J341" t="s">
        <v>185</v>
      </c>
      <c r="K341">
        <v>55000</v>
      </c>
      <c r="L341" t="s">
        <v>185</v>
      </c>
      <c r="M341">
        <v>32000</v>
      </c>
      <c r="N341">
        <v>23000</v>
      </c>
      <c r="O341" s="2">
        <v>0.58181818181818179</v>
      </c>
      <c r="R341">
        <v>31900</v>
      </c>
      <c r="S341" s="2">
        <v>1.7241379310344831</v>
      </c>
      <c r="W341" t="s">
        <v>198</v>
      </c>
    </row>
    <row r="342" spans="1:23" x14ac:dyDescent="0.3">
      <c r="A342" t="s">
        <v>28</v>
      </c>
      <c r="B342" t="s">
        <v>118</v>
      </c>
      <c r="C342" s="1" t="str">
        <f>HYPERLINK("https://new.land.naver.com/complexes/102095", "클릭")</f>
        <v>클릭</v>
      </c>
      <c r="D342">
        <v>2009</v>
      </c>
      <c r="E342">
        <v>12</v>
      </c>
      <c r="F342">
        <v>100</v>
      </c>
      <c r="G342">
        <v>98</v>
      </c>
      <c r="J342" t="s">
        <v>629</v>
      </c>
      <c r="K342">
        <v>55000</v>
      </c>
      <c r="W342" t="s">
        <v>400</v>
      </c>
    </row>
    <row r="343" spans="1:23" x14ac:dyDescent="0.3">
      <c r="A343" t="s">
        <v>29</v>
      </c>
      <c r="B343" t="s">
        <v>308</v>
      </c>
      <c r="C343" s="1" t="str">
        <f>HYPERLINK("https://new.land.naver.com/complexes/135882", "클릭")</f>
        <v>클릭</v>
      </c>
      <c r="D343">
        <v>2020</v>
      </c>
      <c r="E343">
        <v>10</v>
      </c>
      <c r="F343">
        <v>12</v>
      </c>
      <c r="G343">
        <v>66</v>
      </c>
      <c r="J343" t="s">
        <v>340</v>
      </c>
      <c r="K343">
        <v>55000</v>
      </c>
      <c r="L343" t="s">
        <v>340</v>
      </c>
      <c r="M343">
        <v>35000</v>
      </c>
      <c r="N343">
        <v>20000</v>
      </c>
      <c r="O343" s="2">
        <v>0.63636363636363635</v>
      </c>
      <c r="W343" t="s">
        <v>291</v>
      </c>
    </row>
    <row r="344" spans="1:23" x14ac:dyDescent="0.3">
      <c r="A344" t="s">
        <v>29</v>
      </c>
      <c r="B344" t="s">
        <v>225</v>
      </c>
      <c r="C344" s="1" t="str">
        <f>HYPERLINK("https://new.land.naver.com/complexes/105053", "클릭")</f>
        <v>클릭</v>
      </c>
      <c r="D344">
        <v>1985</v>
      </c>
      <c r="E344">
        <v>10</v>
      </c>
      <c r="F344">
        <v>80</v>
      </c>
      <c r="G344">
        <v>56</v>
      </c>
      <c r="H344" t="s">
        <v>135</v>
      </c>
      <c r="I344" t="s">
        <v>138</v>
      </c>
      <c r="J344" t="s">
        <v>284</v>
      </c>
      <c r="K344">
        <v>55000</v>
      </c>
      <c r="L344" t="s">
        <v>284</v>
      </c>
      <c r="M344">
        <v>18000</v>
      </c>
      <c r="N344">
        <v>37000</v>
      </c>
      <c r="O344" s="2">
        <v>0.32727272727272733</v>
      </c>
      <c r="R344">
        <v>24300</v>
      </c>
      <c r="S344" s="2">
        <v>2.263374485596708</v>
      </c>
      <c r="W344" t="s">
        <v>523</v>
      </c>
    </row>
    <row r="345" spans="1:23" x14ac:dyDescent="0.3">
      <c r="A345" t="s">
        <v>31</v>
      </c>
      <c r="B345" t="s">
        <v>78</v>
      </c>
      <c r="C345" s="1" t="str">
        <f>HYPERLINK("https://new.land.naver.com/complexes/105771", "클릭")</f>
        <v>클릭</v>
      </c>
      <c r="D345">
        <v>2003</v>
      </c>
      <c r="E345">
        <v>3</v>
      </c>
      <c r="F345">
        <v>12</v>
      </c>
      <c r="G345">
        <v>66</v>
      </c>
      <c r="H345" t="s">
        <v>135</v>
      </c>
      <c r="I345" t="s">
        <v>138</v>
      </c>
      <c r="J345" t="s">
        <v>254</v>
      </c>
      <c r="K345">
        <v>55000</v>
      </c>
      <c r="W345" t="s">
        <v>399</v>
      </c>
    </row>
    <row r="346" spans="1:23" x14ac:dyDescent="0.3">
      <c r="A346" t="s">
        <v>29</v>
      </c>
      <c r="B346" t="s">
        <v>224</v>
      </c>
      <c r="C346" s="1" t="str">
        <f>HYPERLINK("https://new.land.naver.com/complexes/106572", "클릭")</f>
        <v>클릭</v>
      </c>
      <c r="D346">
        <v>1989</v>
      </c>
      <c r="E346">
        <v>12</v>
      </c>
      <c r="F346">
        <v>24</v>
      </c>
      <c r="G346">
        <v>58</v>
      </c>
      <c r="H346" t="s">
        <v>135</v>
      </c>
      <c r="I346" t="s">
        <v>137</v>
      </c>
      <c r="J346" t="s">
        <v>263</v>
      </c>
      <c r="K346">
        <v>55000</v>
      </c>
      <c r="L346" t="s">
        <v>263</v>
      </c>
      <c r="M346">
        <v>20000</v>
      </c>
      <c r="N346">
        <v>35000</v>
      </c>
      <c r="O346" s="2">
        <v>0.36363636363636359</v>
      </c>
      <c r="W346" t="s">
        <v>198</v>
      </c>
    </row>
    <row r="347" spans="1:23" x14ac:dyDescent="0.3">
      <c r="A347" t="s">
        <v>31</v>
      </c>
      <c r="B347" t="s">
        <v>101</v>
      </c>
      <c r="C347" s="1" t="str">
        <f>HYPERLINK("https://new.land.naver.com/complexes/13777", "클릭")</f>
        <v>클릭</v>
      </c>
      <c r="D347">
        <v>2005</v>
      </c>
      <c r="E347">
        <v>8</v>
      </c>
      <c r="F347">
        <v>131</v>
      </c>
      <c r="G347">
        <v>83</v>
      </c>
      <c r="H347" t="s">
        <v>135</v>
      </c>
      <c r="I347" t="s">
        <v>137</v>
      </c>
      <c r="J347" t="s">
        <v>177</v>
      </c>
      <c r="K347">
        <v>54800</v>
      </c>
      <c r="L347" t="s">
        <v>140</v>
      </c>
      <c r="M347">
        <v>37000</v>
      </c>
      <c r="N347">
        <v>17800</v>
      </c>
      <c r="O347" s="2">
        <v>0.67518248175182483</v>
      </c>
      <c r="P347">
        <v>55000</v>
      </c>
      <c r="Q347" s="2">
        <v>-3.6363636363636359E-3</v>
      </c>
      <c r="R347">
        <v>35700</v>
      </c>
      <c r="S347" s="2">
        <v>1.535014005602241</v>
      </c>
      <c r="W347" t="s">
        <v>198</v>
      </c>
    </row>
    <row r="348" spans="1:23" x14ac:dyDescent="0.3">
      <c r="A348" t="s">
        <v>29</v>
      </c>
      <c r="B348" t="s">
        <v>298</v>
      </c>
      <c r="C348" s="1" t="str">
        <f>HYPERLINK("https://new.land.naver.com/complexes/23128", "클릭")</f>
        <v>클릭</v>
      </c>
      <c r="D348">
        <v>1979</v>
      </c>
      <c r="E348">
        <v>11</v>
      </c>
      <c r="F348">
        <v>48</v>
      </c>
      <c r="G348">
        <v>67</v>
      </c>
      <c r="H348" t="s">
        <v>135</v>
      </c>
      <c r="I348" t="s">
        <v>137</v>
      </c>
      <c r="J348" t="s">
        <v>340</v>
      </c>
      <c r="K348">
        <v>54500</v>
      </c>
      <c r="L348" t="s">
        <v>340</v>
      </c>
      <c r="M348">
        <v>24000</v>
      </c>
      <c r="N348">
        <v>30500</v>
      </c>
      <c r="O348" s="2">
        <v>0.44036697247706419</v>
      </c>
      <c r="W348" t="s">
        <v>400</v>
      </c>
    </row>
    <row r="349" spans="1:23" x14ac:dyDescent="0.3">
      <c r="A349" t="s">
        <v>28</v>
      </c>
      <c r="B349" t="s">
        <v>547</v>
      </c>
      <c r="C349" s="1" t="str">
        <f>HYPERLINK("https://new.land.naver.com/complexes/24870", "클릭")</f>
        <v>클릭</v>
      </c>
      <c r="D349">
        <v>2008</v>
      </c>
      <c r="E349">
        <v>2</v>
      </c>
      <c r="F349">
        <v>137</v>
      </c>
      <c r="G349">
        <v>116</v>
      </c>
      <c r="J349" t="s">
        <v>630</v>
      </c>
      <c r="K349">
        <v>54000</v>
      </c>
      <c r="L349" t="s">
        <v>630</v>
      </c>
      <c r="M349">
        <v>40000</v>
      </c>
      <c r="N349">
        <v>14000</v>
      </c>
      <c r="O349" s="2">
        <v>0.7407407407407407</v>
      </c>
      <c r="W349" t="s">
        <v>394</v>
      </c>
    </row>
    <row r="350" spans="1:23" x14ac:dyDescent="0.3">
      <c r="A350" t="s">
        <v>28</v>
      </c>
      <c r="B350" t="s">
        <v>65</v>
      </c>
      <c r="C350" s="1" t="str">
        <f>HYPERLINK("https://new.land.naver.com/complexes/19492", "클릭")</f>
        <v>클릭</v>
      </c>
      <c r="D350">
        <v>1992</v>
      </c>
      <c r="E350">
        <v>12</v>
      </c>
      <c r="F350">
        <v>800</v>
      </c>
      <c r="G350">
        <v>59</v>
      </c>
      <c r="H350" t="s">
        <v>135</v>
      </c>
      <c r="I350" t="s">
        <v>138</v>
      </c>
      <c r="J350" t="s">
        <v>269</v>
      </c>
      <c r="K350">
        <v>54000</v>
      </c>
      <c r="L350" t="s">
        <v>269</v>
      </c>
      <c r="M350">
        <v>32000</v>
      </c>
      <c r="N350">
        <v>22000</v>
      </c>
      <c r="O350" s="2">
        <v>0.59259259259259256</v>
      </c>
      <c r="P350">
        <v>69300</v>
      </c>
      <c r="Q350" s="2">
        <v>-0.2207792207792208</v>
      </c>
      <c r="R350">
        <v>35300</v>
      </c>
      <c r="S350" s="2">
        <v>1.529745042492918</v>
      </c>
      <c r="W350" t="s">
        <v>198</v>
      </c>
    </row>
    <row r="351" spans="1:23" x14ac:dyDescent="0.3">
      <c r="A351" t="s">
        <v>31</v>
      </c>
      <c r="B351" t="s">
        <v>45</v>
      </c>
      <c r="C351" s="1" t="str">
        <f>HYPERLINK("https://new.land.naver.com/complexes/124780", "클릭")</f>
        <v>클릭</v>
      </c>
      <c r="D351">
        <v>2021</v>
      </c>
      <c r="E351">
        <v>12</v>
      </c>
      <c r="F351">
        <v>2737</v>
      </c>
      <c r="G351">
        <v>45</v>
      </c>
      <c r="H351" t="s">
        <v>136</v>
      </c>
      <c r="I351" t="s">
        <v>235</v>
      </c>
      <c r="J351" t="s">
        <v>339</v>
      </c>
      <c r="K351">
        <v>54000</v>
      </c>
      <c r="L351" t="s">
        <v>339</v>
      </c>
      <c r="M351">
        <v>40000</v>
      </c>
      <c r="N351">
        <v>14000</v>
      </c>
      <c r="O351" s="2">
        <v>0.7407407407407407</v>
      </c>
      <c r="R351">
        <v>32400</v>
      </c>
      <c r="S351" s="2">
        <v>1.666666666666667</v>
      </c>
      <c r="W351" t="s">
        <v>198</v>
      </c>
    </row>
    <row r="352" spans="1:23" x14ac:dyDescent="0.3">
      <c r="A352" t="s">
        <v>30</v>
      </c>
      <c r="B352" t="s">
        <v>297</v>
      </c>
      <c r="C352" s="1" t="str">
        <f>HYPERLINK("https://new.land.naver.com/complexes/2595", "클릭")</f>
        <v>클릭</v>
      </c>
      <c r="D352">
        <v>1992</v>
      </c>
      <c r="E352">
        <v>10</v>
      </c>
      <c r="F352">
        <v>1743</v>
      </c>
      <c r="G352">
        <v>50</v>
      </c>
      <c r="H352" t="s">
        <v>136</v>
      </c>
      <c r="I352" t="s">
        <v>138</v>
      </c>
      <c r="J352" t="s">
        <v>339</v>
      </c>
      <c r="K352">
        <v>53500</v>
      </c>
      <c r="L352" t="s">
        <v>339</v>
      </c>
      <c r="M352">
        <v>26000</v>
      </c>
      <c r="N352">
        <v>27500</v>
      </c>
      <c r="O352" s="2">
        <v>0.48598130841121501</v>
      </c>
      <c r="R352">
        <v>32200</v>
      </c>
      <c r="S352" s="2">
        <v>1.661490683229814</v>
      </c>
      <c r="W352" t="s">
        <v>198</v>
      </c>
    </row>
    <row r="353" spans="1:23" x14ac:dyDescent="0.3">
      <c r="A353" t="s">
        <v>31</v>
      </c>
      <c r="B353" t="s">
        <v>102</v>
      </c>
      <c r="C353" s="1" t="str">
        <f>HYPERLINK("https://new.land.naver.com/complexes/3080", "클릭")</f>
        <v>클릭</v>
      </c>
      <c r="D353">
        <v>2003</v>
      </c>
      <c r="E353">
        <v>3</v>
      </c>
      <c r="F353">
        <v>2044</v>
      </c>
      <c r="G353">
        <v>84</v>
      </c>
      <c r="H353" t="s">
        <v>135</v>
      </c>
      <c r="I353" t="s">
        <v>137</v>
      </c>
      <c r="J353" t="s">
        <v>178</v>
      </c>
      <c r="K353">
        <v>53000</v>
      </c>
      <c r="L353" t="s">
        <v>194</v>
      </c>
      <c r="M353">
        <v>38000</v>
      </c>
      <c r="N353">
        <v>15000</v>
      </c>
      <c r="O353" s="2">
        <v>0.71698113207547165</v>
      </c>
      <c r="P353">
        <v>74000</v>
      </c>
      <c r="Q353" s="2">
        <v>-0.28378378378378383</v>
      </c>
      <c r="R353">
        <v>35800</v>
      </c>
      <c r="S353" s="2">
        <v>1.4804469273743019</v>
      </c>
      <c r="W353" t="s">
        <v>198</v>
      </c>
    </row>
    <row r="354" spans="1:23" x14ac:dyDescent="0.3">
      <c r="A354" t="s">
        <v>28</v>
      </c>
      <c r="B354" t="s">
        <v>103</v>
      </c>
      <c r="C354" s="1" t="str">
        <f>HYPERLINK("https://new.land.naver.com/complexes/8812", "클릭")</f>
        <v>클릭</v>
      </c>
      <c r="D354">
        <v>2001</v>
      </c>
      <c r="E354">
        <v>4</v>
      </c>
      <c r="F354">
        <v>136</v>
      </c>
      <c r="G354">
        <v>84</v>
      </c>
      <c r="H354" t="s">
        <v>135</v>
      </c>
      <c r="I354" t="s">
        <v>137</v>
      </c>
      <c r="J354" t="s">
        <v>179</v>
      </c>
      <c r="K354">
        <v>53000</v>
      </c>
      <c r="L354" t="s">
        <v>179</v>
      </c>
      <c r="M354">
        <v>30000</v>
      </c>
      <c r="N354">
        <v>23000</v>
      </c>
      <c r="O354" s="2">
        <v>0.56603773584905659</v>
      </c>
      <c r="P354">
        <v>55000</v>
      </c>
      <c r="Q354" s="2">
        <v>-3.6363636363636362E-2</v>
      </c>
      <c r="R354">
        <v>30600</v>
      </c>
      <c r="S354" s="2">
        <v>1.73202614379085</v>
      </c>
      <c r="W354" t="s">
        <v>198</v>
      </c>
    </row>
    <row r="355" spans="1:23" x14ac:dyDescent="0.3">
      <c r="A355" t="s">
        <v>30</v>
      </c>
      <c r="B355" t="s">
        <v>104</v>
      </c>
      <c r="C355" s="1" t="str">
        <f>HYPERLINK("https://new.land.naver.com/complexes/24035", "클릭")</f>
        <v>클릭</v>
      </c>
      <c r="D355">
        <v>2003</v>
      </c>
      <c r="E355">
        <v>3</v>
      </c>
      <c r="F355">
        <v>64</v>
      </c>
      <c r="G355">
        <v>84</v>
      </c>
      <c r="H355" t="s">
        <v>135</v>
      </c>
      <c r="I355" t="s">
        <v>137</v>
      </c>
      <c r="J355" t="s">
        <v>180</v>
      </c>
      <c r="K355">
        <v>53000</v>
      </c>
      <c r="L355" t="s">
        <v>153</v>
      </c>
      <c r="M355">
        <v>38000</v>
      </c>
      <c r="N355">
        <v>15000</v>
      </c>
      <c r="O355" s="2">
        <v>0.71698113207547165</v>
      </c>
      <c r="P355">
        <v>57000</v>
      </c>
      <c r="Q355" s="2">
        <v>-7.0175438596491224E-2</v>
      </c>
      <c r="R355">
        <v>33800</v>
      </c>
      <c r="S355" s="2">
        <v>1.568047337278107</v>
      </c>
      <c r="W355" t="s">
        <v>198</v>
      </c>
    </row>
    <row r="356" spans="1:23" x14ac:dyDescent="0.3">
      <c r="A356" t="s">
        <v>28</v>
      </c>
      <c r="B356" t="s">
        <v>105</v>
      </c>
      <c r="C356" s="1" t="str">
        <f>HYPERLINK("https://new.land.naver.com/complexes/10147", "클릭")</f>
        <v>클릭</v>
      </c>
      <c r="D356">
        <v>2004</v>
      </c>
      <c r="E356">
        <v>10</v>
      </c>
      <c r="F356">
        <v>203</v>
      </c>
      <c r="G356">
        <v>84</v>
      </c>
      <c r="H356" t="s">
        <v>135</v>
      </c>
      <c r="I356" t="s">
        <v>137</v>
      </c>
      <c r="J356" t="s">
        <v>158</v>
      </c>
      <c r="K356">
        <v>53000</v>
      </c>
      <c r="L356" t="s">
        <v>158</v>
      </c>
      <c r="M356">
        <v>37000</v>
      </c>
      <c r="N356">
        <v>16000</v>
      </c>
      <c r="O356" s="2">
        <v>0.69811320754716977</v>
      </c>
      <c r="P356">
        <v>63000</v>
      </c>
      <c r="Q356" s="2">
        <v>-0.15873015873015869</v>
      </c>
      <c r="R356">
        <v>32100</v>
      </c>
      <c r="S356" s="2">
        <v>1.6510903426791279</v>
      </c>
      <c r="W356" t="s">
        <v>198</v>
      </c>
    </row>
    <row r="357" spans="1:23" x14ac:dyDescent="0.3">
      <c r="A357" t="s">
        <v>31</v>
      </c>
      <c r="B357" t="s">
        <v>99</v>
      </c>
      <c r="C357" s="1" t="str">
        <f>HYPERLINK("https://new.land.naver.com/complexes/110631", "클릭")</f>
        <v>클릭</v>
      </c>
      <c r="D357">
        <v>2017</v>
      </c>
      <c r="E357">
        <v>1</v>
      </c>
      <c r="F357">
        <v>219</v>
      </c>
      <c r="G357">
        <v>74</v>
      </c>
      <c r="H357" t="s">
        <v>135</v>
      </c>
      <c r="I357" t="s">
        <v>137</v>
      </c>
      <c r="J357" t="s">
        <v>181</v>
      </c>
      <c r="K357">
        <v>53000</v>
      </c>
      <c r="L357" t="s">
        <v>181</v>
      </c>
      <c r="M357">
        <v>39000</v>
      </c>
      <c r="N357">
        <v>14000</v>
      </c>
      <c r="O357" s="2">
        <v>0.73584905660377353</v>
      </c>
      <c r="R357">
        <v>34700</v>
      </c>
      <c r="S357" s="2">
        <v>1.527377521613833</v>
      </c>
      <c r="W357" t="s">
        <v>198</v>
      </c>
    </row>
    <row r="358" spans="1:23" x14ac:dyDescent="0.3">
      <c r="A358" t="s">
        <v>31</v>
      </c>
      <c r="B358" t="s">
        <v>420</v>
      </c>
      <c r="C358" s="1" t="str">
        <f>HYPERLINK("https://new.land.naver.com/complexes/12122", "클릭")</f>
        <v>클릭</v>
      </c>
      <c r="D358">
        <v>1988</v>
      </c>
      <c r="E358">
        <v>10</v>
      </c>
      <c r="F358">
        <v>48</v>
      </c>
      <c r="G358">
        <v>52</v>
      </c>
      <c r="H358" t="s">
        <v>135</v>
      </c>
      <c r="I358" t="s">
        <v>138</v>
      </c>
      <c r="J358" t="s">
        <v>385</v>
      </c>
      <c r="K358">
        <v>53000</v>
      </c>
      <c r="L358" t="s">
        <v>385</v>
      </c>
      <c r="M358">
        <v>20000</v>
      </c>
      <c r="N358">
        <v>33000</v>
      </c>
      <c r="O358" s="2">
        <v>0.37735849056603782</v>
      </c>
      <c r="R358">
        <v>31700</v>
      </c>
      <c r="S358" s="2">
        <v>1.67192429022082</v>
      </c>
      <c r="W358" t="s">
        <v>198</v>
      </c>
    </row>
    <row r="359" spans="1:23" x14ac:dyDescent="0.3">
      <c r="A359" t="s">
        <v>29</v>
      </c>
      <c r="B359" t="s">
        <v>305</v>
      </c>
      <c r="C359" s="1" t="str">
        <f>HYPERLINK("https://new.land.naver.com/complexes/153721", "클릭")</f>
        <v>클릭</v>
      </c>
      <c r="D359">
        <v>2022</v>
      </c>
      <c r="E359">
        <v>10</v>
      </c>
      <c r="F359">
        <v>18</v>
      </c>
      <c r="G359">
        <v>62</v>
      </c>
      <c r="H359" t="s">
        <v>135</v>
      </c>
      <c r="I359" t="s">
        <v>138</v>
      </c>
      <c r="J359" t="s">
        <v>368</v>
      </c>
      <c r="K359">
        <v>53000</v>
      </c>
      <c r="W359" t="s">
        <v>198</v>
      </c>
    </row>
    <row r="360" spans="1:23" x14ac:dyDescent="0.3">
      <c r="A360" t="s">
        <v>29</v>
      </c>
      <c r="B360" t="s">
        <v>305</v>
      </c>
      <c r="C360" s="1" t="str">
        <f>HYPERLINK("https://new.land.naver.com/complexes/153721", "클릭")</f>
        <v>클릭</v>
      </c>
      <c r="D360">
        <v>2022</v>
      </c>
      <c r="E360">
        <v>10</v>
      </c>
      <c r="F360">
        <v>18</v>
      </c>
      <c r="G360">
        <v>65</v>
      </c>
      <c r="H360" t="s">
        <v>135</v>
      </c>
      <c r="I360" t="s">
        <v>138</v>
      </c>
      <c r="J360" t="s">
        <v>258</v>
      </c>
      <c r="K360">
        <v>53000</v>
      </c>
      <c r="L360" t="s">
        <v>258</v>
      </c>
      <c r="M360">
        <v>38000</v>
      </c>
      <c r="N360">
        <v>15000</v>
      </c>
      <c r="O360" s="2">
        <v>0.71698113207547165</v>
      </c>
      <c r="W360" t="s">
        <v>198</v>
      </c>
    </row>
    <row r="361" spans="1:23" x14ac:dyDescent="0.3">
      <c r="A361" t="s">
        <v>28</v>
      </c>
      <c r="B361" t="s">
        <v>106</v>
      </c>
      <c r="C361" s="1" t="str">
        <f>HYPERLINK("https://new.land.naver.com/complexes/13383", "클릭")</f>
        <v>클릭</v>
      </c>
      <c r="D361">
        <v>2005</v>
      </c>
      <c r="E361">
        <v>12</v>
      </c>
      <c r="F361">
        <v>148</v>
      </c>
      <c r="G361">
        <v>84</v>
      </c>
      <c r="H361" t="s">
        <v>135</v>
      </c>
      <c r="I361" t="s">
        <v>137</v>
      </c>
      <c r="J361" t="s">
        <v>149</v>
      </c>
      <c r="K361">
        <v>53000</v>
      </c>
      <c r="L361" t="s">
        <v>149</v>
      </c>
      <c r="M361">
        <v>38000</v>
      </c>
      <c r="N361">
        <v>15000</v>
      </c>
      <c r="O361" s="2">
        <v>0.71698113207547165</v>
      </c>
      <c r="P361">
        <v>66000</v>
      </c>
      <c r="Q361" s="2">
        <v>-0.19696969696969699</v>
      </c>
      <c r="R361">
        <v>34300</v>
      </c>
      <c r="S361" s="2">
        <v>1.545189504373178</v>
      </c>
      <c r="W361" t="s">
        <v>198</v>
      </c>
    </row>
    <row r="362" spans="1:23" x14ac:dyDescent="0.3">
      <c r="A362" t="s">
        <v>30</v>
      </c>
      <c r="B362" t="s">
        <v>421</v>
      </c>
      <c r="C362" s="1" t="str">
        <f>HYPERLINK("https://new.land.naver.com/complexes/8775", "클릭")</f>
        <v>클릭</v>
      </c>
      <c r="D362">
        <v>1996</v>
      </c>
      <c r="E362">
        <v>7</v>
      </c>
      <c r="F362">
        <v>709</v>
      </c>
      <c r="G362">
        <v>49</v>
      </c>
      <c r="H362" t="s">
        <v>136</v>
      </c>
      <c r="I362" t="s">
        <v>235</v>
      </c>
      <c r="J362" t="s">
        <v>469</v>
      </c>
      <c r="K362">
        <v>53000</v>
      </c>
      <c r="L362" t="s">
        <v>469</v>
      </c>
      <c r="M362">
        <v>27000</v>
      </c>
      <c r="N362">
        <v>26000</v>
      </c>
      <c r="O362" s="2">
        <v>0.50943396226415094</v>
      </c>
      <c r="R362">
        <v>31700</v>
      </c>
      <c r="S362" s="2">
        <v>1.67192429022082</v>
      </c>
      <c r="W362" t="s">
        <v>198</v>
      </c>
    </row>
    <row r="363" spans="1:23" x14ac:dyDescent="0.3">
      <c r="A363" t="s">
        <v>28</v>
      </c>
      <c r="B363" t="s">
        <v>107</v>
      </c>
      <c r="C363" s="1" t="str">
        <f>HYPERLINK("https://new.land.naver.com/complexes/19128", "클릭")</f>
        <v>클릭</v>
      </c>
      <c r="D363">
        <v>2005</v>
      </c>
      <c r="E363">
        <v>9</v>
      </c>
      <c r="F363">
        <v>83</v>
      </c>
      <c r="G363">
        <v>84</v>
      </c>
      <c r="H363" t="s">
        <v>135</v>
      </c>
      <c r="I363" t="s">
        <v>137</v>
      </c>
      <c r="J363" t="s">
        <v>163</v>
      </c>
      <c r="K363">
        <v>53000</v>
      </c>
      <c r="L363" t="s">
        <v>163</v>
      </c>
      <c r="M363">
        <v>40000</v>
      </c>
      <c r="N363">
        <v>13000</v>
      </c>
      <c r="O363" s="2">
        <v>0.75471698113207553</v>
      </c>
      <c r="P363">
        <v>63000</v>
      </c>
      <c r="Q363" s="2">
        <v>-0.15873015873015869</v>
      </c>
      <c r="R363">
        <v>33900</v>
      </c>
      <c r="S363" s="2">
        <v>1.5634218289085551</v>
      </c>
      <c r="W363" t="s">
        <v>203</v>
      </c>
    </row>
    <row r="364" spans="1:23" x14ac:dyDescent="0.3">
      <c r="A364" t="s">
        <v>29</v>
      </c>
      <c r="B364" t="s">
        <v>312</v>
      </c>
      <c r="C364" s="1" t="str">
        <f>HYPERLINK("https://new.land.naver.com/complexes/118693", "클릭")</f>
        <v>클릭</v>
      </c>
      <c r="D364">
        <v>2017</v>
      </c>
      <c r="E364">
        <v>11</v>
      </c>
      <c r="F364">
        <v>29</v>
      </c>
      <c r="G364">
        <v>68</v>
      </c>
      <c r="H364" t="s">
        <v>135</v>
      </c>
      <c r="I364" t="s">
        <v>137</v>
      </c>
      <c r="J364" t="s">
        <v>367</v>
      </c>
      <c r="K364">
        <v>53000</v>
      </c>
      <c r="L364" t="s">
        <v>367</v>
      </c>
      <c r="M364">
        <v>30000</v>
      </c>
      <c r="N364">
        <v>23000</v>
      </c>
      <c r="O364" s="2">
        <v>0.56603773584905659</v>
      </c>
      <c r="R364">
        <v>27100</v>
      </c>
      <c r="S364" s="2">
        <v>1.9557195571955719</v>
      </c>
      <c r="W364" t="s">
        <v>198</v>
      </c>
    </row>
    <row r="365" spans="1:23" x14ac:dyDescent="0.3">
      <c r="A365" t="s">
        <v>28</v>
      </c>
      <c r="B365" t="s">
        <v>108</v>
      </c>
      <c r="C365" s="1" t="str">
        <f>HYPERLINK("https://new.land.naver.com/complexes/8800", "클릭")</f>
        <v>클릭</v>
      </c>
      <c r="D365">
        <v>2000</v>
      </c>
      <c r="E365">
        <v>10</v>
      </c>
      <c r="F365">
        <v>370</v>
      </c>
      <c r="G365">
        <v>84</v>
      </c>
      <c r="H365" t="s">
        <v>135</v>
      </c>
      <c r="I365" t="s">
        <v>137</v>
      </c>
      <c r="J365" t="s">
        <v>160</v>
      </c>
      <c r="K365">
        <v>52000</v>
      </c>
      <c r="L365" t="s">
        <v>160</v>
      </c>
      <c r="M365">
        <v>36000</v>
      </c>
      <c r="N365">
        <v>16000</v>
      </c>
      <c r="O365" s="2">
        <v>0.69230769230769229</v>
      </c>
      <c r="P365">
        <v>59000</v>
      </c>
      <c r="Q365" s="2">
        <v>-0.1186440677966102</v>
      </c>
      <c r="R365">
        <v>31900</v>
      </c>
      <c r="S365" s="2">
        <v>1.630094043887147</v>
      </c>
      <c r="W365" t="s">
        <v>198</v>
      </c>
    </row>
    <row r="366" spans="1:23" x14ac:dyDescent="0.3">
      <c r="A366" t="s">
        <v>30</v>
      </c>
      <c r="B366" t="s">
        <v>104</v>
      </c>
      <c r="C366" s="1" t="str">
        <f>HYPERLINK("https://new.land.naver.com/complexes/24035", "클릭")</f>
        <v>클릭</v>
      </c>
      <c r="D366">
        <v>2003</v>
      </c>
      <c r="E366">
        <v>3</v>
      </c>
      <c r="F366">
        <v>64</v>
      </c>
      <c r="G366">
        <v>82</v>
      </c>
      <c r="J366" t="s">
        <v>369</v>
      </c>
      <c r="K366">
        <v>52000</v>
      </c>
      <c r="L366" t="s">
        <v>369</v>
      </c>
      <c r="M366">
        <v>45000</v>
      </c>
      <c r="N366">
        <v>7000</v>
      </c>
      <c r="O366" s="2">
        <v>0.86538461538461542</v>
      </c>
      <c r="W366" t="s">
        <v>401</v>
      </c>
    </row>
    <row r="367" spans="1:23" x14ac:dyDescent="0.3">
      <c r="A367" t="s">
        <v>29</v>
      </c>
      <c r="B367" t="s">
        <v>313</v>
      </c>
      <c r="C367" s="1" t="str">
        <f>HYPERLINK("https://new.land.naver.com/complexes/25197", "클릭")</f>
        <v>클릭</v>
      </c>
      <c r="D367">
        <v>1984</v>
      </c>
      <c r="E367">
        <v>12</v>
      </c>
      <c r="F367">
        <v>36</v>
      </c>
      <c r="G367">
        <v>72</v>
      </c>
      <c r="H367" t="s">
        <v>135</v>
      </c>
      <c r="I367" t="s">
        <v>138</v>
      </c>
      <c r="J367" t="s">
        <v>359</v>
      </c>
      <c r="K367">
        <v>52000</v>
      </c>
      <c r="L367" t="s">
        <v>359</v>
      </c>
      <c r="M367">
        <v>25000</v>
      </c>
      <c r="N367">
        <v>27000</v>
      </c>
      <c r="O367" s="2">
        <v>0.48076923076923078</v>
      </c>
      <c r="R367">
        <v>30700</v>
      </c>
      <c r="S367" s="2">
        <v>1.6938110749185671</v>
      </c>
      <c r="W367" t="s">
        <v>198</v>
      </c>
    </row>
    <row r="368" spans="1:23" x14ac:dyDescent="0.3">
      <c r="A368" t="s">
        <v>28</v>
      </c>
      <c r="B368" t="s">
        <v>109</v>
      </c>
      <c r="C368" s="1" t="str">
        <f>HYPERLINK("https://new.land.naver.com/complexes/103511", "클릭")</f>
        <v>클릭</v>
      </c>
      <c r="D368">
        <v>2012</v>
      </c>
      <c r="E368">
        <v>12</v>
      </c>
      <c r="F368">
        <v>136</v>
      </c>
      <c r="G368">
        <v>84</v>
      </c>
      <c r="H368" t="s">
        <v>135</v>
      </c>
      <c r="I368" t="s">
        <v>137</v>
      </c>
      <c r="J368" t="s">
        <v>149</v>
      </c>
      <c r="K368">
        <v>52000</v>
      </c>
      <c r="L368" t="s">
        <v>195</v>
      </c>
      <c r="M368">
        <v>31000</v>
      </c>
      <c r="N368">
        <v>21000</v>
      </c>
      <c r="O368" s="2">
        <v>0.59615384615384615</v>
      </c>
      <c r="P368">
        <v>58500</v>
      </c>
      <c r="Q368" s="2">
        <v>-0.1111111111111111</v>
      </c>
      <c r="R368">
        <v>31100</v>
      </c>
      <c r="S368" s="2">
        <v>1.672025723472669</v>
      </c>
      <c r="W368" t="s">
        <v>198</v>
      </c>
    </row>
    <row r="369" spans="1:23" x14ac:dyDescent="0.3">
      <c r="A369" t="s">
        <v>29</v>
      </c>
      <c r="B369" t="s">
        <v>214</v>
      </c>
      <c r="C369" s="1" t="str">
        <f>HYPERLINK("https://new.land.naver.com/complexes/1977", "클릭")</f>
        <v>클릭</v>
      </c>
      <c r="D369">
        <v>1986</v>
      </c>
      <c r="E369">
        <v>5</v>
      </c>
      <c r="F369">
        <v>220</v>
      </c>
      <c r="G369">
        <v>49</v>
      </c>
      <c r="H369" t="s">
        <v>135</v>
      </c>
      <c r="I369" t="s">
        <v>138</v>
      </c>
      <c r="J369" t="s">
        <v>469</v>
      </c>
      <c r="K369">
        <v>52000</v>
      </c>
      <c r="L369" t="s">
        <v>469</v>
      </c>
      <c r="M369">
        <v>23200</v>
      </c>
      <c r="N369">
        <v>28800</v>
      </c>
      <c r="O369" s="2">
        <v>0.44615384615384618</v>
      </c>
      <c r="R369">
        <v>32100</v>
      </c>
      <c r="S369" s="2">
        <v>1.61993769470405</v>
      </c>
      <c r="W369" t="s">
        <v>524</v>
      </c>
    </row>
    <row r="370" spans="1:23" x14ac:dyDescent="0.3">
      <c r="A370" t="s">
        <v>31</v>
      </c>
      <c r="B370" t="s">
        <v>80</v>
      </c>
      <c r="C370" s="1" t="str">
        <f>HYPERLINK("https://new.land.naver.com/complexes/3076", "클릭")</f>
        <v>클릭</v>
      </c>
      <c r="D370">
        <v>1992</v>
      </c>
      <c r="E370">
        <v>11</v>
      </c>
      <c r="F370">
        <v>1800</v>
      </c>
      <c r="G370">
        <v>59</v>
      </c>
      <c r="H370" t="s">
        <v>136</v>
      </c>
      <c r="I370" t="s">
        <v>138</v>
      </c>
      <c r="J370" t="s">
        <v>254</v>
      </c>
      <c r="K370">
        <v>52000</v>
      </c>
      <c r="L370" t="s">
        <v>254</v>
      </c>
      <c r="M370">
        <v>31000</v>
      </c>
      <c r="N370">
        <v>21000</v>
      </c>
      <c r="O370" s="2">
        <v>0.59615384615384615</v>
      </c>
      <c r="P370">
        <v>73000</v>
      </c>
      <c r="Q370" s="2">
        <v>-0.28767123287671231</v>
      </c>
      <c r="R370">
        <v>33800</v>
      </c>
      <c r="S370" s="2">
        <v>1.538461538461539</v>
      </c>
      <c r="W370" t="s">
        <v>198</v>
      </c>
    </row>
    <row r="371" spans="1:23" x14ac:dyDescent="0.3">
      <c r="A371" t="s">
        <v>29</v>
      </c>
      <c r="B371" t="s">
        <v>298</v>
      </c>
      <c r="C371" s="1" t="str">
        <f>HYPERLINK("https://new.land.naver.com/complexes/23128", "클릭")</f>
        <v>클릭</v>
      </c>
      <c r="D371">
        <v>1979</v>
      </c>
      <c r="E371">
        <v>11</v>
      </c>
      <c r="F371">
        <v>48</v>
      </c>
      <c r="G371">
        <v>66</v>
      </c>
      <c r="I371" t="s">
        <v>138</v>
      </c>
      <c r="J371" t="s">
        <v>355</v>
      </c>
      <c r="K371">
        <v>52000</v>
      </c>
      <c r="W371" t="s">
        <v>290</v>
      </c>
    </row>
    <row r="372" spans="1:23" x14ac:dyDescent="0.3">
      <c r="A372" t="s">
        <v>29</v>
      </c>
      <c r="B372" t="s">
        <v>305</v>
      </c>
      <c r="C372" s="1" t="str">
        <f>HYPERLINK("https://new.land.naver.com/complexes/153721", "클릭")</f>
        <v>클릭</v>
      </c>
      <c r="D372">
        <v>2022</v>
      </c>
      <c r="E372">
        <v>10</v>
      </c>
      <c r="F372">
        <v>18</v>
      </c>
      <c r="G372">
        <v>60</v>
      </c>
      <c r="H372" t="s">
        <v>135</v>
      </c>
      <c r="I372" t="s">
        <v>138</v>
      </c>
      <c r="J372" t="s">
        <v>370</v>
      </c>
      <c r="K372">
        <v>52000</v>
      </c>
      <c r="W372" t="s">
        <v>198</v>
      </c>
    </row>
    <row r="373" spans="1:23" x14ac:dyDescent="0.3">
      <c r="A373" t="s">
        <v>28</v>
      </c>
      <c r="B373" t="s">
        <v>124</v>
      </c>
      <c r="C373" s="1" t="str">
        <f>HYPERLINK("https://new.land.naver.com/complexes/3032", "클릭")</f>
        <v>클릭</v>
      </c>
      <c r="D373">
        <v>1999</v>
      </c>
      <c r="E373">
        <v>12</v>
      </c>
      <c r="F373">
        <v>212</v>
      </c>
      <c r="G373">
        <v>74</v>
      </c>
      <c r="J373" t="s">
        <v>342</v>
      </c>
      <c r="K373">
        <v>51000</v>
      </c>
      <c r="W373" t="s">
        <v>289</v>
      </c>
    </row>
    <row r="374" spans="1:23" x14ac:dyDescent="0.3">
      <c r="A374" t="s">
        <v>28</v>
      </c>
      <c r="B374" t="s">
        <v>302</v>
      </c>
      <c r="C374" s="1" t="str">
        <f>HYPERLINK("https://new.land.naver.com/complexes/3083", "클릭")</f>
        <v>클릭</v>
      </c>
      <c r="D374">
        <v>2003</v>
      </c>
      <c r="E374">
        <v>4</v>
      </c>
      <c r="F374">
        <v>426</v>
      </c>
      <c r="G374">
        <v>55</v>
      </c>
      <c r="H374" t="s">
        <v>135</v>
      </c>
      <c r="I374" t="s">
        <v>138</v>
      </c>
      <c r="J374" t="s">
        <v>356</v>
      </c>
      <c r="K374">
        <v>51000</v>
      </c>
      <c r="L374" t="s">
        <v>356</v>
      </c>
      <c r="M374">
        <v>31500</v>
      </c>
      <c r="N374">
        <v>19500</v>
      </c>
      <c r="O374" s="2">
        <v>0.61764705882352944</v>
      </c>
      <c r="W374" t="s">
        <v>198</v>
      </c>
    </row>
    <row r="375" spans="1:23" x14ac:dyDescent="0.3">
      <c r="A375" t="s">
        <v>28</v>
      </c>
      <c r="B375" t="s">
        <v>91</v>
      </c>
      <c r="C375" s="1" t="str">
        <f>HYPERLINK("https://new.land.naver.com/complexes/8036", "클릭")</f>
        <v>클릭</v>
      </c>
      <c r="D375">
        <v>2003</v>
      </c>
      <c r="E375">
        <v>12</v>
      </c>
      <c r="F375">
        <v>1752</v>
      </c>
      <c r="G375">
        <v>59</v>
      </c>
      <c r="H375" t="s">
        <v>135</v>
      </c>
      <c r="I375" t="s">
        <v>137</v>
      </c>
      <c r="J375" t="s">
        <v>240</v>
      </c>
      <c r="K375">
        <v>51000</v>
      </c>
      <c r="L375" t="s">
        <v>240</v>
      </c>
      <c r="M375">
        <v>33000</v>
      </c>
      <c r="N375">
        <v>18000</v>
      </c>
      <c r="O375" s="2">
        <v>0.6470588235294118</v>
      </c>
      <c r="P375">
        <v>70000</v>
      </c>
      <c r="Q375" s="2">
        <v>-0.27142857142857141</v>
      </c>
      <c r="R375">
        <v>31800</v>
      </c>
      <c r="S375" s="2">
        <v>1.60377358490566</v>
      </c>
      <c r="W375" t="s">
        <v>198</v>
      </c>
    </row>
    <row r="376" spans="1:23" x14ac:dyDescent="0.3">
      <c r="A376" t="s">
        <v>28</v>
      </c>
      <c r="B376" t="s">
        <v>547</v>
      </c>
      <c r="C376" s="1" t="str">
        <f>HYPERLINK("https://new.land.naver.com/complexes/24870", "클릭")</f>
        <v>클릭</v>
      </c>
      <c r="D376">
        <v>2008</v>
      </c>
      <c r="E376">
        <v>2</v>
      </c>
      <c r="F376">
        <v>137</v>
      </c>
      <c r="G376">
        <v>107</v>
      </c>
      <c r="H376" t="s">
        <v>135</v>
      </c>
      <c r="I376" t="s">
        <v>137</v>
      </c>
      <c r="J376" t="s">
        <v>631</v>
      </c>
      <c r="K376">
        <v>51000</v>
      </c>
      <c r="L376" t="s">
        <v>631</v>
      </c>
      <c r="M376">
        <v>37000</v>
      </c>
      <c r="N376">
        <v>14000</v>
      </c>
      <c r="O376" s="2">
        <v>0.72549019607843135</v>
      </c>
      <c r="R376">
        <v>30900</v>
      </c>
      <c r="S376" s="2">
        <v>1.650485436893204</v>
      </c>
      <c r="W376" t="s">
        <v>198</v>
      </c>
    </row>
    <row r="377" spans="1:23" x14ac:dyDescent="0.3">
      <c r="A377" t="s">
        <v>31</v>
      </c>
      <c r="B377" t="s">
        <v>132</v>
      </c>
      <c r="C377" s="1" t="str">
        <f>HYPERLINK("https://new.land.naver.com/complexes/1989", "클릭")</f>
        <v>클릭</v>
      </c>
      <c r="D377">
        <v>1979</v>
      </c>
      <c r="E377">
        <v>9</v>
      </c>
      <c r="F377">
        <v>576</v>
      </c>
      <c r="G377">
        <v>104</v>
      </c>
      <c r="H377" t="s">
        <v>136</v>
      </c>
      <c r="I377" t="s">
        <v>138</v>
      </c>
      <c r="J377" t="s">
        <v>632</v>
      </c>
      <c r="K377">
        <v>51000</v>
      </c>
      <c r="L377" t="s">
        <v>632</v>
      </c>
      <c r="M377">
        <v>8000</v>
      </c>
      <c r="N377">
        <v>43000</v>
      </c>
      <c r="O377" s="2">
        <v>0.15686274509803921</v>
      </c>
      <c r="W377" t="s">
        <v>198</v>
      </c>
    </row>
    <row r="378" spans="1:23" x14ac:dyDescent="0.3">
      <c r="A378" t="s">
        <v>28</v>
      </c>
      <c r="B378" t="s">
        <v>90</v>
      </c>
      <c r="C378" s="1" t="str">
        <f>HYPERLINK("https://new.land.naver.com/complexes/3082", "클릭")</f>
        <v>클릭</v>
      </c>
      <c r="D378">
        <v>2003</v>
      </c>
      <c r="E378">
        <v>11</v>
      </c>
      <c r="F378">
        <v>1977</v>
      </c>
      <c r="G378">
        <v>59</v>
      </c>
      <c r="H378" t="s">
        <v>135</v>
      </c>
      <c r="I378" t="s">
        <v>137</v>
      </c>
      <c r="J378" t="s">
        <v>267</v>
      </c>
      <c r="K378">
        <v>51000</v>
      </c>
      <c r="L378" t="s">
        <v>267</v>
      </c>
      <c r="M378">
        <v>34000</v>
      </c>
      <c r="N378">
        <v>17000</v>
      </c>
      <c r="O378" s="2">
        <v>0.66666666666666663</v>
      </c>
      <c r="P378">
        <v>67500</v>
      </c>
      <c r="Q378" s="2">
        <v>-0.24444444444444441</v>
      </c>
      <c r="R378">
        <v>31100</v>
      </c>
      <c r="S378" s="2">
        <v>1.639871382636656</v>
      </c>
      <c r="W378" t="s">
        <v>198</v>
      </c>
    </row>
    <row r="379" spans="1:23" x14ac:dyDescent="0.3">
      <c r="A379" t="s">
        <v>29</v>
      </c>
      <c r="B379" t="s">
        <v>422</v>
      </c>
      <c r="C379" s="1" t="str">
        <f>HYPERLINK("https://new.land.naver.com/complexes/19450", "클릭")</f>
        <v>클릭</v>
      </c>
      <c r="D379">
        <v>1988</v>
      </c>
      <c r="E379">
        <v>4</v>
      </c>
      <c r="F379">
        <v>30</v>
      </c>
      <c r="G379">
        <v>52</v>
      </c>
      <c r="H379" t="s">
        <v>135</v>
      </c>
      <c r="I379" t="s">
        <v>235</v>
      </c>
      <c r="J379" t="s">
        <v>339</v>
      </c>
      <c r="K379">
        <v>50500</v>
      </c>
      <c r="L379" t="s">
        <v>339</v>
      </c>
      <c r="M379">
        <v>20000</v>
      </c>
      <c r="N379">
        <v>30500</v>
      </c>
      <c r="O379" s="2">
        <v>0.39603960396039611</v>
      </c>
      <c r="R379">
        <v>27100</v>
      </c>
      <c r="S379" s="2">
        <v>1.8634686346863469</v>
      </c>
      <c r="W379" t="s">
        <v>198</v>
      </c>
    </row>
    <row r="380" spans="1:23" x14ac:dyDescent="0.3">
      <c r="A380" t="s">
        <v>29</v>
      </c>
      <c r="B380" t="s">
        <v>110</v>
      </c>
      <c r="C380" s="1" t="str">
        <f>HYPERLINK("https://new.land.naver.com/complexes/1975", "클릭")</f>
        <v>클릭</v>
      </c>
      <c r="D380">
        <v>1996</v>
      </c>
      <c r="E380">
        <v>2</v>
      </c>
      <c r="F380">
        <v>46</v>
      </c>
      <c r="G380">
        <v>84</v>
      </c>
      <c r="H380" t="s">
        <v>135</v>
      </c>
      <c r="I380" t="s">
        <v>137</v>
      </c>
      <c r="J380" t="s">
        <v>181</v>
      </c>
      <c r="K380">
        <v>50000</v>
      </c>
      <c r="P380">
        <v>41000</v>
      </c>
      <c r="Q380" s="2">
        <v>0.21951219512195119</v>
      </c>
      <c r="R380">
        <v>28400</v>
      </c>
      <c r="S380" s="2">
        <v>1.76056338028169</v>
      </c>
      <c r="W380" t="s">
        <v>204</v>
      </c>
    </row>
    <row r="381" spans="1:23" x14ac:dyDescent="0.3">
      <c r="A381" t="s">
        <v>28</v>
      </c>
      <c r="B381" t="s">
        <v>314</v>
      </c>
      <c r="C381" s="1" t="str">
        <f>HYPERLINK("https://new.land.naver.com/complexes/8353", "클릭")</f>
        <v>클릭</v>
      </c>
      <c r="D381">
        <v>1986</v>
      </c>
      <c r="E381">
        <v>8</v>
      </c>
      <c r="F381">
        <v>30</v>
      </c>
      <c r="G381">
        <v>70</v>
      </c>
      <c r="H381" t="s">
        <v>135</v>
      </c>
      <c r="I381" t="s">
        <v>138</v>
      </c>
      <c r="J381" t="s">
        <v>358</v>
      </c>
      <c r="K381">
        <v>50000</v>
      </c>
      <c r="L381" t="s">
        <v>358</v>
      </c>
      <c r="M381">
        <v>19000</v>
      </c>
      <c r="N381">
        <v>31000</v>
      </c>
      <c r="O381" s="2">
        <v>0.38</v>
      </c>
      <c r="R381">
        <v>24900</v>
      </c>
      <c r="S381" s="2">
        <v>2.0080321285140559</v>
      </c>
      <c r="W381" t="s">
        <v>198</v>
      </c>
    </row>
    <row r="382" spans="1:23" x14ac:dyDescent="0.3">
      <c r="A382" t="s">
        <v>31</v>
      </c>
      <c r="B382" t="s">
        <v>111</v>
      </c>
      <c r="C382" s="1" t="str">
        <f>HYPERLINK("https://new.land.naver.com/complexes/108656", "클릭")</f>
        <v>클릭</v>
      </c>
      <c r="D382">
        <v>2014</v>
      </c>
      <c r="E382">
        <v>10</v>
      </c>
      <c r="F382">
        <v>191</v>
      </c>
      <c r="G382">
        <v>84</v>
      </c>
      <c r="H382" t="s">
        <v>135</v>
      </c>
      <c r="I382" t="s">
        <v>137</v>
      </c>
      <c r="J382" t="s">
        <v>182</v>
      </c>
      <c r="K382">
        <v>50000</v>
      </c>
      <c r="L382" t="s">
        <v>152</v>
      </c>
      <c r="M382">
        <v>40000</v>
      </c>
      <c r="N382">
        <v>10000</v>
      </c>
      <c r="O382" s="2">
        <v>0.8</v>
      </c>
      <c r="P382">
        <v>60000</v>
      </c>
      <c r="Q382" s="2">
        <v>-0.16666666666666671</v>
      </c>
      <c r="W382" t="s">
        <v>198</v>
      </c>
    </row>
    <row r="383" spans="1:23" x14ac:dyDescent="0.3">
      <c r="A383" t="s">
        <v>29</v>
      </c>
      <c r="B383" t="s">
        <v>214</v>
      </c>
      <c r="C383" s="1" t="str">
        <f>HYPERLINK("https://new.land.naver.com/complexes/1977", "클릭")</f>
        <v>클릭</v>
      </c>
      <c r="D383">
        <v>1986</v>
      </c>
      <c r="E383">
        <v>5</v>
      </c>
      <c r="F383">
        <v>220</v>
      </c>
      <c r="G383">
        <v>41</v>
      </c>
      <c r="H383" t="s">
        <v>135</v>
      </c>
      <c r="I383" t="s">
        <v>235</v>
      </c>
      <c r="J383" t="s">
        <v>470</v>
      </c>
      <c r="K383">
        <v>50000</v>
      </c>
      <c r="L383" t="s">
        <v>470</v>
      </c>
      <c r="M383">
        <v>19000</v>
      </c>
      <c r="N383">
        <v>31000</v>
      </c>
      <c r="O383" s="2">
        <v>0.38</v>
      </c>
      <c r="R383">
        <v>28000</v>
      </c>
      <c r="S383" s="2">
        <v>1.785714285714286</v>
      </c>
      <c r="W383" t="s">
        <v>198</v>
      </c>
    </row>
    <row r="384" spans="1:23" x14ac:dyDescent="0.3">
      <c r="A384" t="s">
        <v>29</v>
      </c>
      <c r="B384" t="s">
        <v>214</v>
      </c>
      <c r="C384" s="1" t="str">
        <f>HYPERLINK("https://new.land.naver.com/complexes/1977", "클릭")</f>
        <v>클릭</v>
      </c>
      <c r="D384">
        <v>1986</v>
      </c>
      <c r="E384">
        <v>5</v>
      </c>
      <c r="F384">
        <v>220</v>
      </c>
      <c r="G384">
        <v>43</v>
      </c>
      <c r="H384" t="s">
        <v>135</v>
      </c>
      <c r="I384" t="s">
        <v>235</v>
      </c>
      <c r="J384" t="s">
        <v>471</v>
      </c>
      <c r="K384">
        <v>50000</v>
      </c>
      <c r="L384" t="s">
        <v>471</v>
      </c>
      <c r="M384">
        <v>16000</v>
      </c>
      <c r="N384">
        <v>34000</v>
      </c>
      <c r="O384" s="2">
        <v>0.32</v>
      </c>
      <c r="R384">
        <v>28800</v>
      </c>
      <c r="S384" s="2">
        <v>1.7361111111111109</v>
      </c>
      <c r="W384" t="s">
        <v>287</v>
      </c>
    </row>
    <row r="385" spans="1:23" x14ac:dyDescent="0.3">
      <c r="A385" t="s">
        <v>31</v>
      </c>
      <c r="B385" t="s">
        <v>296</v>
      </c>
      <c r="C385" s="1" t="str">
        <f>HYPERLINK("https://new.land.naver.com/complexes/141825", "클릭")</f>
        <v>클릭</v>
      </c>
      <c r="D385">
        <v>2023</v>
      </c>
      <c r="E385">
        <v>5</v>
      </c>
      <c r="F385">
        <v>230</v>
      </c>
      <c r="G385">
        <v>48</v>
      </c>
      <c r="H385" t="s">
        <v>135</v>
      </c>
      <c r="I385" t="s">
        <v>235</v>
      </c>
      <c r="J385" t="s">
        <v>466</v>
      </c>
      <c r="K385">
        <v>50000</v>
      </c>
      <c r="L385" t="s">
        <v>466</v>
      </c>
      <c r="M385">
        <v>35000</v>
      </c>
      <c r="N385">
        <v>15000</v>
      </c>
      <c r="O385" s="2">
        <v>0.7</v>
      </c>
      <c r="W385" t="s">
        <v>198</v>
      </c>
    </row>
    <row r="386" spans="1:23" x14ac:dyDescent="0.3">
      <c r="A386" t="s">
        <v>31</v>
      </c>
      <c r="B386" t="s">
        <v>132</v>
      </c>
      <c r="C386" s="1" t="str">
        <f>HYPERLINK("https://new.land.naver.com/complexes/1989", "클릭")</f>
        <v>클릭</v>
      </c>
      <c r="D386">
        <v>1979</v>
      </c>
      <c r="E386">
        <v>9</v>
      </c>
      <c r="F386">
        <v>576</v>
      </c>
      <c r="G386">
        <v>102</v>
      </c>
      <c r="H386" t="s">
        <v>136</v>
      </c>
      <c r="I386" t="s">
        <v>138</v>
      </c>
      <c r="J386" t="s">
        <v>142</v>
      </c>
      <c r="K386">
        <v>50000</v>
      </c>
      <c r="L386" t="s">
        <v>142</v>
      </c>
      <c r="M386">
        <v>12000</v>
      </c>
      <c r="N386">
        <v>38000</v>
      </c>
      <c r="O386" s="2">
        <v>0.24</v>
      </c>
      <c r="W386" t="s">
        <v>198</v>
      </c>
    </row>
    <row r="387" spans="1:23" x14ac:dyDescent="0.3">
      <c r="A387" t="s">
        <v>31</v>
      </c>
      <c r="B387" t="s">
        <v>132</v>
      </c>
      <c r="C387" s="1" t="str">
        <f>HYPERLINK("https://new.land.naver.com/complexes/1989", "클릭")</f>
        <v>클릭</v>
      </c>
      <c r="D387">
        <v>1979</v>
      </c>
      <c r="E387">
        <v>9</v>
      </c>
      <c r="F387">
        <v>576</v>
      </c>
      <c r="G387">
        <v>107</v>
      </c>
      <c r="H387" t="s">
        <v>136</v>
      </c>
      <c r="I387" t="s">
        <v>138</v>
      </c>
      <c r="J387" t="s">
        <v>187</v>
      </c>
      <c r="K387">
        <v>50000</v>
      </c>
      <c r="L387" t="s">
        <v>187</v>
      </c>
      <c r="M387">
        <v>15000</v>
      </c>
      <c r="N387">
        <v>35000</v>
      </c>
      <c r="O387" s="2">
        <v>0.3</v>
      </c>
      <c r="W387" t="s">
        <v>198</v>
      </c>
    </row>
    <row r="388" spans="1:23" x14ac:dyDescent="0.3">
      <c r="A388" t="s">
        <v>31</v>
      </c>
      <c r="B388" t="s">
        <v>51</v>
      </c>
      <c r="C388" s="1" t="str">
        <f>HYPERLINK("https://new.land.naver.com/complexes/13922", "클릭")</f>
        <v>클릭</v>
      </c>
      <c r="D388">
        <v>1981</v>
      </c>
      <c r="E388">
        <v>9</v>
      </c>
      <c r="F388">
        <v>912</v>
      </c>
      <c r="G388">
        <v>57</v>
      </c>
      <c r="I388" t="s">
        <v>235</v>
      </c>
      <c r="J388" t="s">
        <v>273</v>
      </c>
      <c r="K388">
        <v>50000</v>
      </c>
      <c r="P388">
        <v>96000</v>
      </c>
      <c r="Q388" s="2">
        <v>-0.47916666666666669</v>
      </c>
      <c r="W388" t="s">
        <v>290</v>
      </c>
    </row>
    <row r="389" spans="1:23" x14ac:dyDescent="0.3">
      <c r="A389" t="s">
        <v>28</v>
      </c>
      <c r="B389" t="s">
        <v>127</v>
      </c>
      <c r="C389" s="1" t="str">
        <f>HYPERLINK("https://new.land.naver.com/complexes/2047", "클릭")</f>
        <v>클릭</v>
      </c>
      <c r="D389">
        <v>1994</v>
      </c>
      <c r="E389">
        <v>11</v>
      </c>
      <c r="F389">
        <v>148</v>
      </c>
      <c r="G389">
        <v>99</v>
      </c>
      <c r="H389" t="s">
        <v>136</v>
      </c>
      <c r="I389" t="s">
        <v>137</v>
      </c>
      <c r="J389" t="s">
        <v>600</v>
      </c>
      <c r="K389">
        <v>50000</v>
      </c>
      <c r="R389">
        <v>27200</v>
      </c>
      <c r="S389" s="2">
        <v>1.838235294117647</v>
      </c>
      <c r="W389" t="s">
        <v>205</v>
      </c>
    </row>
    <row r="390" spans="1:23" x14ac:dyDescent="0.3">
      <c r="A390" t="s">
        <v>30</v>
      </c>
      <c r="B390" t="s">
        <v>87</v>
      </c>
      <c r="C390" s="1" t="str">
        <f>HYPERLINK("https://new.land.naver.com/complexes/25078", "클릭")</f>
        <v>클릭</v>
      </c>
      <c r="D390">
        <v>2000</v>
      </c>
      <c r="E390">
        <v>10</v>
      </c>
      <c r="F390">
        <v>180</v>
      </c>
      <c r="G390">
        <v>60</v>
      </c>
      <c r="H390" t="s">
        <v>135</v>
      </c>
      <c r="I390" t="s">
        <v>235</v>
      </c>
      <c r="J390" t="s">
        <v>364</v>
      </c>
      <c r="K390">
        <v>50000</v>
      </c>
      <c r="L390" t="s">
        <v>364</v>
      </c>
      <c r="M390">
        <v>32000</v>
      </c>
      <c r="N390">
        <v>18000</v>
      </c>
      <c r="O390" s="2">
        <v>0.64</v>
      </c>
      <c r="R390">
        <v>30000</v>
      </c>
      <c r="S390" s="2">
        <v>1.666666666666667</v>
      </c>
      <c r="W390" t="s">
        <v>198</v>
      </c>
    </row>
    <row r="391" spans="1:23" x14ac:dyDescent="0.3">
      <c r="A391" t="s">
        <v>29</v>
      </c>
      <c r="B391" t="s">
        <v>83</v>
      </c>
      <c r="C391" s="1" t="str">
        <f>HYPERLINK("https://new.land.naver.com/complexes/25883", "클릭")</f>
        <v>클릭</v>
      </c>
      <c r="D391">
        <v>2007</v>
      </c>
      <c r="E391">
        <v>5</v>
      </c>
      <c r="F391">
        <v>80</v>
      </c>
      <c r="G391">
        <v>77</v>
      </c>
      <c r="J391" t="s">
        <v>343</v>
      </c>
      <c r="K391">
        <v>50000</v>
      </c>
      <c r="W391" t="s">
        <v>402</v>
      </c>
    </row>
    <row r="392" spans="1:23" x14ac:dyDescent="0.3">
      <c r="A392" t="s">
        <v>29</v>
      </c>
      <c r="B392" t="s">
        <v>315</v>
      </c>
      <c r="C392" s="1" t="str">
        <f>HYPERLINK("https://new.land.naver.com/complexes/26181", "클릭")</f>
        <v>클릭</v>
      </c>
      <c r="D392">
        <v>2007</v>
      </c>
      <c r="E392">
        <v>10</v>
      </c>
      <c r="F392">
        <v>30</v>
      </c>
      <c r="G392">
        <v>67</v>
      </c>
      <c r="H392" t="s">
        <v>336</v>
      </c>
      <c r="I392" t="s">
        <v>138</v>
      </c>
      <c r="J392" t="s">
        <v>237</v>
      </c>
      <c r="K392">
        <v>50000</v>
      </c>
      <c r="L392" t="s">
        <v>237</v>
      </c>
      <c r="M392">
        <v>32000</v>
      </c>
      <c r="N392">
        <v>18000</v>
      </c>
      <c r="O392" s="2">
        <v>0.64</v>
      </c>
      <c r="W392" t="s">
        <v>403</v>
      </c>
    </row>
    <row r="393" spans="1:23" x14ac:dyDescent="0.3">
      <c r="A393" t="s">
        <v>29</v>
      </c>
      <c r="B393" t="s">
        <v>326</v>
      </c>
      <c r="C393" s="1" t="str">
        <f>HYPERLINK("https://new.land.naver.com/complexes/10392", "클릭")</f>
        <v>클릭</v>
      </c>
      <c r="D393">
        <v>1998</v>
      </c>
      <c r="E393">
        <v>3</v>
      </c>
      <c r="F393">
        <v>40</v>
      </c>
      <c r="G393">
        <v>99</v>
      </c>
      <c r="H393" t="s">
        <v>136</v>
      </c>
      <c r="I393" t="s">
        <v>137</v>
      </c>
      <c r="J393" t="s">
        <v>594</v>
      </c>
      <c r="K393">
        <v>50000</v>
      </c>
      <c r="R393">
        <v>32200</v>
      </c>
      <c r="S393" s="2">
        <v>1.5527950310559011</v>
      </c>
      <c r="W393" t="s">
        <v>198</v>
      </c>
    </row>
    <row r="394" spans="1:23" x14ac:dyDescent="0.3">
      <c r="A394" t="s">
        <v>31</v>
      </c>
      <c r="B394" t="s">
        <v>420</v>
      </c>
      <c r="C394" s="1" t="str">
        <f>HYPERLINK("https://new.land.naver.com/complexes/12122", "클릭")</f>
        <v>클릭</v>
      </c>
      <c r="D394">
        <v>1988</v>
      </c>
      <c r="E394">
        <v>10</v>
      </c>
      <c r="F394">
        <v>48</v>
      </c>
      <c r="G394">
        <v>41</v>
      </c>
      <c r="H394" t="s">
        <v>135</v>
      </c>
      <c r="I394" t="s">
        <v>235</v>
      </c>
      <c r="J394" t="s">
        <v>472</v>
      </c>
      <c r="K394">
        <v>50000</v>
      </c>
      <c r="L394" t="s">
        <v>472</v>
      </c>
      <c r="M394">
        <v>9500</v>
      </c>
      <c r="N394">
        <v>40500</v>
      </c>
      <c r="O394" s="2">
        <v>0.19</v>
      </c>
      <c r="R394">
        <v>23700</v>
      </c>
      <c r="S394" s="2">
        <v>2.109704641350211</v>
      </c>
      <c r="W394" t="s">
        <v>198</v>
      </c>
    </row>
    <row r="395" spans="1:23" x14ac:dyDescent="0.3">
      <c r="A395" t="s">
        <v>31</v>
      </c>
      <c r="B395" t="s">
        <v>84</v>
      </c>
      <c r="C395" s="1" t="str">
        <f>HYPERLINK("https://new.land.naver.com/complexes/22957", "클릭")</f>
        <v>클릭</v>
      </c>
      <c r="D395">
        <v>2007</v>
      </c>
      <c r="E395">
        <v>7</v>
      </c>
      <c r="F395">
        <v>492</v>
      </c>
      <c r="G395">
        <v>59</v>
      </c>
      <c r="H395" t="s">
        <v>135</v>
      </c>
      <c r="I395" t="s">
        <v>137</v>
      </c>
      <c r="J395" t="s">
        <v>239</v>
      </c>
      <c r="K395">
        <v>50000</v>
      </c>
      <c r="L395" t="s">
        <v>252</v>
      </c>
      <c r="M395">
        <v>37000</v>
      </c>
      <c r="N395">
        <v>13000</v>
      </c>
      <c r="O395" s="2">
        <v>0.74</v>
      </c>
      <c r="P395">
        <v>69000</v>
      </c>
      <c r="Q395" s="2">
        <v>-0.27536231884057971</v>
      </c>
      <c r="R395">
        <v>32600</v>
      </c>
      <c r="S395" s="2">
        <v>1.533742331288344</v>
      </c>
      <c r="W395" t="s">
        <v>198</v>
      </c>
    </row>
    <row r="396" spans="1:23" x14ac:dyDescent="0.3">
      <c r="A396" t="s">
        <v>31</v>
      </c>
      <c r="B396" t="s">
        <v>416</v>
      </c>
      <c r="C396" s="1" t="str">
        <f>HYPERLINK("https://new.land.naver.com/complexes/1988", "클릭")</f>
        <v>클릭</v>
      </c>
      <c r="D396">
        <v>1988</v>
      </c>
      <c r="E396">
        <v>11</v>
      </c>
      <c r="F396">
        <v>80</v>
      </c>
      <c r="G396">
        <v>37</v>
      </c>
      <c r="H396" t="s">
        <v>135</v>
      </c>
      <c r="I396" t="s">
        <v>235</v>
      </c>
      <c r="J396" t="s">
        <v>473</v>
      </c>
      <c r="K396">
        <v>50000</v>
      </c>
      <c r="L396" t="s">
        <v>473</v>
      </c>
      <c r="M396">
        <v>15000</v>
      </c>
      <c r="N396">
        <v>35000</v>
      </c>
      <c r="O396" s="2">
        <v>0.3</v>
      </c>
      <c r="R396">
        <v>26100</v>
      </c>
      <c r="S396" s="2">
        <v>1.9157088122605359</v>
      </c>
      <c r="W396" t="s">
        <v>288</v>
      </c>
    </row>
    <row r="397" spans="1:23" x14ac:dyDescent="0.3">
      <c r="A397" t="s">
        <v>28</v>
      </c>
      <c r="B397" t="s">
        <v>88</v>
      </c>
      <c r="C397" s="1" t="str">
        <f>HYPERLINK("https://new.land.naver.com/complexes/2042", "클릭")</f>
        <v>클릭</v>
      </c>
      <c r="D397">
        <v>1999</v>
      </c>
      <c r="E397">
        <v>7</v>
      </c>
      <c r="F397">
        <v>644</v>
      </c>
      <c r="G397">
        <v>59</v>
      </c>
      <c r="H397" t="s">
        <v>135</v>
      </c>
      <c r="I397" t="s">
        <v>138</v>
      </c>
      <c r="J397" t="s">
        <v>271</v>
      </c>
      <c r="K397">
        <v>50000</v>
      </c>
      <c r="L397" t="s">
        <v>271</v>
      </c>
      <c r="M397">
        <v>31500</v>
      </c>
      <c r="N397">
        <v>18500</v>
      </c>
      <c r="O397" s="2">
        <v>0.63</v>
      </c>
      <c r="P397">
        <v>67000</v>
      </c>
      <c r="Q397" s="2">
        <v>-0.2537313432835821</v>
      </c>
      <c r="R397">
        <v>32800</v>
      </c>
      <c r="S397" s="2">
        <v>1.524390243902439</v>
      </c>
      <c r="W397" t="s">
        <v>198</v>
      </c>
    </row>
    <row r="398" spans="1:23" x14ac:dyDescent="0.3">
      <c r="A398" t="s">
        <v>28</v>
      </c>
      <c r="B398" t="s">
        <v>106</v>
      </c>
      <c r="C398" s="1" t="str">
        <f>HYPERLINK("https://new.land.naver.com/complexes/13383", "클릭")</f>
        <v>클릭</v>
      </c>
      <c r="D398">
        <v>2005</v>
      </c>
      <c r="E398">
        <v>12</v>
      </c>
      <c r="F398">
        <v>148</v>
      </c>
      <c r="G398">
        <v>72</v>
      </c>
      <c r="H398" t="s">
        <v>135</v>
      </c>
      <c r="I398" t="s">
        <v>137</v>
      </c>
      <c r="J398" t="s">
        <v>341</v>
      </c>
      <c r="K398">
        <v>50000</v>
      </c>
      <c r="L398" t="s">
        <v>341</v>
      </c>
      <c r="M398">
        <v>35000</v>
      </c>
      <c r="N398">
        <v>15000</v>
      </c>
      <c r="O398" s="2">
        <v>0.7</v>
      </c>
      <c r="R398">
        <v>29800</v>
      </c>
      <c r="S398" s="2">
        <v>1.6778523489932891</v>
      </c>
      <c r="W398" t="s">
        <v>198</v>
      </c>
    </row>
    <row r="399" spans="1:23" x14ac:dyDescent="0.3">
      <c r="A399" t="s">
        <v>29</v>
      </c>
      <c r="B399" t="s">
        <v>311</v>
      </c>
      <c r="C399" s="1" t="str">
        <f>HYPERLINK("https://new.land.naver.com/complexes/102646", "클릭")</f>
        <v>클릭</v>
      </c>
      <c r="D399">
        <v>2010</v>
      </c>
      <c r="E399">
        <v>3</v>
      </c>
      <c r="F399">
        <v>52</v>
      </c>
      <c r="G399">
        <v>64</v>
      </c>
      <c r="J399" t="s">
        <v>271</v>
      </c>
      <c r="K399">
        <v>50000</v>
      </c>
      <c r="W399" t="s">
        <v>404</v>
      </c>
    </row>
    <row r="400" spans="1:23" x14ac:dyDescent="0.3">
      <c r="A400" t="s">
        <v>31</v>
      </c>
      <c r="B400" t="s">
        <v>217</v>
      </c>
      <c r="C400" s="1" t="str">
        <f>HYPERLINK("https://new.land.naver.com/complexes/126337", "클릭")</f>
        <v>클릭</v>
      </c>
      <c r="D400">
        <v>2021</v>
      </c>
      <c r="E400">
        <v>11</v>
      </c>
      <c r="F400">
        <v>304</v>
      </c>
      <c r="G400">
        <v>47</v>
      </c>
      <c r="H400" t="s">
        <v>135</v>
      </c>
      <c r="I400" t="s">
        <v>235</v>
      </c>
      <c r="J400" t="s">
        <v>238</v>
      </c>
      <c r="K400">
        <v>50000</v>
      </c>
      <c r="L400" t="s">
        <v>238</v>
      </c>
      <c r="M400">
        <v>36000</v>
      </c>
      <c r="N400">
        <v>14000</v>
      </c>
      <c r="O400" s="2">
        <v>0.72</v>
      </c>
      <c r="W400" t="s">
        <v>198</v>
      </c>
    </row>
    <row r="401" spans="1:23" x14ac:dyDescent="0.3">
      <c r="A401" t="s">
        <v>28</v>
      </c>
      <c r="B401" t="s">
        <v>107</v>
      </c>
      <c r="C401" s="1" t="str">
        <f>HYPERLINK("https://new.land.naver.com/complexes/19128", "클릭")</f>
        <v>클릭</v>
      </c>
      <c r="D401">
        <v>2005</v>
      </c>
      <c r="E401">
        <v>9</v>
      </c>
      <c r="F401">
        <v>83</v>
      </c>
      <c r="G401">
        <v>70</v>
      </c>
      <c r="H401" t="s">
        <v>135</v>
      </c>
      <c r="I401" t="s">
        <v>137</v>
      </c>
      <c r="J401" t="s">
        <v>359</v>
      </c>
      <c r="K401">
        <v>50000</v>
      </c>
      <c r="L401" t="s">
        <v>359</v>
      </c>
      <c r="M401">
        <v>35000</v>
      </c>
      <c r="N401">
        <v>15000</v>
      </c>
      <c r="O401" s="2">
        <v>0.7</v>
      </c>
      <c r="R401">
        <v>30100</v>
      </c>
      <c r="S401" s="2">
        <v>1.6611295681063121</v>
      </c>
      <c r="W401" t="s">
        <v>203</v>
      </c>
    </row>
    <row r="402" spans="1:23" x14ac:dyDescent="0.3">
      <c r="A402" t="s">
        <v>29</v>
      </c>
      <c r="B402" t="s">
        <v>225</v>
      </c>
      <c r="C402" s="1" t="str">
        <f>HYPERLINK("https://new.land.naver.com/complexes/105053", "클릭")</f>
        <v>클릭</v>
      </c>
      <c r="D402">
        <v>1985</v>
      </c>
      <c r="E402">
        <v>10</v>
      </c>
      <c r="F402">
        <v>80</v>
      </c>
      <c r="G402">
        <v>57</v>
      </c>
      <c r="H402" t="s">
        <v>135</v>
      </c>
      <c r="I402" t="s">
        <v>137</v>
      </c>
      <c r="J402" t="s">
        <v>274</v>
      </c>
      <c r="K402">
        <v>50000</v>
      </c>
      <c r="L402" t="s">
        <v>274</v>
      </c>
      <c r="M402">
        <v>18000</v>
      </c>
      <c r="N402">
        <v>32000</v>
      </c>
      <c r="O402" s="2">
        <v>0.36</v>
      </c>
      <c r="R402">
        <v>24500</v>
      </c>
      <c r="S402" s="2">
        <v>2.0408163265306118</v>
      </c>
      <c r="W402" t="s">
        <v>198</v>
      </c>
    </row>
    <row r="403" spans="1:23" x14ac:dyDescent="0.3">
      <c r="A403" t="s">
        <v>28</v>
      </c>
      <c r="B403" t="s">
        <v>32</v>
      </c>
      <c r="C403" s="1" t="str">
        <f>HYPERLINK("https://new.land.naver.com/complexes/154917", "클릭")</f>
        <v>클릭</v>
      </c>
      <c r="D403">
        <v>2023</v>
      </c>
      <c r="E403">
        <v>11</v>
      </c>
      <c r="F403">
        <v>2886</v>
      </c>
      <c r="G403">
        <v>36</v>
      </c>
      <c r="H403" t="s">
        <v>135</v>
      </c>
      <c r="I403" t="s">
        <v>236</v>
      </c>
      <c r="J403" t="s">
        <v>474</v>
      </c>
      <c r="K403">
        <v>49500</v>
      </c>
      <c r="L403" t="s">
        <v>474</v>
      </c>
      <c r="M403">
        <v>25000</v>
      </c>
      <c r="N403">
        <v>24500</v>
      </c>
      <c r="O403" s="2">
        <v>0.50505050505050508</v>
      </c>
      <c r="W403" t="s">
        <v>198</v>
      </c>
    </row>
    <row r="404" spans="1:23" x14ac:dyDescent="0.3">
      <c r="A404" t="s">
        <v>31</v>
      </c>
      <c r="B404" t="s">
        <v>112</v>
      </c>
      <c r="C404" s="1" t="str">
        <f>HYPERLINK("https://new.land.naver.com/complexes/9382", "클릭")</f>
        <v>클릭</v>
      </c>
      <c r="D404">
        <v>1995</v>
      </c>
      <c r="E404">
        <v>12</v>
      </c>
      <c r="F404">
        <v>282</v>
      </c>
      <c r="G404">
        <v>84</v>
      </c>
      <c r="H404" t="s">
        <v>136</v>
      </c>
      <c r="I404" t="s">
        <v>137</v>
      </c>
      <c r="J404" t="s">
        <v>183</v>
      </c>
      <c r="K404">
        <v>49000</v>
      </c>
      <c r="L404" t="s">
        <v>183</v>
      </c>
      <c r="M404">
        <v>25000</v>
      </c>
      <c r="N404">
        <v>24000</v>
      </c>
      <c r="O404" s="2">
        <v>0.51020408163265307</v>
      </c>
      <c r="P404">
        <v>62000</v>
      </c>
      <c r="Q404" s="2">
        <v>-0.20967741935483869</v>
      </c>
      <c r="R404">
        <v>32800</v>
      </c>
      <c r="S404" s="2">
        <v>1.49390243902439</v>
      </c>
      <c r="W404" t="s">
        <v>198</v>
      </c>
    </row>
    <row r="405" spans="1:23" x14ac:dyDescent="0.3">
      <c r="A405" t="s">
        <v>29</v>
      </c>
      <c r="B405" t="s">
        <v>423</v>
      </c>
      <c r="C405" s="1" t="str">
        <f>HYPERLINK("https://new.land.naver.com/complexes/16152", "클릭")</f>
        <v>클릭</v>
      </c>
      <c r="D405">
        <v>1982</v>
      </c>
      <c r="E405">
        <v>8</v>
      </c>
      <c r="F405">
        <v>40</v>
      </c>
      <c r="G405">
        <v>43</v>
      </c>
      <c r="H405" t="s">
        <v>135</v>
      </c>
      <c r="I405" t="s">
        <v>235</v>
      </c>
      <c r="J405" t="s">
        <v>475</v>
      </c>
      <c r="K405">
        <v>49000</v>
      </c>
      <c r="L405" t="s">
        <v>475</v>
      </c>
      <c r="M405">
        <v>17000</v>
      </c>
      <c r="N405">
        <v>32000</v>
      </c>
      <c r="O405" s="2">
        <v>0.34693877551020408</v>
      </c>
      <c r="R405">
        <v>23200</v>
      </c>
      <c r="S405" s="2">
        <v>2.112068965517242</v>
      </c>
      <c r="W405" t="s">
        <v>198</v>
      </c>
    </row>
    <row r="406" spans="1:23" x14ac:dyDescent="0.3">
      <c r="A406" t="s">
        <v>29</v>
      </c>
      <c r="B406" t="s">
        <v>306</v>
      </c>
      <c r="C406" s="1" t="str">
        <f>HYPERLINK("https://new.land.naver.com/complexes/123203", "클릭")</f>
        <v>클릭</v>
      </c>
      <c r="D406">
        <v>2018</v>
      </c>
      <c r="E406">
        <v>12</v>
      </c>
      <c r="F406">
        <v>9</v>
      </c>
      <c r="G406">
        <v>42</v>
      </c>
      <c r="H406" t="s">
        <v>135</v>
      </c>
      <c r="I406" t="s">
        <v>235</v>
      </c>
      <c r="J406" t="s">
        <v>476</v>
      </c>
      <c r="K406">
        <v>49000</v>
      </c>
      <c r="L406" t="s">
        <v>476</v>
      </c>
      <c r="M406">
        <v>30000</v>
      </c>
      <c r="N406">
        <v>19000</v>
      </c>
      <c r="O406" s="2">
        <v>0.61224489795918369</v>
      </c>
      <c r="W406" t="s">
        <v>387</v>
      </c>
    </row>
    <row r="407" spans="1:23" x14ac:dyDescent="0.3">
      <c r="A407" t="s">
        <v>28</v>
      </c>
      <c r="B407" t="s">
        <v>109</v>
      </c>
      <c r="C407" s="1" t="str">
        <f>HYPERLINK("https://new.land.naver.com/complexes/103511", "클릭")</f>
        <v>클릭</v>
      </c>
      <c r="D407">
        <v>2012</v>
      </c>
      <c r="E407">
        <v>12</v>
      </c>
      <c r="F407">
        <v>136</v>
      </c>
      <c r="G407">
        <v>59</v>
      </c>
      <c r="H407" t="s">
        <v>135</v>
      </c>
      <c r="I407" t="s">
        <v>137</v>
      </c>
      <c r="J407" t="s">
        <v>263</v>
      </c>
      <c r="K407">
        <v>49000</v>
      </c>
      <c r="L407" t="s">
        <v>263</v>
      </c>
      <c r="M407">
        <v>30000</v>
      </c>
      <c r="N407">
        <v>19000</v>
      </c>
      <c r="O407" s="2">
        <v>0.61224489795918369</v>
      </c>
      <c r="P407">
        <v>58900</v>
      </c>
      <c r="Q407" s="2">
        <v>-0.16808149405772499</v>
      </c>
      <c r="R407">
        <v>26900</v>
      </c>
      <c r="S407" s="2">
        <v>1.8215613382899629</v>
      </c>
      <c r="W407" t="s">
        <v>201</v>
      </c>
    </row>
    <row r="408" spans="1:23" x14ac:dyDescent="0.3">
      <c r="A408" t="s">
        <v>28</v>
      </c>
      <c r="B408" t="s">
        <v>105</v>
      </c>
      <c r="C408" s="1" t="str">
        <f>HYPERLINK("https://new.land.naver.com/complexes/10147", "클릭")</f>
        <v>클릭</v>
      </c>
      <c r="D408">
        <v>2004</v>
      </c>
      <c r="E408">
        <v>10</v>
      </c>
      <c r="F408">
        <v>203</v>
      </c>
      <c r="G408">
        <v>83</v>
      </c>
      <c r="H408" t="s">
        <v>135</v>
      </c>
      <c r="I408" t="s">
        <v>137</v>
      </c>
      <c r="J408" t="s">
        <v>184</v>
      </c>
      <c r="K408">
        <v>49000</v>
      </c>
      <c r="L408" t="s">
        <v>184</v>
      </c>
      <c r="M408">
        <v>32000</v>
      </c>
      <c r="N408">
        <v>17000</v>
      </c>
      <c r="O408" s="2">
        <v>0.65306122448979587</v>
      </c>
      <c r="P408">
        <v>63000</v>
      </c>
      <c r="Q408" s="2">
        <v>-0.22222222222222221</v>
      </c>
      <c r="R408">
        <v>31300</v>
      </c>
      <c r="S408" s="2">
        <v>1.565495207667732</v>
      </c>
      <c r="W408" t="s">
        <v>205</v>
      </c>
    </row>
    <row r="409" spans="1:23" x14ac:dyDescent="0.3">
      <c r="A409" t="s">
        <v>28</v>
      </c>
      <c r="B409" t="s">
        <v>547</v>
      </c>
      <c r="C409" s="1" t="str">
        <f>HYPERLINK("https://new.land.naver.com/complexes/24870", "클릭")</f>
        <v>클릭</v>
      </c>
      <c r="D409">
        <v>2008</v>
      </c>
      <c r="E409">
        <v>2</v>
      </c>
      <c r="F409">
        <v>137</v>
      </c>
      <c r="G409">
        <v>98</v>
      </c>
      <c r="H409" t="s">
        <v>135</v>
      </c>
      <c r="I409" t="s">
        <v>137</v>
      </c>
      <c r="J409" t="s">
        <v>593</v>
      </c>
      <c r="K409">
        <v>49000</v>
      </c>
      <c r="L409" t="s">
        <v>593</v>
      </c>
      <c r="M409">
        <v>44000</v>
      </c>
      <c r="N409">
        <v>5000</v>
      </c>
      <c r="O409" s="2">
        <v>0.89795918367346939</v>
      </c>
      <c r="R409">
        <v>29400</v>
      </c>
      <c r="S409" s="2">
        <v>1.666666666666667</v>
      </c>
      <c r="W409" t="s">
        <v>198</v>
      </c>
    </row>
    <row r="410" spans="1:23" x14ac:dyDescent="0.3">
      <c r="A410" t="s">
        <v>28</v>
      </c>
      <c r="B410" t="s">
        <v>307</v>
      </c>
      <c r="C410" s="1" t="str">
        <f>HYPERLINK("https://new.land.naver.com/complexes/132112", "클릭")</f>
        <v>클릭</v>
      </c>
      <c r="D410">
        <v>2022</v>
      </c>
      <c r="E410">
        <v>3</v>
      </c>
      <c r="F410">
        <v>144</v>
      </c>
      <c r="G410">
        <v>61</v>
      </c>
      <c r="H410" t="s">
        <v>135</v>
      </c>
      <c r="I410" t="s">
        <v>137</v>
      </c>
      <c r="J410" t="s">
        <v>269</v>
      </c>
      <c r="K410">
        <v>49000</v>
      </c>
      <c r="L410" t="s">
        <v>269</v>
      </c>
      <c r="M410">
        <v>36000</v>
      </c>
      <c r="N410">
        <v>13000</v>
      </c>
      <c r="O410" s="2">
        <v>0.73469387755102045</v>
      </c>
      <c r="W410" t="s">
        <v>198</v>
      </c>
    </row>
    <row r="411" spans="1:23" x14ac:dyDescent="0.3">
      <c r="A411" t="s">
        <v>28</v>
      </c>
      <c r="B411" t="s">
        <v>123</v>
      </c>
      <c r="C411" s="1" t="str">
        <f>HYPERLINK("https://new.land.naver.com/complexes/19530", "클릭")</f>
        <v>클릭</v>
      </c>
      <c r="D411">
        <v>2007</v>
      </c>
      <c r="E411">
        <v>3</v>
      </c>
      <c r="F411">
        <v>210</v>
      </c>
      <c r="G411">
        <v>104</v>
      </c>
      <c r="H411" t="s">
        <v>135</v>
      </c>
      <c r="I411" t="s">
        <v>137</v>
      </c>
      <c r="J411" t="s">
        <v>633</v>
      </c>
      <c r="K411">
        <v>49000</v>
      </c>
      <c r="L411" t="s">
        <v>633</v>
      </c>
      <c r="M411">
        <v>40000</v>
      </c>
      <c r="N411">
        <v>9000</v>
      </c>
      <c r="O411" s="2">
        <v>0.81632653061224492</v>
      </c>
      <c r="R411">
        <v>30100</v>
      </c>
      <c r="S411" s="2">
        <v>1.6279069767441861</v>
      </c>
      <c r="W411" t="s">
        <v>198</v>
      </c>
    </row>
    <row r="412" spans="1:23" x14ac:dyDescent="0.3">
      <c r="A412" t="s">
        <v>30</v>
      </c>
      <c r="B412" t="s">
        <v>113</v>
      </c>
      <c r="C412" s="1" t="str">
        <f>HYPERLINK("https://new.land.naver.com/complexes/8711", "클릭")</f>
        <v>클릭</v>
      </c>
      <c r="D412">
        <v>1999</v>
      </c>
      <c r="E412">
        <v>7</v>
      </c>
      <c r="F412">
        <v>49</v>
      </c>
      <c r="G412">
        <v>82</v>
      </c>
      <c r="H412" t="s">
        <v>135</v>
      </c>
      <c r="I412" t="s">
        <v>137</v>
      </c>
      <c r="J412" t="s">
        <v>163</v>
      </c>
      <c r="K412">
        <v>49000</v>
      </c>
      <c r="L412" t="s">
        <v>163</v>
      </c>
      <c r="M412">
        <v>35000</v>
      </c>
      <c r="N412">
        <v>14000</v>
      </c>
      <c r="O412" s="2">
        <v>0.7142857142857143</v>
      </c>
      <c r="R412">
        <v>31700</v>
      </c>
      <c r="S412" s="2">
        <v>1.545741324921136</v>
      </c>
      <c r="W412" t="s">
        <v>198</v>
      </c>
    </row>
    <row r="413" spans="1:23" x14ac:dyDescent="0.3">
      <c r="A413" t="s">
        <v>28</v>
      </c>
      <c r="B413" t="s">
        <v>109</v>
      </c>
      <c r="C413" s="1" t="str">
        <f>HYPERLINK("https://new.land.naver.com/complexes/103511", "클릭")</f>
        <v>클릭</v>
      </c>
      <c r="D413">
        <v>2012</v>
      </c>
      <c r="E413">
        <v>12</v>
      </c>
      <c r="F413">
        <v>136</v>
      </c>
      <c r="G413">
        <v>71</v>
      </c>
      <c r="H413" t="s">
        <v>135</v>
      </c>
      <c r="I413" t="s">
        <v>137</v>
      </c>
      <c r="J413" t="s">
        <v>359</v>
      </c>
      <c r="K413">
        <v>48000</v>
      </c>
      <c r="L413" t="s">
        <v>359</v>
      </c>
      <c r="M413">
        <v>32000</v>
      </c>
      <c r="N413">
        <v>16000</v>
      </c>
      <c r="O413" s="2">
        <v>0.66666666666666663</v>
      </c>
      <c r="R413">
        <v>28300</v>
      </c>
      <c r="S413" s="2">
        <v>1.6961130742049471</v>
      </c>
      <c r="W413" t="s">
        <v>198</v>
      </c>
    </row>
    <row r="414" spans="1:23" x14ac:dyDescent="0.3">
      <c r="A414" t="s">
        <v>31</v>
      </c>
      <c r="B414" t="s">
        <v>132</v>
      </c>
      <c r="C414" s="1" t="str">
        <f>HYPERLINK("https://new.land.naver.com/complexes/1989", "클릭")</f>
        <v>클릭</v>
      </c>
      <c r="D414">
        <v>1979</v>
      </c>
      <c r="E414">
        <v>9</v>
      </c>
      <c r="F414">
        <v>576</v>
      </c>
      <c r="G414">
        <v>103</v>
      </c>
      <c r="H414" t="s">
        <v>136</v>
      </c>
      <c r="I414" t="s">
        <v>138</v>
      </c>
      <c r="J414" t="s">
        <v>634</v>
      </c>
      <c r="K414">
        <v>48000</v>
      </c>
      <c r="L414" t="s">
        <v>634</v>
      </c>
      <c r="M414">
        <v>7000</v>
      </c>
      <c r="N414">
        <v>41000</v>
      </c>
      <c r="O414" s="2">
        <v>0.14583333333333329</v>
      </c>
      <c r="W414" t="s">
        <v>198</v>
      </c>
    </row>
    <row r="415" spans="1:23" x14ac:dyDescent="0.3">
      <c r="A415" t="s">
        <v>30</v>
      </c>
      <c r="B415" t="s">
        <v>87</v>
      </c>
      <c r="C415" s="1" t="str">
        <f>HYPERLINK("https://new.land.naver.com/complexes/25078", "클릭")</f>
        <v>클릭</v>
      </c>
      <c r="D415">
        <v>2000</v>
      </c>
      <c r="E415">
        <v>10</v>
      </c>
      <c r="F415">
        <v>180</v>
      </c>
      <c r="G415">
        <v>59</v>
      </c>
      <c r="H415" t="s">
        <v>135</v>
      </c>
      <c r="I415" t="s">
        <v>138</v>
      </c>
      <c r="J415" t="s">
        <v>246</v>
      </c>
      <c r="K415">
        <v>48000</v>
      </c>
      <c r="L415" t="s">
        <v>246</v>
      </c>
      <c r="M415">
        <v>33000</v>
      </c>
      <c r="N415">
        <v>15000</v>
      </c>
      <c r="O415" s="2">
        <v>0.6875</v>
      </c>
      <c r="P415">
        <v>46300</v>
      </c>
      <c r="Q415" s="2">
        <v>3.6717062634989202E-2</v>
      </c>
      <c r="R415">
        <v>30000</v>
      </c>
      <c r="S415" s="2">
        <v>1.6</v>
      </c>
      <c r="W415" t="s">
        <v>204</v>
      </c>
    </row>
    <row r="416" spans="1:23" x14ac:dyDescent="0.3">
      <c r="A416" t="s">
        <v>28</v>
      </c>
      <c r="B416" t="s">
        <v>92</v>
      </c>
      <c r="C416" s="1" t="str">
        <f>HYPERLINK("https://new.land.naver.com/complexes/2026", "클릭")</f>
        <v>클릭</v>
      </c>
      <c r="D416">
        <v>1999</v>
      </c>
      <c r="E416">
        <v>1</v>
      </c>
      <c r="F416">
        <v>231</v>
      </c>
      <c r="G416">
        <v>59</v>
      </c>
      <c r="H416" t="s">
        <v>136</v>
      </c>
      <c r="I416" t="s">
        <v>138</v>
      </c>
      <c r="J416" t="s">
        <v>266</v>
      </c>
      <c r="K416">
        <v>48000</v>
      </c>
      <c r="L416" t="s">
        <v>266</v>
      </c>
      <c r="M416">
        <v>26000</v>
      </c>
      <c r="N416">
        <v>22000</v>
      </c>
      <c r="O416" s="2">
        <v>0.54166666666666663</v>
      </c>
      <c r="P416">
        <v>49000</v>
      </c>
      <c r="Q416" s="2">
        <v>-2.0408163265306121E-2</v>
      </c>
      <c r="R416">
        <v>25400</v>
      </c>
      <c r="S416" s="2">
        <v>1.889763779527559</v>
      </c>
      <c r="W416" t="s">
        <v>198</v>
      </c>
    </row>
    <row r="417" spans="1:23" x14ac:dyDescent="0.3">
      <c r="A417" t="s">
        <v>30</v>
      </c>
      <c r="B417" t="s">
        <v>113</v>
      </c>
      <c r="C417" s="1" t="str">
        <f>HYPERLINK("https://new.land.naver.com/complexes/8711", "클릭")</f>
        <v>클릭</v>
      </c>
      <c r="D417">
        <v>1999</v>
      </c>
      <c r="E417">
        <v>7</v>
      </c>
      <c r="F417">
        <v>49</v>
      </c>
      <c r="G417">
        <v>84</v>
      </c>
      <c r="H417" t="s">
        <v>135</v>
      </c>
      <c r="I417" t="s">
        <v>137</v>
      </c>
      <c r="J417" t="s">
        <v>143</v>
      </c>
      <c r="K417">
        <v>48000</v>
      </c>
      <c r="L417" t="s">
        <v>143</v>
      </c>
      <c r="M417">
        <v>40000</v>
      </c>
      <c r="N417">
        <v>8000</v>
      </c>
      <c r="O417" s="2">
        <v>0.83333333333333337</v>
      </c>
      <c r="P417">
        <v>44000</v>
      </c>
      <c r="Q417" s="2">
        <v>9.0909090909090912E-2</v>
      </c>
      <c r="R417">
        <v>34600</v>
      </c>
      <c r="S417" s="2">
        <v>1.3872832369942201</v>
      </c>
      <c r="W417" t="s">
        <v>198</v>
      </c>
    </row>
    <row r="418" spans="1:23" x14ac:dyDescent="0.3">
      <c r="A418" t="s">
        <v>28</v>
      </c>
      <c r="B418" t="s">
        <v>114</v>
      </c>
      <c r="C418" s="1" t="str">
        <f>HYPERLINK("https://new.land.naver.com/complexes/2034", "클릭")</f>
        <v>클릭</v>
      </c>
      <c r="D418">
        <v>1999</v>
      </c>
      <c r="E418">
        <v>8</v>
      </c>
      <c r="F418">
        <v>195</v>
      </c>
      <c r="G418">
        <v>84</v>
      </c>
      <c r="H418" t="s">
        <v>136</v>
      </c>
      <c r="I418" t="s">
        <v>137</v>
      </c>
      <c r="J418" t="s">
        <v>142</v>
      </c>
      <c r="K418">
        <v>48000</v>
      </c>
      <c r="L418" t="s">
        <v>196</v>
      </c>
      <c r="M418">
        <v>30000</v>
      </c>
      <c r="N418">
        <v>18000</v>
      </c>
      <c r="O418" s="2">
        <v>0.625</v>
      </c>
      <c r="P418">
        <v>52800</v>
      </c>
      <c r="Q418" s="2">
        <v>-9.0909090909090912E-2</v>
      </c>
      <c r="R418">
        <v>30600</v>
      </c>
      <c r="S418" s="2">
        <v>1.5686274509803919</v>
      </c>
      <c r="W418" t="s">
        <v>198</v>
      </c>
    </row>
    <row r="419" spans="1:23" x14ac:dyDescent="0.3">
      <c r="A419" t="s">
        <v>28</v>
      </c>
      <c r="B419" t="s">
        <v>93</v>
      </c>
      <c r="C419" s="1" t="str">
        <f>HYPERLINK("https://new.land.naver.com/complexes/26273", "클릭")</f>
        <v>클릭</v>
      </c>
      <c r="D419">
        <v>2006</v>
      </c>
      <c r="E419">
        <v>11</v>
      </c>
      <c r="F419">
        <v>59</v>
      </c>
      <c r="G419">
        <v>59</v>
      </c>
      <c r="H419" t="s">
        <v>136</v>
      </c>
      <c r="I419" t="s">
        <v>137</v>
      </c>
      <c r="J419" t="s">
        <v>258</v>
      </c>
      <c r="K419">
        <v>48000</v>
      </c>
      <c r="L419" t="s">
        <v>258</v>
      </c>
      <c r="M419">
        <v>34000</v>
      </c>
      <c r="N419">
        <v>14000</v>
      </c>
      <c r="O419" s="2">
        <v>0.70833333333333337</v>
      </c>
      <c r="P419">
        <v>50500</v>
      </c>
      <c r="Q419" s="2">
        <v>-4.9504950495049507E-2</v>
      </c>
      <c r="R419">
        <v>30100</v>
      </c>
      <c r="S419" s="2">
        <v>1.59468438538206</v>
      </c>
      <c r="W419" t="s">
        <v>198</v>
      </c>
    </row>
    <row r="420" spans="1:23" x14ac:dyDescent="0.3">
      <c r="A420" t="s">
        <v>29</v>
      </c>
      <c r="B420" t="s">
        <v>424</v>
      </c>
      <c r="C420" s="1" t="str">
        <f>HYPERLINK("https://new.land.naver.com/complexes/3286", "클릭")</f>
        <v>클릭</v>
      </c>
      <c r="D420">
        <v>1996</v>
      </c>
      <c r="E420">
        <v>11</v>
      </c>
      <c r="F420">
        <v>1292</v>
      </c>
      <c r="G420">
        <v>51</v>
      </c>
      <c r="H420" t="s">
        <v>136</v>
      </c>
      <c r="I420" t="s">
        <v>235</v>
      </c>
      <c r="J420" t="s">
        <v>461</v>
      </c>
      <c r="K420">
        <v>47500</v>
      </c>
      <c r="L420" t="s">
        <v>461</v>
      </c>
      <c r="M420">
        <v>25000</v>
      </c>
      <c r="N420">
        <v>22500</v>
      </c>
      <c r="O420" s="2">
        <v>0.52631578947368418</v>
      </c>
      <c r="R420">
        <v>32600</v>
      </c>
      <c r="S420" s="2">
        <v>1.457055214723926</v>
      </c>
      <c r="W420" t="s">
        <v>198</v>
      </c>
    </row>
    <row r="421" spans="1:23" x14ac:dyDescent="0.3">
      <c r="A421" t="s">
        <v>29</v>
      </c>
      <c r="B421" t="s">
        <v>304</v>
      </c>
      <c r="C421" s="1" t="str">
        <f>HYPERLINK("https://new.land.naver.com/complexes/1463", "클릭")</f>
        <v>클릭</v>
      </c>
      <c r="D421">
        <v>1993</v>
      </c>
      <c r="E421">
        <v>3</v>
      </c>
      <c r="F421">
        <v>1710</v>
      </c>
      <c r="G421">
        <v>50</v>
      </c>
      <c r="H421" t="s">
        <v>136</v>
      </c>
      <c r="I421" t="s">
        <v>138</v>
      </c>
      <c r="J421" t="s">
        <v>339</v>
      </c>
      <c r="K421">
        <v>47000</v>
      </c>
      <c r="L421" t="s">
        <v>339</v>
      </c>
      <c r="M421">
        <v>25000</v>
      </c>
      <c r="N421">
        <v>22000</v>
      </c>
      <c r="O421" s="2">
        <v>0.53191489361702127</v>
      </c>
      <c r="R421">
        <v>30600</v>
      </c>
      <c r="S421" s="2">
        <v>1.535947712418301</v>
      </c>
      <c r="W421" t="s">
        <v>198</v>
      </c>
    </row>
    <row r="422" spans="1:23" x14ac:dyDescent="0.3">
      <c r="A422" t="s">
        <v>28</v>
      </c>
      <c r="B422" t="s">
        <v>125</v>
      </c>
      <c r="C422" s="1" t="str">
        <f>HYPERLINK("https://new.land.naver.com/complexes/17511", "클릭")</f>
        <v>클릭</v>
      </c>
      <c r="D422">
        <v>2006</v>
      </c>
      <c r="E422">
        <v>8</v>
      </c>
      <c r="F422">
        <v>70</v>
      </c>
      <c r="G422">
        <v>118</v>
      </c>
      <c r="H422" t="s">
        <v>135</v>
      </c>
      <c r="I422" t="s">
        <v>139</v>
      </c>
      <c r="J422" t="s">
        <v>560</v>
      </c>
      <c r="K422">
        <v>47000</v>
      </c>
      <c r="L422" t="s">
        <v>560</v>
      </c>
      <c r="M422">
        <v>38000</v>
      </c>
      <c r="N422">
        <v>9000</v>
      </c>
      <c r="O422" s="2">
        <v>0.80851063829787229</v>
      </c>
      <c r="R422">
        <v>27900</v>
      </c>
      <c r="S422" s="2">
        <v>1.684587813620072</v>
      </c>
      <c r="W422" t="s">
        <v>198</v>
      </c>
    </row>
    <row r="423" spans="1:23" x14ac:dyDescent="0.3">
      <c r="A423" t="s">
        <v>28</v>
      </c>
      <c r="B423" t="s">
        <v>109</v>
      </c>
      <c r="C423" s="1" t="str">
        <f>HYPERLINK("https://new.land.naver.com/complexes/103511", "클릭")</f>
        <v>클릭</v>
      </c>
      <c r="D423">
        <v>2012</v>
      </c>
      <c r="E423">
        <v>12</v>
      </c>
      <c r="F423">
        <v>136</v>
      </c>
      <c r="G423">
        <v>70</v>
      </c>
      <c r="H423" t="s">
        <v>135</v>
      </c>
      <c r="I423" t="s">
        <v>137</v>
      </c>
      <c r="J423" t="s">
        <v>362</v>
      </c>
      <c r="K423">
        <v>47000</v>
      </c>
      <c r="L423" t="s">
        <v>362</v>
      </c>
      <c r="M423">
        <v>33000</v>
      </c>
      <c r="N423">
        <v>14000</v>
      </c>
      <c r="O423" s="2">
        <v>0.7021276595744681</v>
      </c>
      <c r="R423">
        <v>28300</v>
      </c>
      <c r="S423" s="2">
        <v>1.6607773851590111</v>
      </c>
      <c r="W423" t="s">
        <v>288</v>
      </c>
    </row>
    <row r="424" spans="1:23" x14ac:dyDescent="0.3">
      <c r="A424" t="s">
        <v>31</v>
      </c>
      <c r="B424" t="s">
        <v>111</v>
      </c>
      <c r="C424" s="1" t="str">
        <f>HYPERLINK("https://new.land.naver.com/complexes/108656", "클릭")</f>
        <v>클릭</v>
      </c>
      <c r="D424">
        <v>2014</v>
      </c>
      <c r="E424">
        <v>10</v>
      </c>
      <c r="F424">
        <v>191</v>
      </c>
      <c r="G424">
        <v>72</v>
      </c>
      <c r="H424" t="s">
        <v>135</v>
      </c>
      <c r="I424" t="s">
        <v>235</v>
      </c>
      <c r="J424" t="s">
        <v>189</v>
      </c>
      <c r="K424">
        <v>47000</v>
      </c>
      <c r="L424" t="s">
        <v>189</v>
      </c>
      <c r="M424">
        <v>35000</v>
      </c>
      <c r="N424">
        <v>12000</v>
      </c>
      <c r="O424" s="2">
        <v>0.74468085106382975</v>
      </c>
      <c r="W424" t="s">
        <v>198</v>
      </c>
    </row>
    <row r="425" spans="1:23" x14ac:dyDescent="0.3">
      <c r="A425" t="s">
        <v>28</v>
      </c>
      <c r="B425" t="s">
        <v>85</v>
      </c>
      <c r="C425" s="1" t="str">
        <f>HYPERLINK("https://new.land.naver.com/complexes/1470", "클릭")</f>
        <v>클릭</v>
      </c>
      <c r="D425">
        <v>1992</v>
      </c>
      <c r="E425">
        <v>9</v>
      </c>
      <c r="F425">
        <v>468</v>
      </c>
      <c r="G425">
        <v>53</v>
      </c>
      <c r="H425" t="s">
        <v>136</v>
      </c>
      <c r="I425" t="s">
        <v>235</v>
      </c>
      <c r="J425" t="s">
        <v>461</v>
      </c>
      <c r="K425">
        <v>47000</v>
      </c>
      <c r="L425" t="s">
        <v>461</v>
      </c>
      <c r="M425">
        <v>25000</v>
      </c>
      <c r="N425">
        <v>22000</v>
      </c>
      <c r="O425" s="2">
        <v>0.53191489361702127</v>
      </c>
      <c r="R425">
        <v>27400</v>
      </c>
      <c r="S425" s="2">
        <v>1.7153284671532849</v>
      </c>
      <c r="W425" t="s">
        <v>198</v>
      </c>
    </row>
    <row r="426" spans="1:23" x14ac:dyDescent="0.3">
      <c r="A426" t="s">
        <v>28</v>
      </c>
      <c r="B426" t="s">
        <v>73</v>
      </c>
      <c r="C426" s="1" t="str">
        <f>HYPERLINK("https://new.land.naver.com/complexes/1473", "클릭")</f>
        <v>클릭</v>
      </c>
      <c r="D426">
        <v>1992</v>
      </c>
      <c r="E426">
        <v>9</v>
      </c>
      <c r="F426">
        <v>321</v>
      </c>
      <c r="G426">
        <v>56</v>
      </c>
      <c r="H426" t="s">
        <v>136</v>
      </c>
      <c r="I426" t="s">
        <v>235</v>
      </c>
      <c r="J426" t="s">
        <v>248</v>
      </c>
      <c r="K426">
        <v>47000</v>
      </c>
      <c r="L426" t="s">
        <v>248</v>
      </c>
      <c r="M426">
        <v>28000</v>
      </c>
      <c r="N426">
        <v>19000</v>
      </c>
      <c r="O426" s="2">
        <v>0.5957446808510638</v>
      </c>
      <c r="R426">
        <v>28700</v>
      </c>
      <c r="S426" s="2">
        <v>1.637630662020906</v>
      </c>
      <c r="W426" t="s">
        <v>198</v>
      </c>
    </row>
    <row r="427" spans="1:23" x14ac:dyDescent="0.3">
      <c r="A427" t="s">
        <v>28</v>
      </c>
      <c r="B427" t="s">
        <v>115</v>
      </c>
      <c r="C427" s="1" t="str">
        <f>HYPERLINK("https://new.land.naver.com/complexes/18830", "클릭")</f>
        <v>클릭</v>
      </c>
      <c r="D427">
        <v>2006</v>
      </c>
      <c r="E427">
        <v>1</v>
      </c>
      <c r="F427">
        <v>71</v>
      </c>
      <c r="G427">
        <v>84</v>
      </c>
      <c r="H427" t="s">
        <v>135</v>
      </c>
      <c r="I427" t="s">
        <v>137</v>
      </c>
      <c r="J427" t="s">
        <v>156</v>
      </c>
      <c r="K427">
        <v>47000</v>
      </c>
      <c r="L427" t="s">
        <v>197</v>
      </c>
      <c r="M427">
        <v>38000</v>
      </c>
      <c r="N427">
        <v>9000</v>
      </c>
      <c r="O427" s="2">
        <v>0.80851063829787229</v>
      </c>
      <c r="P427">
        <v>55500</v>
      </c>
      <c r="Q427" s="2">
        <v>-0.15315315315315309</v>
      </c>
      <c r="R427">
        <v>30400</v>
      </c>
      <c r="S427" s="2">
        <v>1.5460526315789469</v>
      </c>
      <c r="W427" t="s">
        <v>198</v>
      </c>
    </row>
    <row r="428" spans="1:23" x14ac:dyDescent="0.3">
      <c r="A428" t="s">
        <v>28</v>
      </c>
      <c r="B428" t="s">
        <v>212</v>
      </c>
      <c r="C428" s="1" t="str">
        <f>HYPERLINK("https://new.land.naver.com/complexes/3023", "클릭")</f>
        <v>클릭</v>
      </c>
      <c r="D428">
        <v>1993</v>
      </c>
      <c r="E428">
        <v>3</v>
      </c>
      <c r="F428">
        <v>683</v>
      </c>
      <c r="G428">
        <v>41</v>
      </c>
      <c r="H428" t="s">
        <v>136</v>
      </c>
      <c r="I428" t="s">
        <v>236</v>
      </c>
      <c r="J428" t="s">
        <v>477</v>
      </c>
      <c r="K428">
        <v>47000</v>
      </c>
      <c r="L428" t="s">
        <v>477</v>
      </c>
      <c r="M428">
        <v>22000</v>
      </c>
      <c r="N428">
        <v>25000</v>
      </c>
      <c r="O428" s="2">
        <v>0.46808510638297868</v>
      </c>
      <c r="R428">
        <v>28100</v>
      </c>
      <c r="S428" s="2">
        <v>1.672597864768683</v>
      </c>
      <c r="W428" t="s">
        <v>198</v>
      </c>
    </row>
    <row r="429" spans="1:23" x14ac:dyDescent="0.3">
      <c r="A429" t="s">
        <v>29</v>
      </c>
      <c r="B429" t="s">
        <v>424</v>
      </c>
      <c r="C429" s="1" t="str">
        <f>HYPERLINK("https://new.land.naver.com/complexes/3286", "클릭")</f>
        <v>클릭</v>
      </c>
      <c r="D429">
        <v>1996</v>
      </c>
      <c r="E429">
        <v>11</v>
      </c>
      <c r="F429">
        <v>1292</v>
      </c>
      <c r="G429">
        <v>49</v>
      </c>
      <c r="H429" t="s">
        <v>136</v>
      </c>
      <c r="I429" t="s">
        <v>235</v>
      </c>
      <c r="J429" t="s">
        <v>469</v>
      </c>
      <c r="K429">
        <v>47000</v>
      </c>
      <c r="L429" t="s">
        <v>469</v>
      </c>
      <c r="M429">
        <v>27000</v>
      </c>
      <c r="N429">
        <v>20000</v>
      </c>
      <c r="O429" s="2">
        <v>0.57446808510638303</v>
      </c>
      <c r="R429">
        <v>30700</v>
      </c>
      <c r="S429" s="2">
        <v>1.5309446254071659</v>
      </c>
      <c r="W429" t="s">
        <v>198</v>
      </c>
    </row>
    <row r="430" spans="1:23" x14ac:dyDescent="0.3">
      <c r="A430" t="s">
        <v>28</v>
      </c>
      <c r="B430" t="s">
        <v>116</v>
      </c>
      <c r="C430" s="1" t="str">
        <f>HYPERLINK("https://new.land.naver.com/complexes/106767", "클릭")</f>
        <v>클릭</v>
      </c>
      <c r="D430">
        <v>2013</v>
      </c>
      <c r="E430">
        <v>2</v>
      </c>
      <c r="F430">
        <v>48</v>
      </c>
      <c r="G430">
        <v>84</v>
      </c>
      <c r="H430" t="s">
        <v>135</v>
      </c>
      <c r="I430" t="s">
        <v>137</v>
      </c>
      <c r="J430" t="s">
        <v>185</v>
      </c>
      <c r="K430">
        <v>47000</v>
      </c>
      <c r="L430" t="s">
        <v>185</v>
      </c>
      <c r="M430">
        <v>35000</v>
      </c>
      <c r="N430">
        <v>12000</v>
      </c>
      <c r="O430" s="2">
        <v>0.74468085106382975</v>
      </c>
      <c r="P430">
        <v>55000</v>
      </c>
      <c r="Q430" s="2">
        <v>-0.14545454545454539</v>
      </c>
      <c r="R430">
        <v>31200</v>
      </c>
      <c r="S430" s="2">
        <v>1.5064102564102559</v>
      </c>
      <c r="W430" t="s">
        <v>198</v>
      </c>
    </row>
    <row r="431" spans="1:23" x14ac:dyDescent="0.3">
      <c r="A431" t="s">
        <v>28</v>
      </c>
      <c r="B431" t="s">
        <v>69</v>
      </c>
      <c r="C431" s="1" t="str">
        <f>HYPERLINK("https://new.land.naver.com/complexes/123900", "클릭")</f>
        <v>클릭</v>
      </c>
      <c r="D431">
        <v>2022</v>
      </c>
      <c r="E431">
        <v>5</v>
      </c>
      <c r="F431">
        <v>855</v>
      </c>
      <c r="G431">
        <v>43</v>
      </c>
      <c r="H431" t="s">
        <v>135</v>
      </c>
      <c r="I431" t="s">
        <v>235</v>
      </c>
      <c r="J431" t="s">
        <v>352</v>
      </c>
      <c r="K431">
        <v>47000</v>
      </c>
      <c r="L431" t="s">
        <v>352</v>
      </c>
      <c r="M431">
        <v>30000</v>
      </c>
      <c r="N431">
        <v>17000</v>
      </c>
      <c r="O431" s="2">
        <v>0.63829787234042556</v>
      </c>
      <c r="R431">
        <v>25400</v>
      </c>
      <c r="S431" s="2">
        <v>1.8503937007874021</v>
      </c>
      <c r="W431" t="s">
        <v>198</v>
      </c>
    </row>
    <row r="432" spans="1:23" x14ac:dyDescent="0.3">
      <c r="A432" t="s">
        <v>29</v>
      </c>
      <c r="B432" t="s">
        <v>316</v>
      </c>
      <c r="C432" s="1" t="str">
        <f>HYPERLINK("https://new.land.naver.com/complexes/128987", "클릭")</f>
        <v>클릭</v>
      </c>
      <c r="D432">
        <v>2019</v>
      </c>
      <c r="E432">
        <v>8</v>
      </c>
      <c r="F432">
        <v>6</v>
      </c>
      <c r="G432">
        <v>67</v>
      </c>
      <c r="H432" t="s">
        <v>135</v>
      </c>
      <c r="I432" t="s">
        <v>137</v>
      </c>
      <c r="J432" t="s">
        <v>271</v>
      </c>
      <c r="K432">
        <v>47000</v>
      </c>
      <c r="W432" t="s">
        <v>198</v>
      </c>
    </row>
    <row r="433" spans="1:23" x14ac:dyDescent="0.3">
      <c r="A433" t="s">
        <v>29</v>
      </c>
      <c r="B433" t="s">
        <v>227</v>
      </c>
      <c r="C433" s="1" t="str">
        <f>HYPERLINK("https://new.land.naver.com/complexes/1971", "클릭")</f>
        <v>클릭</v>
      </c>
      <c r="D433">
        <v>1986</v>
      </c>
      <c r="E433">
        <v>6</v>
      </c>
      <c r="F433">
        <v>140</v>
      </c>
      <c r="G433">
        <v>63</v>
      </c>
      <c r="H433" t="s">
        <v>135</v>
      </c>
      <c r="I433" t="s">
        <v>138</v>
      </c>
      <c r="J433" t="s">
        <v>263</v>
      </c>
      <c r="K433">
        <v>46500</v>
      </c>
      <c r="L433" t="s">
        <v>263</v>
      </c>
      <c r="M433">
        <v>20000</v>
      </c>
      <c r="N433">
        <v>26500</v>
      </c>
      <c r="O433" s="2">
        <v>0.43010752688172038</v>
      </c>
      <c r="R433">
        <v>25300</v>
      </c>
      <c r="S433" s="2">
        <v>1.837944664031621</v>
      </c>
      <c r="W433" t="s">
        <v>198</v>
      </c>
    </row>
    <row r="434" spans="1:23" x14ac:dyDescent="0.3">
      <c r="A434" t="s">
        <v>31</v>
      </c>
      <c r="B434" t="s">
        <v>117</v>
      </c>
      <c r="C434" s="1" t="str">
        <f>HYPERLINK("https://new.land.naver.com/complexes/9908", "클릭")</f>
        <v>클릭</v>
      </c>
      <c r="D434">
        <v>2000</v>
      </c>
      <c r="E434">
        <v>1</v>
      </c>
      <c r="F434">
        <v>112</v>
      </c>
      <c r="G434">
        <v>84</v>
      </c>
      <c r="H434" t="s">
        <v>136</v>
      </c>
      <c r="I434" t="s">
        <v>137</v>
      </c>
      <c r="J434" t="s">
        <v>185</v>
      </c>
      <c r="K434">
        <v>46000</v>
      </c>
      <c r="L434" t="s">
        <v>185</v>
      </c>
      <c r="M434">
        <v>35000</v>
      </c>
      <c r="N434">
        <v>11000</v>
      </c>
      <c r="O434" s="2">
        <v>0.76086956521739135</v>
      </c>
      <c r="P434">
        <v>50000</v>
      </c>
      <c r="Q434" s="2">
        <v>-0.08</v>
      </c>
      <c r="R434">
        <v>25700</v>
      </c>
      <c r="S434" s="2">
        <v>1.7898832684824899</v>
      </c>
      <c r="W434" t="s">
        <v>198</v>
      </c>
    </row>
    <row r="435" spans="1:23" x14ac:dyDescent="0.3">
      <c r="A435" t="s">
        <v>28</v>
      </c>
      <c r="B435" t="s">
        <v>89</v>
      </c>
      <c r="C435" s="1" t="str">
        <f>HYPERLINK("https://new.land.naver.com/complexes/1476", "클릭")</f>
        <v>클릭</v>
      </c>
      <c r="D435">
        <v>1992</v>
      </c>
      <c r="E435">
        <v>8</v>
      </c>
      <c r="F435">
        <v>654</v>
      </c>
      <c r="G435">
        <v>59</v>
      </c>
      <c r="H435" t="s">
        <v>136</v>
      </c>
      <c r="I435" t="s">
        <v>138</v>
      </c>
      <c r="J435" t="s">
        <v>271</v>
      </c>
      <c r="K435">
        <v>46000</v>
      </c>
      <c r="L435" t="s">
        <v>271</v>
      </c>
      <c r="M435">
        <v>27000</v>
      </c>
      <c r="N435">
        <v>19000</v>
      </c>
      <c r="O435" s="2">
        <v>0.58695652173913049</v>
      </c>
      <c r="P435">
        <v>62250</v>
      </c>
      <c r="Q435" s="2">
        <v>-0.26104417670682728</v>
      </c>
      <c r="R435">
        <v>27100</v>
      </c>
      <c r="S435" s="2">
        <v>1.697416974169742</v>
      </c>
      <c r="W435" t="s">
        <v>198</v>
      </c>
    </row>
    <row r="436" spans="1:23" x14ac:dyDescent="0.3">
      <c r="A436" t="s">
        <v>30</v>
      </c>
      <c r="B436" t="s">
        <v>317</v>
      </c>
      <c r="C436" s="1" t="str">
        <f>HYPERLINK("https://new.land.naver.com/complexes/27012", "클릭")</f>
        <v>클릭</v>
      </c>
      <c r="D436">
        <v>2008</v>
      </c>
      <c r="E436">
        <v>10</v>
      </c>
      <c r="F436">
        <v>41</v>
      </c>
      <c r="G436">
        <v>65</v>
      </c>
      <c r="H436" t="s">
        <v>135</v>
      </c>
      <c r="I436" t="s">
        <v>137</v>
      </c>
      <c r="J436" t="s">
        <v>267</v>
      </c>
      <c r="K436">
        <v>46000</v>
      </c>
      <c r="L436" t="s">
        <v>267</v>
      </c>
      <c r="M436">
        <v>29000</v>
      </c>
      <c r="N436">
        <v>17000</v>
      </c>
      <c r="O436" s="2">
        <v>0.63043478260869568</v>
      </c>
      <c r="W436" t="s">
        <v>391</v>
      </c>
    </row>
    <row r="437" spans="1:23" x14ac:dyDescent="0.3">
      <c r="A437" t="s">
        <v>28</v>
      </c>
      <c r="B437" t="s">
        <v>118</v>
      </c>
      <c r="C437" s="1" t="str">
        <f>HYPERLINK("https://new.land.naver.com/complexes/102095", "클릭")</f>
        <v>클릭</v>
      </c>
      <c r="D437">
        <v>2009</v>
      </c>
      <c r="E437">
        <v>12</v>
      </c>
      <c r="F437">
        <v>100</v>
      </c>
      <c r="G437">
        <v>84</v>
      </c>
      <c r="H437" t="s">
        <v>135</v>
      </c>
      <c r="I437" t="s">
        <v>137</v>
      </c>
      <c r="J437" t="s">
        <v>173</v>
      </c>
      <c r="K437">
        <v>46000</v>
      </c>
      <c r="L437" t="s">
        <v>173</v>
      </c>
      <c r="M437">
        <v>43000</v>
      </c>
      <c r="N437">
        <v>3000</v>
      </c>
      <c r="O437" s="2">
        <v>0.93478260869565222</v>
      </c>
      <c r="P437">
        <v>52500</v>
      </c>
      <c r="Q437" s="2">
        <v>-0.1238095238095238</v>
      </c>
      <c r="R437">
        <v>25700</v>
      </c>
      <c r="S437" s="2">
        <v>1.7898832684824899</v>
      </c>
      <c r="W437" t="s">
        <v>198</v>
      </c>
    </row>
    <row r="438" spans="1:23" x14ac:dyDescent="0.3">
      <c r="A438" t="s">
        <v>29</v>
      </c>
      <c r="B438" t="s">
        <v>227</v>
      </c>
      <c r="C438" s="1" t="str">
        <f>HYPERLINK("https://new.land.naver.com/complexes/1971", "클릭")</f>
        <v>클릭</v>
      </c>
      <c r="D438">
        <v>1986</v>
      </c>
      <c r="E438">
        <v>6</v>
      </c>
      <c r="F438">
        <v>140</v>
      </c>
      <c r="G438">
        <v>66</v>
      </c>
      <c r="H438" t="s">
        <v>135</v>
      </c>
      <c r="I438" t="s">
        <v>138</v>
      </c>
      <c r="J438" t="s">
        <v>237</v>
      </c>
      <c r="K438">
        <v>45500</v>
      </c>
      <c r="L438" t="s">
        <v>237</v>
      </c>
      <c r="M438">
        <v>23000</v>
      </c>
      <c r="N438">
        <v>22500</v>
      </c>
      <c r="O438" s="2">
        <v>0.50549450549450547</v>
      </c>
      <c r="R438">
        <v>25100</v>
      </c>
      <c r="S438" s="2">
        <v>1.8127490039840639</v>
      </c>
      <c r="W438" t="s">
        <v>405</v>
      </c>
    </row>
    <row r="439" spans="1:23" x14ac:dyDescent="0.3">
      <c r="A439" t="s">
        <v>28</v>
      </c>
      <c r="B439" t="s">
        <v>318</v>
      </c>
      <c r="C439" s="1" t="str">
        <f>HYPERLINK("https://new.land.naver.com/complexes/2040", "클릭")</f>
        <v>클릭</v>
      </c>
      <c r="D439">
        <v>1984</v>
      </c>
      <c r="E439">
        <v>12</v>
      </c>
      <c r="F439">
        <v>190</v>
      </c>
      <c r="G439">
        <v>62</v>
      </c>
      <c r="H439" t="s">
        <v>135</v>
      </c>
      <c r="I439" t="s">
        <v>138</v>
      </c>
      <c r="J439" t="s">
        <v>339</v>
      </c>
      <c r="K439">
        <v>45000</v>
      </c>
      <c r="L439" t="s">
        <v>339</v>
      </c>
      <c r="M439">
        <v>20000</v>
      </c>
      <c r="N439">
        <v>25000</v>
      </c>
      <c r="O439" s="2">
        <v>0.44444444444444442</v>
      </c>
      <c r="R439">
        <v>22500</v>
      </c>
      <c r="S439" s="2">
        <v>2</v>
      </c>
      <c r="W439" t="s">
        <v>198</v>
      </c>
    </row>
    <row r="440" spans="1:23" x14ac:dyDescent="0.3">
      <c r="A440" t="s">
        <v>29</v>
      </c>
      <c r="B440" t="s">
        <v>319</v>
      </c>
      <c r="C440" s="1" t="str">
        <f>HYPERLINK("https://new.land.naver.com/complexes/1973", "클릭")</f>
        <v>클릭</v>
      </c>
      <c r="D440">
        <v>1986</v>
      </c>
      <c r="E440">
        <v>6</v>
      </c>
      <c r="F440">
        <v>50</v>
      </c>
      <c r="G440">
        <v>62</v>
      </c>
      <c r="J440" t="s">
        <v>271</v>
      </c>
      <c r="K440">
        <v>45000</v>
      </c>
      <c r="L440" t="s">
        <v>271</v>
      </c>
      <c r="M440">
        <v>18000</v>
      </c>
      <c r="N440">
        <v>27000</v>
      </c>
      <c r="O440" s="2">
        <v>0.4</v>
      </c>
      <c r="W440" t="s">
        <v>406</v>
      </c>
    </row>
    <row r="441" spans="1:23" x14ac:dyDescent="0.3">
      <c r="A441" t="s">
        <v>28</v>
      </c>
      <c r="B441" t="s">
        <v>314</v>
      </c>
      <c r="C441" s="1" t="str">
        <f>HYPERLINK("https://new.land.naver.com/complexes/8353", "클릭")</f>
        <v>클릭</v>
      </c>
      <c r="D441">
        <v>1986</v>
      </c>
      <c r="E441">
        <v>8</v>
      </c>
      <c r="F441">
        <v>30</v>
      </c>
      <c r="G441">
        <v>64</v>
      </c>
      <c r="H441" t="s">
        <v>135</v>
      </c>
      <c r="I441" t="s">
        <v>235</v>
      </c>
      <c r="J441" t="s">
        <v>263</v>
      </c>
      <c r="K441">
        <v>45000</v>
      </c>
      <c r="L441" t="s">
        <v>263</v>
      </c>
      <c r="M441">
        <v>15000</v>
      </c>
      <c r="N441">
        <v>30000</v>
      </c>
      <c r="O441" s="2">
        <v>0.33333333333333331</v>
      </c>
      <c r="R441">
        <v>24000</v>
      </c>
      <c r="S441" s="2">
        <v>1.875</v>
      </c>
      <c r="W441" t="s">
        <v>198</v>
      </c>
    </row>
    <row r="442" spans="1:23" x14ac:dyDescent="0.3">
      <c r="A442" t="s">
        <v>31</v>
      </c>
      <c r="B442" t="s">
        <v>320</v>
      </c>
      <c r="C442" s="1" t="str">
        <f>HYPERLINK("https://new.land.naver.com/complexes/122827", "클릭")</f>
        <v>클릭</v>
      </c>
      <c r="D442">
        <v>2018</v>
      </c>
      <c r="E442">
        <v>6</v>
      </c>
      <c r="F442">
        <v>27</v>
      </c>
      <c r="G442">
        <v>67</v>
      </c>
      <c r="H442" t="s">
        <v>135</v>
      </c>
      <c r="I442" t="s">
        <v>137</v>
      </c>
      <c r="J442" t="s">
        <v>359</v>
      </c>
      <c r="K442">
        <v>45000</v>
      </c>
      <c r="W442" t="s">
        <v>198</v>
      </c>
    </row>
    <row r="443" spans="1:23" x14ac:dyDescent="0.3">
      <c r="A443" t="s">
        <v>29</v>
      </c>
      <c r="B443" t="s">
        <v>425</v>
      </c>
      <c r="C443" s="1" t="str">
        <f>HYPERLINK("https://new.land.naver.com/complexes/1460", "클릭")</f>
        <v>클릭</v>
      </c>
      <c r="D443">
        <v>1993</v>
      </c>
      <c r="E443">
        <v>6</v>
      </c>
      <c r="F443">
        <v>766</v>
      </c>
      <c r="G443">
        <v>49</v>
      </c>
      <c r="H443" t="s">
        <v>136</v>
      </c>
      <c r="I443" t="s">
        <v>138</v>
      </c>
      <c r="J443" t="s">
        <v>466</v>
      </c>
      <c r="K443">
        <v>45000</v>
      </c>
      <c r="L443" t="s">
        <v>466</v>
      </c>
      <c r="M443">
        <v>22000</v>
      </c>
      <c r="N443">
        <v>23000</v>
      </c>
      <c r="O443" s="2">
        <v>0.48888888888888887</v>
      </c>
      <c r="R443">
        <v>30300</v>
      </c>
      <c r="S443" s="2">
        <v>1.4851485148514849</v>
      </c>
      <c r="W443" t="s">
        <v>198</v>
      </c>
    </row>
    <row r="444" spans="1:23" x14ac:dyDescent="0.3">
      <c r="A444" t="s">
        <v>28</v>
      </c>
      <c r="B444" t="s">
        <v>419</v>
      </c>
      <c r="C444" s="1" t="str">
        <f>HYPERLINK("https://new.land.naver.com/complexes/3022", "클릭")</f>
        <v>클릭</v>
      </c>
      <c r="D444">
        <v>1992</v>
      </c>
      <c r="E444">
        <v>7</v>
      </c>
      <c r="F444">
        <v>902</v>
      </c>
      <c r="G444">
        <v>41</v>
      </c>
      <c r="H444" t="s">
        <v>136</v>
      </c>
      <c r="I444" t="s">
        <v>236</v>
      </c>
      <c r="J444" t="s">
        <v>474</v>
      </c>
      <c r="K444">
        <v>45000</v>
      </c>
      <c r="L444" t="s">
        <v>474</v>
      </c>
      <c r="M444">
        <v>22000</v>
      </c>
      <c r="N444">
        <v>23000</v>
      </c>
      <c r="O444" s="2">
        <v>0.48888888888888887</v>
      </c>
      <c r="R444">
        <v>29900</v>
      </c>
      <c r="S444" s="2">
        <v>1.5050167224080271</v>
      </c>
      <c r="W444" t="s">
        <v>198</v>
      </c>
    </row>
    <row r="445" spans="1:23" x14ac:dyDescent="0.3">
      <c r="A445" t="s">
        <v>29</v>
      </c>
      <c r="B445" t="s">
        <v>426</v>
      </c>
      <c r="C445" s="1" t="str">
        <f>HYPERLINK("https://new.land.naver.com/complexes/11244", "클릭")</f>
        <v>클릭</v>
      </c>
      <c r="D445">
        <v>1988</v>
      </c>
      <c r="E445">
        <v>5</v>
      </c>
      <c r="F445">
        <v>30</v>
      </c>
      <c r="G445">
        <v>51</v>
      </c>
      <c r="H445" t="s">
        <v>135</v>
      </c>
      <c r="I445" t="s">
        <v>138</v>
      </c>
      <c r="J445" t="s">
        <v>339</v>
      </c>
      <c r="K445">
        <v>45000</v>
      </c>
      <c r="L445" t="s">
        <v>339</v>
      </c>
      <c r="M445">
        <v>20000</v>
      </c>
      <c r="N445">
        <v>25000</v>
      </c>
      <c r="O445" s="2">
        <v>0.44444444444444442</v>
      </c>
      <c r="R445">
        <v>22600</v>
      </c>
      <c r="S445" s="2">
        <v>1.9911504424778761</v>
      </c>
      <c r="W445" t="s">
        <v>205</v>
      </c>
    </row>
    <row r="446" spans="1:23" x14ac:dyDescent="0.3">
      <c r="A446" t="s">
        <v>29</v>
      </c>
      <c r="B446" t="s">
        <v>549</v>
      </c>
      <c r="C446" s="1" t="str">
        <f>HYPERLINK("https://new.land.naver.com/complexes/11703", "클릭")</f>
        <v>클릭</v>
      </c>
      <c r="D446">
        <v>1992</v>
      </c>
      <c r="E446">
        <v>12</v>
      </c>
      <c r="F446">
        <v>18</v>
      </c>
      <c r="G446">
        <v>131</v>
      </c>
      <c r="H446" t="s">
        <v>136</v>
      </c>
      <c r="I446" t="s">
        <v>139</v>
      </c>
      <c r="J446" t="s">
        <v>635</v>
      </c>
      <c r="K446">
        <v>45000</v>
      </c>
      <c r="L446" t="s">
        <v>635</v>
      </c>
      <c r="M446">
        <v>35000</v>
      </c>
      <c r="N446">
        <v>10000</v>
      </c>
      <c r="O446" s="2">
        <v>0.77777777777777779</v>
      </c>
      <c r="W446" t="s">
        <v>202</v>
      </c>
    </row>
    <row r="447" spans="1:23" x14ac:dyDescent="0.3">
      <c r="A447" t="s">
        <v>28</v>
      </c>
      <c r="B447" t="s">
        <v>119</v>
      </c>
      <c r="C447" s="1" t="str">
        <f>HYPERLINK("https://new.land.naver.com/complexes/9061", "클릭")</f>
        <v>클릭</v>
      </c>
      <c r="D447">
        <v>1999</v>
      </c>
      <c r="E447">
        <v>1</v>
      </c>
      <c r="F447">
        <v>113</v>
      </c>
      <c r="G447">
        <v>84</v>
      </c>
      <c r="H447" t="s">
        <v>135</v>
      </c>
      <c r="I447" t="s">
        <v>137</v>
      </c>
      <c r="J447" t="s">
        <v>186</v>
      </c>
      <c r="K447">
        <v>45000</v>
      </c>
      <c r="L447" t="s">
        <v>186</v>
      </c>
      <c r="M447">
        <v>32000</v>
      </c>
      <c r="N447">
        <v>13000</v>
      </c>
      <c r="O447" s="2">
        <v>0.71111111111111114</v>
      </c>
      <c r="P447">
        <v>42500</v>
      </c>
      <c r="Q447" s="2">
        <v>5.8823529411764712E-2</v>
      </c>
      <c r="W447" t="s">
        <v>198</v>
      </c>
    </row>
    <row r="448" spans="1:23" x14ac:dyDescent="0.3">
      <c r="A448" t="s">
        <v>28</v>
      </c>
      <c r="B448" t="s">
        <v>119</v>
      </c>
      <c r="C448" s="1" t="str">
        <f>HYPERLINK("https://new.land.naver.com/complexes/9061", "클릭")</f>
        <v>클릭</v>
      </c>
      <c r="D448">
        <v>1999</v>
      </c>
      <c r="E448">
        <v>1</v>
      </c>
      <c r="F448">
        <v>113</v>
      </c>
      <c r="G448">
        <v>81</v>
      </c>
      <c r="H448" t="s">
        <v>135</v>
      </c>
      <c r="I448" t="s">
        <v>137</v>
      </c>
      <c r="J448" t="s">
        <v>161</v>
      </c>
      <c r="K448">
        <v>45000</v>
      </c>
      <c r="W448" t="s">
        <v>205</v>
      </c>
    </row>
    <row r="449" spans="1:23" x14ac:dyDescent="0.3">
      <c r="A449" t="s">
        <v>28</v>
      </c>
      <c r="B449" t="s">
        <v>221</v>
      </c>
      <c r="C449" s="1" t="str">
        <f>HYPERLINK("https://new.land.naver.com/complexes/115703", "클릭")</f>
        <v>클릭</v>
      </c>
      <c r="D449">
        <v>2019</v>
      </c>
      <c r="E449">
        <v>4</v>
      </c>
      <c r="F449">
        <v>203</v>
      </c>
      <c r="G449">
        <v>45</v>
      </c>
      <c r="H449" t="s">
        <v>135</v>
      </c>
      <c r="I449" t="s">
        <v>235</v>
      </c>
      <c r="J449" t="s">
        <v>478</v>
      </c>
      <c r="K449">
        <v>45000</v>
      </c>
      <c r="L449" t="s">
        <v>478</v>
      </c>
      <c r="M449">
        <v>30000</v>
      </c>
      <c r="N449">
        <v>15000</v>
      </c>
      <c r="O449" s="2">
        <v>0.66666666666666663</v>
      </c>
      <c r="R449">
        <v>27500</v>
      </c>
      <c r="S449" s="2">
        <v>1.636363636363636</v>
      </c>
      <c r="W449" t="s">
        <v>198</v>
      </c>
    </row>
    <row r="450" spans="1:23" x14ac:dyDescent="0.3">
      <c r="A450" t="s">
        <v>29</v>
      </c>
      <c r="B450" t="s">
        <v>315</v>
      </c>
      <c r="C450" s="1" t="str">
        <f>HYPERLINK("https://new.land.naver.com/complexes/26181", "클릭")</f>
        <v>클릭</v>
      </c>
      <c r="D450">
        <v>2007</v>
      </c>
      <c r="E450">
        <v>10</v>
      </c>
      <c r="F450">
        <v>30</v>
      </c>
      <c r="G450">
        <v>71</v>
      </c>
      <c r="I450" t="s">
        <v>137</v>
      </c>
      <c r="J450" t="s">
        <v>362</v>
      </c>
      <c r="K450">
        <v>45000</v>
      </c>
      <c r="W450" t="s">
        <v>290</v>
      </c>
    </row>
    <row r="451" spans="1:23" x14ac:dyDescent="0.3">
      <c r="A451" t="s">
        <v>29</v>
      </c>
      <c r="B451" t="s">
        <v>226</v>
      </c>
      <c r="C451" s="1" t="str">
        <f>HYPERLINK("https://new.land.naver.com/complexes/13276", "클릭")</f>
        <v>클릭</v>
      </c>
      <c r="D451">
        <v>1986</v>
      </c>
      <c r="E451">
        <v>9</v>
      </c>
      <c r="F451">
        <v>80</v>
      </c>
      <c r="G451">
        <v>57</v>
      </c>
      <c r="H451" t="s">
        <v>135</v>
      </c>
      <c r="I451" t="s">
        <v>138</v>
      </c>
      <c r="J451" t="s">
        <v>248</v>
      </c>
      <c r="K451">
        <v>45000</v>
      </c>
      <c r="L451" t="s">
        <v>248</v>
      </c>
      <c r="M451">
        <v>19500</v>
      </c>
      <c r="N451">
        <v>25500</v>
      </c>
      <c r="O451" s="2">
        <v>0.43333333333333329</v>
      </c>
      <c r="P451">
        <v>30500</v>
      </c>
      <c r="Q451" s="2">
        <v>0.47540983606557369</v>
      </c>
      <c r="R451">
        <v>22400</v>
      </c>
      <c r="S451" s="2">
        <v>2.0089285714285721</v>
      </c>
      <c r="W451" t="s">
        <v>198</v>
      </c>
    </row>
    <row r="452" spans="1:23" x14ac:dyDescent="0.3">
      <c r="A452" t="s">
        <v>28</v>
      </c>
      <c r="B452" t="s">
        <v>114</v>
      </c>
      <c r="C452" s="1" t="str">
        <f>HYPERLINK("https://new.land.naver.com/complexes/2034", "클릭")</f>
        <v>클릭</v>
      </c>
      <c r="D452">
        <v>1999</v>
      </c>
      <c r="E452">
        <v>8</v>
      </c>
      <c r="F452">
        <v>195</v>
      </c>
      <c r="G452">
        <v>71</v>
      </c>
      <c r="H452" t="s">
        <v>136</v>
      </c>
      <c r="I452" t="s">
        <v>137</v>
      </c>
      <c r="J452" t="s">
        <v>361</v>
      </c>
      <c r="K452">
        <v>45000</v>
      </c>
      <c r="L452" t="s">
        <v>361</v>
      </c>
      <c r="M452">
        <v>28000</v>
      </c>
      <c r="N452">
        <v>17000</v>
      </c>
      <c r="O452" s="2">
        <v>0.62222222222222223</v>
      </c>
      <c r="R452">
        <v>27000</v>
      </c>
      <c r="S452" s="2">
        <v>1.666666666666667</v>
      </c>
      <c r="W452" t="s">
        <v>387</v>
      </c>
    </row>
    <row r="453" spans="1:23" x14ac:dyDescent="0.3">
      <c r="A453" t="s">
        <v>28</v>
      </c>
      <c r="B453" t="s">
        <v>120</v>
      </c>
      <c r="C453" s="1" t="str">
        <f>HYPERLINK("https://new.land.naver.com/complexes/2043", "클릭")</f>
        <v>클릭</v>
      </c>
      <c r="D453">
        <v>1999</v>
      </c>
      <c r="E453">
        <v>12</v>
      </c>
      <c r="F453">
        <v>116</v>
      </c>
      <c r="G453">
        <v>84</v>
      </c>
      <c r="H453" t="s">
        <v>136</v>
      </c>
      <c r="I453" t="s">
        <v>137</v>
      </c>
      <c r="J453" t="s">
        <v>146</v>
      </c>
      <c r="K453">
        <v>45000</v>
      </c>
      <c r="L453" t="s">
        <v>146</v>
      </c>
      <c r="M453">
        <v>27000</v>
      </c>
      <c r="N453">
        <v>18000</v>
      </c>
      <c r="O453" s="2">
        <v>0.6</v>
      </c>
      <c r="P453">
        <v>50000</v>
      </c>
      <c r="Q453" s="2">
        <v>-0.1</v>
      </c>
      <c r="R453">
        <v>27100</v>
      </c>
      <c r="S453" s="2">
        <v>1.660516605166052</v>
      </c>
      <c r="W453" t="s">
        <v>198</v>
      </c>
    </row>
    <row r="454" spans="1:23" x14ac:dyDescent="0.3">
      <c r="A454" t="s">
        <v>28</v>
      </c>
      <c r="B454" t="s">
        <v>120</v>
      </c>
      <c r="C454" s="1" t="str">
        <f>HYPERLINK("https://new.land.naver.com/complexes/2043", "클릭")</f>
        <v>클릭</v>
      </c>
      <c r="D454">
        <v>1999</v>
      </c>
      <c r="E454">
        <v>12</v>
      </c>
      <c r="F454">
        <v>116</v>
      </c>
      <c r="G454">
        <v>79</v>
      </c>
      <c r="H454" t="s">
        <v>136</v>
      </c>
      <c r="I454" t="s">
        <v>137</v>
      </c>
      <c r="J454" t="s">
        <v>160</v>
      </c>
      <c r="K454">
        <v>45000</v>
      </c>
      <c r="R454">
        <v>24900</v>
      </c>
      <c r="S454" s="2">
        <v>1.8072289156626511</v>
      </c>
      <c r="W454" t="s">
        <v>198</v>
      </c>
    </row>
    <row r="455" spans="1:23" x14ac:dyDescent="0.3">
      <c r="A455" t="s">
        <v>28</v>
      </c>
      <c r="B455" t="s">
        <v>232</v>
      </c>
      <c r="C455" s="1" t="str">
        <f>HYPERLINK("https://new.land.naver.com/complexes/15536", "클릭")</f>
        <v>클릭</v>
      </c>
      <c r="D455">
        <v>2003</v>
      </c>
      <c r="E455">
        <v>11</v>
      </c>
      <c r="F455">
        <v>89</v>
      </c>
      <c r="G455">
        <v>71</v>
      </c>
      <c r="H455" t="s">
        <v>135</v>
      </c>
      <c r="I455" t="s">
        <v>137</v>
      </c>
      <c r="J455" t="s">
        <v>181</v>
      </c>
      <c r="K455">
        <v>45000</v>
      </c>
      <c r="L455" t="s">
        <v>181</v>
      </c>
      <c r="M455">
        <v>27000</v>
      </c>
      <c r="N455">
        <v>18000</v>
      </c>
      <c r="O455" s="2">
        <v>0.6</v>
      </c>
      <c r="R455">
        <v>25700</v>
      </c>
      <c r="S455" s="2">
        <v>1.7509727626459139</v>
      </c>
      <c r="W455" t="s">
        <v>198</v>
      </c>
    </row>
    <row r="456" spans="1:23" x14ac:dyDescent="0.3">
      <c r="A456" t="s">
        <v>28</v>
      </c>
      <c r="B456" t="s">
        <v>321</v>
      </c>
      <c r="C456" s="1" t="str">
        <f>HYPERLINK("https://new.land.naver.com/complexes/114535", "클릭")</f>
        <v>클릭</v>
      </c>
      <c r="D456">
        <v>2016</v>
      </c>
      <c r="E456">
        <v>6</v>
      </c>
      <c r="F456">
        <v>36</v>
      </c>
      <c r="G456">
        <v>71</v>
      </c>
      <c r="H456" t="s">
        <v>135</v>
      </c>
      <c r="I456" t="s">
        <v>137</v>
      </c>
      <c r="J456" t="s">
        <v>237</v>
      </c>
      <c r="K456">
        <v>45000</v>
      </c>
      <c r="L456" t="s">
        <v>237</v>
      </c>
      <c r="M456">
        <v>31000</v>
      </c>
      <c r="N456">
        <v>14000</v>
      </c>
      <c r="O456" s="2">
        <v>0.68888888888888888</v>
      </c>
      <c r="R456">
        <v>31300</v>
      </c>
      <c r="S456" s="2">
        <v>1.4376996805111819</v>
      </c>
      <c r="W456" t="s">
        <v>198</v>
      </c>
    </row>
    <row r="457" spans="1:23" x14ac:dyDescent="0.3">
      <c r="A457" t="s">
        <v>29</v>
      </c>
      <c r="B457" t="s">
        <v>427</v>
      </c>
      <c r="C457" s="1" t="str">
        <f>HYPERLINK("https://new.land.naver.com/complexes/24277", "클릭")</f>
        <v>클릭</v>
      </c>
      <c r="D457">
        <v>1988</v>
      </c>
      <c r="E457">
        <v>1</v>
      </c>
      <c r="F457">
        <v>55</v>
      </c>
      <c r="G457">
        <v>54</v>
      </c>
      <c r="H457" t="s">
        <v>135</v>
      </c>
      <c r="I457" t="s">
        <v>138</v>
      </c>
      <c r="J457" t="s">
        <v>463</v>
      </c>
      <c r="K457">
        <v>45000</v>
      </c>
      <c r="R457">
        <v>22200</v>
      </c>
      <c r="S457" s="2">
        <v>2.0270270270270272</v>
      </c>
      <c r="W457" t="s">
        <v>198</v>
      </c>
    </row>
    <row r="458" spans="1:23" x14ac:dyDescent="0.3">
      <c r="A458" t="s">
        <v>28</v>
      </c>
      <c r="B458" t="s">
        <v>121</v>
      </c>
      <c r="C458" s="1" t="str">
        <f>HYPERLINK("https://new.land.naver.com/complexes/2046", "클릭")</f>
        <v>클릭</v>
      </c>
      <c r="D458">
        <v>1996</v>
      </c>
      <c r="E458">
        <v>10</v>
      </c>
      <c r="F458">
        <v>261</v>
      </c>
      <c r="G458">
        <v>84</v>
      </c>
      <c r="H458" t="s">
        <v>135</v>
      </c>
      <c r="I458" t="s">
        <v>137</v>
      </c>
      <c r="J458" t="s">
        <v>187</v>
      </c>
      <c r="K458">
        <v>45000</v>
      </c>
      <c r="L458" t="s">
        <v>187</v>
      </c>
      <c r="M458">
        <v>30000</v>
      </c>
      <c r="N458">
        <v>15000</v>
      </c>
      <c r="O458" s="2">
        <v>0.66666666666666663</v>
      </c>
      <c r="P458">
        <v>45000</v>
      </c>
      <c r="Q458" s="2">
        <v>0</v>
      </c>
      <c r="R458">
        <v>27300</v>
      </c>
      <c r="S458" s="2">
        <v>1.648351648351648</v>
      </c>
      <c r="W458" t="s">
        <v>198</v>
      </c>
    </row>
    <row r="459" spans="1:23" x14ac:dyDescent="0.3">
      <c r="A459" t="s">
        <v>30</v>
      </c>
      <c r="B459" t="s">
        <v>97</v>
      </c>
      <c r="C459" s="1" t="str">
        <f>HYPERLINK("https://new.land.naver.com/complexes/8185", "클릭")</f>
        <v>클릭</v>
      </c>
      <c r="D459">
        <v>1999</v>
      </c>
      <c r="E459">
        <v>10</v>
      </c>
      <c r="F459">
        <v>129</v>
      </c>
      <c r="G459">
        <v>64</v>
      </c>
      <c r="H459" t="s">
        <v>136</v>
      </c>
      <c r="I459" t="s">
        <v>138</v>
      </c>
      <c r="J459" t="s">
        <v>358</v>
      </c>
      <c r="K459">
        <v>45000</v>
      </c>
      <c r="L459" t="s">
        <v>358</v>
      </c>
      <c r="M459">
        <v>35000</v>
      </c>
      <c r="N459">
        <v>10000</v>
      </c>
      <c r="O459" s="2">
        <v>0.77777777777777779</v>
      </c>
      <c r="R459">
        <v>27800</v>
      </c>
      <c r="S459" s="2">
        <v>1.6187050359712229</v>
      </c>
      <c r="W459" t="s">
        <v>198</v>
      </c>
    </row>
    <row r="460" spans="1:23" x14ac:dyDescent="0.3">
      <c r="A460" t="s">
        <v>28</v>
      </c>
      <c r="B460" t="s">
        <v>122</v>
      </c>
      <c r="C460" s="1" t="str">
        <f>HYPERLINK("https://new.land.naver.com/complexes/8799", "클릭")</f>
        <v>클릭</v>
      </c>
      <c r="D460">
        <v>1998</v>
      </c>
      <c r="E460">
        <v>12</v>
      </c>
      <c r="F460">
        <v>130</v>
      </c>
      <c r="G460">
        <v>84</v>
      </c>
      <c r="H460" t="s">
        <v>135</v>
      </c>
      <c r="I460" t="s">
        <v>137</v>
      </c>
      <c r="J460" t="s">
        <v>147</v>
      </c>
      <c r="K460">
        <v>45000</v>
      </c>
      <c r="L460" t="s">
        <v>147</v>
      </c>
      <c r="M460">
        <v>35000</v>
      </c>
      <c r="N460">
        <v>10000</v>
      </c>
      <c r="O460" s="2">
        <v>0.77777777777777779</v>
      </c>
      <c r="P460">
        <v>45800</v>
      </c>
      <c r="Q460" s="2">
        <v>-1.7467248908296939E-2</v>
      </c>
      <c r="R460">
        <v>28700</v>
      </c>
      <c r="S460" s="2">
        <v>1.5679442508710799</v>
      </c>
      <c r="W460" t="s">
        <v>198</v>
      </c>
    </row>
    <row r="461" spans="1:23" x14ac:dyDescent="0.3">
      <c r="A461" t="s">
        <v>29</v>
      </c>
      <c r="B461" t="s">
        <v>418</v>
      </c>
      <c r="C461" s="1" t="str">
        <f>HYPERLINK("https://new.land.naver.com/complexes/132626", "클릭")</f>
        <v>클릭</v>
      </c>
      <c r="D461">
        <v>2020</v>
      </c>
      <c r="E461">
        <v>6</v>
      </c>
      <c r="F461">
        <v>9</v>
      </c>
      <c r="G461">
        <v>52</v>
      </c>
      <c r="J461" t="s">
        <v>475</v>
      </c>
      <c r="K461">
        <v>45000</v>
      </c>
      <c r="W461" t="s">
        <v>525</v>
      </c>
    </row>
    <row r="462" spans="1:23" x14ac:dyDescent="0.3">
      <c r="A462" t="s">
        <v>31</v>
      </c>
      <c r="B462" t="s">
        <v>322</v>
      </c>
      <c r="C462" s="1" t="str">
        <f>HYPERLINK("https://new.land.naver.com/complexes/101966", "클릭")</f>
        <v>클릭</v>
      </c>
      <c r="D462">
        <v>1981</v>
      </c>
      <c r="E462">
        <v>8</v>
      </c>
      <c r="F462">
        <v>45</v>
      </c>
      <c r="G462">
        <v>72</v>
      </c>
      <c r="H462" t="s">
        <v>135</v>
      </c>
      <c r="I462" t="s">
        <v>235</v>
      </c>
      <c r="J462" t="s">
        <v>371</v>
      </c>
      <c r="K462">
        <v>45000</v>
      </c>
      <c r="L462" t="s">
        <v>371</v>
      </c>
      <c r="M462">
        <v>12000</v>
      </c>
      <c r="N462">
        <v>33000</v>
      </c>
      <c r="O462" s="2">
        <v>0.26666666666666672</v>
      </c>
      <c r="R462">
        <v>24100</v>
      </c>
      <c r="S462" s="2">
        <v>1.8672199170124479</v>
      </c>
      <c r="W462" t="s">
        <v>198</v>
      </c>
    </row>
    <row r="463" spans="1:23" x14ac:dyDescent="0.3">
      <c r="A463" t="s">
        <v>28</v>
      </c>
      <c r="B463" t="s">
        <v>123</v>
      </c>
      <c r="C463" s="1" t="str">
        <f>HYPERLINK("https://new.land.naver.com/complexes/19530", "클릭")</f>
        <v>클릭</v>
      </c>
      <c r="D463">
        <v>2007</v>
      </c>
      <c r="E463">
        <v>3</v>
      </c>
      <c r="F463">
        <v>210</v>
      </c>
      <c r="G463">
        <v>84</v>
      </c>
      <c r="H463" t="s">
        <v>135</v>
      </c>
      <c r="I463" t="s">
        <v>137</v>
      </c>
      <c r="J463" t="s">
        <v>187</v>
      </c>
      <c r="K463">
        <v>44500</v>
      </c>
      <c r="L463" t="s">
        <v>187</v>
      </c>
      <c r="M463">
        <v>32000</v>
      </c>
      <c r="N463">
        <v>12500</v>
      </c>
      <c r="O463" s="2">
        <v>0.7191011235955056</v>
      </c>
      <c r="P463">
        <v>50000</v>
      </c>
      <c r="Q463" s="2">
        <v>-0.11</v>
      </c>
      <c r="R463">
        <v>27400</v>
      </c>
      <c r="S463" s="2">
        <v>1.6240875912408761</v>
      </c>
      <c r="W463" t="s">
        <v>198</v>
      </c>
    </row>
    <row r="464" spans="1:23" x14ac:dyDescent="0.3">
      <c r="A464" t="s">
        <v>29</v>
      </c>
      <c r="B464" t="s">
        <v>428</v>
      </c>
      <c r="C464" s="1" t="str">
        <f>HYPERLINK("https://new.land.naver.com/complexes/1974", "클릭")</f>
        <v>클릭</v>
      </c>
      <c r="D464">
        <v>1984</v>
      </c>
      <c r="E464">
        <v>1</v>
      </c>
      <c r="F464">
        <v>70</v>
      </c>
      <c r="G464">
        <v>52</v>
      </c>
      <c r="H464" t="s">
        <v>135</v>
      </c>
      <c r="I464" t="s">
        <v>138</v>
      </c>
      <c r="J464" t="s">
        <v>278</v>
      </c>
      <c r="K464">
        <v>44000</v>
      </c>
      <c r="L464" t="s">
        <v>278</v>
      </c>
      <c r="M464">
        <v>19000</v>
      </c>
      <c r="N464">
        <v>25000</v>
      </c>
      <c r="O464" s="2">
        <v>0.43181818181818182</v>
      </c>
      <c r="R464">
        <v>24800</v>
      </c>
      <c r="S464" s="2">
        <v>1.774193548387097</v>
      </c>
      <c r="W464" t="s">
        <v>205</v>
      </c>
    </row>
    <row r="465" spans="1:23" x14ac:dyDescent="0.3">
      <c r="A465" t="s">
        <v>28</v>
      </c>
      <c r="B465" t="s">
        <v>125</v>
      </c>
      <c r="C465" s="1" t="str">
        <f>HYPERLINK("https://new.land.naver.com/complexes/17511", "클릭")</f>
        <v>클릭</v>
      </c>
      <c r="D465">
        <v>2006</v>
      </c>
      <c r="E465">
        <v>8</v>
      </c>
      <c r="F465">
        <v>70</v>
      </c>
      <c r="G465">
        <v>108</v>
      </c>
      <c r="H465" t="s">
        <v>135</v>
      </c>
      <c r="I465" t="s">
        <v>139</v>
      </c>
      <c r="J465" t="s">
        <v>620</v>
      </c>
      <c r="K465">
        <v>43500</v>
      </c>
      <c r="L465" t="s">
        <v>620</v>
      </c>
      <c r="M465">
        <v>32000</v>
      </c>
      <c r="N465">
        <v>11500</v>
      </c>
      <c r="O465" s="2">
        <v>0.73563218390804597</v>
      </c>
      <c r="R465">
        <v>26700</v>
      </c>
      <c r="S465" s="2">
        <v>1.629213483146067</v>
      </c>
      <c r="W465" t="s">
        <v>199</v>
      </c>
    </row>
    <row r="466" spans="1:23" x14ac:dyDescent="0.3">
      <c r="A466" t="s">
        <v>31</v>
      </c>
      <c r="B466" t="s">
        <v>102</v>
      </c>
      <c r="C466" s="1" t="str">
        <f>HYPERLINK("https://new.land.naver.com/complexes/3080", "클릭")</f>
        <v>클릭</v>
      </c>
      <c r="D466">
        <v>2003</v>
      </c>
      <c r="E466">
        <v>3</v>
      </c>
      <c r="F466">
        <v>2044</v>
      </c>
      <c r="G466">
        <v>59</v>
      </c>
      <c r="H466" t="s">
        <v>135</v>
      </c>
      <c r="I466" t="s">
        <v>138</v>
      </c>
      <c r="J466" t="s">
        <v>275</v>
      </c>
      <c r="K466">
        <v>43000</v>
      </c>
      <c r="L466" t="s">
        <v>284</v>
      </c>
      <c r="M466">
        <v>31000</v>
      </c>
      <c r="N466">
        <v>12000</v>
      </c>
      <c r="O466" s="2">
        <v>0.72093023255813948</v>
      </c>
      <c r="P466">
        <v>55800</v>
      </c>
      <c r="Q466" s="2">
        <v>-0.2293906810035842</v>
      </c>
      <c r="R466">
        <v>27700</v>
      </c>
      <c r="S466" s="2">
        <v>1.552346570397112</v>
      </c>
      <c r="W466" t="s">
        <v>198</v>
      </c>
    </row>
    <row r="467" spans="1:23" x14ac:dyDescent="0.3">
      <c r="A467" t="s">
        <v>28</v>
      </c>
      <c r="B467" t="s">
        <v>124</v>
      </c>
      <c r="C467" s="1" t="str">
        <f>HYPERLINK("https://new.land.naver.com/complexes/3032", "클릭")</f>
        <v>클릭</v>
      </c>
      <c r="D467">
        <v>1999</v>
      </c>
      <c r="E467">
        <v>12</v>
      </c>
      <c r="F467">
        <v>212</v>
      </c>
      <c r="G467">
        <v>84</v>
      </c>
      <c r="H467" t="s">
        <v>135</v>
      </c>
      <c r="I467" t="s">
        <v>137</v>
      </c>
      <c r="J467" t="s">
        <v>143</v>
      </c>
      <c r="K467">
        <v>43000</v>
      </c>
      <c r="L467" t="s">
        <v>143</v>
      </c>
      <c r="M467">
        <v>31000</v>
      </c>
      <c r="N467">
        <v>12000</v>
      </c>
      <c r="O467" s="2">
        <v>0.72093023255813948</v>
      </c>
      <c r="P467">
        <v>56000</v>
      </c>
      <c r="Q467" s="2">
        <v>-0.23214285714285721</v>
      </c>
      <c r="R467">
        <v>29500</v>
      </c>
      <c r="S467" s="2">
        <v>1.4576271186440679</v>
      </c>
      <c r="W467" t="s">
        <v>198</v>
      </c>
    </row>
    <row r="468" spans="1:23" x14ac:dyDescent="0.3">
      <c r="A468" t="s">
        <v>31</v>
      </c>
      <c r="B468" t="s">
        <v>220</v>
      </c>
      <c r="C468" s="1" t="str">
        <f>HYPERLINK("https://new.land.naver.com/complexes/1992", "클릭")</f>
        <v>클릭</v>
      </c>
      <c r="D468">
        <v>1993</v>
      </c>
      <c r="E468">
        <v>11</v>
      </c>
      <c r="F468">
        <v>3227</v>
      </c>
      <c r="G468">
        <v>42</v>
      </c>
      <c r="H468" t="s">
        <v>136</v>
      </c>
      <c r="I468" t="s">
        <v>235</v>
      </c>
      <c r="J468" t="s">
        <v>479</v>
      </c>
      <c r="K468">
        <v>43000</v>
      </c>
      <c r="L468" t="s">
        <v>479</v>
      </c>
      <c r="M468">
        <v>20000</v>
      </c>
      <c r="N468">
        <v>23000</v>
      </c>
      <c r="O468" s="2">
        <v>0.46511627906976738</v>
      </c>
      <c r="R468">
        <v>27000</v>
      </c>
      <c r="S468" s="2">
        <v>1.592592592592593</v>
      </c>
      <c r="W468" t="s">
        <v>198</v>
      </c>
    </row>
    <row r="469" spans="1:23" x14ac:dyDescent="0.3">
      <c r="A469" t="s">
        <v>28</v>
      </c>
      <c r="B469" t="s">
        <v>98</v>
      </c>
      <c r="C469" s="1" t="str">
        <f>HYPERLINK("https://new.land.naver.com/complexes/10509", "클릭")</f>
        <v>클릭</v>
      </c>
      <c r="D469">
        <v>2004</v>
      </c>
      <c r="E469">
        <v>12</v>
      </c>
      <c r="F469">
        <v>361</v>
      </c>
      <c r="G469">
        <v>59</v>
      </c>
      <c r="H469" t="s">
        <v>135</v>
      </c>
      <c r="I469" t="s">
        <v>138</v>
      </c>
      <c r="J469" t="s">
        <v>271</v>
      </c>
      <c r="K469">
        <v>43000</v>
      </c>
      <c r="L469" t="s">
        <v>271</v>
      </c>
      <c r="M469">
        <v>34000</v>
      </c>
      <c r="N469">
        <v>9000</v>
      </c>
      <c r="O469" s="2">
        <v>0.79069767441860461</v>
      </c>
      <c r="P469">
        <v>58000</v>
      </c>
      <c r="Q469" s="2">
        <v>-0.25862068965517238</v>
      </c>
      <c r="R469">
        <v>29000</v>
      </c>
      <c r="S469" s="2">
        <v>1.482758620689655</v>
      </c>
      <c r="W469" t="s">
        <v>198</v>
      </c>
    </row>
    <row r="470" spans="1:23" x14ac:dyDescent="0.3">
      <c r="A470" t="s">
        <v>28</v>
      </c>
      <c r="B470" t="s">
        <v>125</v>
      </c>
      <c r="C470" s="1" t="str">
        <f>HYPERLINK("https://new.land.naver.com/complexes/17511", "클릭")</f>
        <v>클릭</v>
      </c>
      <c r="D470">
        <v>2006</v>
      </c>
      <c r="E470">
        <v>8</v>
      </c>
      <c r="F470">
        <v>70</v>
      </c>
      <c r="G470">
        <v>84</v>
      </c>
      <c r="H470" t="s">
        <v>135</v>
      </c>
      <c r="I470" t="s">
        <v>137</v>
      </c>
      <c r="J470" t="s">
        <v>183</v>
      </c>
      <c r="K470">
        <v>43000</v>
      </c>
      <c r="L470" t="s">
        <v>183</v>
      </c>
      <c r="M470">
        <v>30000</v>
      </c>
      <c r="N470">
        <v>13000</v>
      </c>
      <c r="O470" s="2">
        <v>0.69767441860465118</v>
      </c>
      <c r="P470">
        <v>38600</v>
      </c>
      <c r="Q470" s="2">
        <v>0.1139896373056995</v>
      </c>
      <c r="R470">
        <v>22400</v>
      </c>
      <c r="S470" s="2">
        <v>1.919642857142857</v>
      </c>
      <c r="W470" t="s">
        <v>198</v>
      </c>
    </row>
    <row r="471" spans="1:23" x14ac:dyDescent="0.3">
      <c r="A471" t="s">
        <v>28</v>
      </c>
      <c r="B471" t="s">
        <v>105</v>
      </c>
      <c r="C471" s="1" t="str">
        <f>HYPERLINK("https://new.land.naver.com/complexes/10147", "클릭")</f>
        <v>클릭</v>
      </c>
      <c r="D471">
        <v>2004</v>
      </c>
      <c r="E471">
        <v>10</v>
      </c>
      <c r="F471">
        <v>203</v>
      </c>
      <c r="G471">
        <v>66</v>
      </c>
      <c r="H471" t="s">
        <v>135</v>
      </c>
      <c r="I471" t="s">
        <v>138</v>
      </c>
      <c r="J471" t="s">
        <v>260</v>
      </c>
      <c r="K471">
        <v>43000</v>
      </c>
      <c r="L471" t="s">
        <v>260</v>
      </c>
      <c r="M471">
        <v>33000</v>
      </c>
      <c r="N471">
        <v>10000</v>
      </c>
      <c r="O471" s="2">
        <v>0.76744186046511631</v>
      </c>
      <c r="R471">
        <v>28400</v>
      </c>
      <c r="S471" s="2">
        <v>1.5140845070422539</v>
      </c>
      <c r="W471" t="s">
        <v>198</v>
      </c>
    </row>
    <row r="472" spans="1:23" x14ac:dyDescent="0.3">
      <c r="A472" t="s">
        <v>28</v>
      </c>
      <c r="B472" t="s">
        <v>429</v>
      </c>
      <c r="C472" s="1" t="str">
        <f>HYPERLINK("https://new.land.naver.com/complexes/10801", "클릭")</f>
        <v>클릭</v>
      </c>
      <c r="D472">
        <v>1980</v>
      </c>
      <c r="E472">
        <v>10</v>
      </c>
      <c r="F472">
        <v>44</v>
      </c>
      <c r="G472">
        <v>46</v>
      </c>
      <c r="H472" t="s">
        <v>135</v>
      </c>
      <c r="I472" t="s">
        <v>235</v>
      </c>
      <c r="J472" t="s">
        <v>480</v>
      </c>
      <c r="K472">
        <v>43000</v>
      </c>
      <c r="L472" t="s">
        <v>480</v>
      </c>
      <c r="M472">
        <v>15000</v>
      </c>
      <c r="N472">
        <v>28000</v>
      </c>
      <c r="O472" s="2">
        <v>0.34883720930232559</v>
      </c>
      <c r="R472">
        <v>13700</v>
      </c>
      <c r="S472" s="2">
        <v>3.1386861313868608</v>
      </c>
      <c r="W472" t="s">
        <v>198</v>
      </c>
    </row>
    <row r="473" spans="1:23" x14ac:dyDescent="0.3">
      <c r="A473" t="s">
        <v>31</v>
      </c>
      <c r="B473" t="s">
        <v>430</v>
      </c>
      <c r="C473" s="1" t="str">
        <f>HYPERLINK("https://new.land.naver.com/complexes/1985", "클릭")</f>
        <v>클릭</v>
      </c>
      <c r="D473">
        <v>1993</v>
      </c>
      <c r="E473">
        <v>7</v>
      </c>
      <c r="F473">
        <v>790</v>
      </c>
      <c r="G473">
        <v>49</v>
      </c>
      <c r="H473" t="s">
        <v>136</v>
      </c>
      <c r="I473" t="s">
        <v>235</v>
      </c>
      <c r="J473" t="s">
        <v>385</v>
      </c>
      <c r="K473">
        <v>43000</v>
      </c>
      <c r="L473" t="s">
        <v>385</v>
      </c>
      <c r="M473">
        <v>25000</v>
      </c>
      <c r="N473">
        <v>18000</v>
      </c>
      <c r="O473" s="2">
        <v>0.58139534883720934</v>
      </c>
      <c r="R473">
        <v>28800</v>
      </c>
      <c r="S473" s="2">
        <v>1.493055555555556</v>
      </c>
      <c r="W473" t="s">
        <v>198</v>
      </c>
    </row>
    <row r="474" spans="1:23" x14ac:dyDescent="0.3">
      <c r="A474" t="s">
        <v>31</v>
      </c>
      <c r="B474" t="s">
        <v>84</v>
      </c>
      <c r="C474" s="1" t="str">
        <f>HYPERLINK("https://new.land.naver.com/complexes/22957", "클릭")</f>
        <v>클릭</v>
      </c>
      <c r="D474">
        <v>2007</v>
      </c>
      <c r="E474">
        <v>7</v>
      </c>
      <c r="F474">
        <v>492</v>
      </c>
      <c r="G474">
        <v>46</v>
      </c>
      <c r="H474" t="s">
        <v>136</v>
      </c>
      <c r="I474" t="s">
        <v>235</v>
      </c>
      <c r="J474" t="s">
        <v>481</v>
      </c>
      <c r="K474">
        <v>43000</v>
      </c>
      <c r="L474" t="s">
        <v>257</v>
      </c>
      <c r="M474">
        <v>30000</v>
      </c>
      <c r="N474">
        <v>13000</v>
      </c>
      <c r="O474" s="2">
        <v>0.69767441860465118</v>
      </c>
      <c r="R474">
        <v>25000</v>
      </c>
      <c r="S474" s="2">
        <v>1.72</v>
      </c>
      <c r="W474" t="s">
        <v>198</v>
      </c>
    </row>
    <row r="475" spans="1:23" x14ac:dyDescent="0.3">
      <c r="A475" t="s">
        <v>28</v>
      </c>
      <c r="B475" t="s">
        <v>126</v>
      </c>
      <c r="C475" s="1" t="str">
        <f>HYPERLINK("https://new.land.naver.com/complexes/8038", "클릭")</f>
        <v>클릭</v>
      </c>
      <c r="D475">
        <v>2000</v>
      </c>
      <c r="E475">
        <v>10</v>
      </c>
      <c r="F475">
        <v>168</v>
      </c>
      <c r="G475">
        <v>84</v>
      </c>
      <c r="H475" t="s">
        <v>135</v>
      </c>
      <c r="I475" t="s">
        <v>137</v>
      </c>
      <c r="J475" t="s">
        <v>183</v>
      </c>
      <c r="K475">
        <v>43000</v>
      </c>
      <c r="L475" t="s">
        <v>183</v>
      </c>
      <c r="M475">
        <v>35000</v>
      </c>
      <c r="N475">
        <v>8000</v>
      </c>
      <c r="O475" s="2">
        <v>0.81395348837209303</v>
      </c>
      <c r="P475">
        <v>54500</v>
      </c>
      <c r="Q475" s="2">
        <v>-0.21100917431192659</v>
      </c>
      <c r="R475">
        <v>28500</v>
      </c>
      <c r="S475" s="2">
        <v>1.508771929824561</v>
      </c>
      <c r="W475" t="s">
        <v>198</v>
      </c>
    </row>
    <row r="476" spans="1:23" x14ac:dyDescent="0.3">
      <c r="A476" t="s">
        <v>28</v>
      </c>
      <c r="B476" t="s">
        <v>323</v>
      </c>
      <c r="C476" s="1" t="str">
        <f>HYPERLINK("https://new.land.naver.com/complexes/127325", "클릭")</f>
        <v>클릭</v>
      </c>
      <c r="D476">
        <v>2015</v>
      </c>
      <c r="E476">
        <v>8</v>
      </c>
      <c r="F476">
        <v>15</v>
      </c>
      <c r="G476">
        <v>82</v>
      </c>
      <c r="H476" t="s">
        <v>135</v>
      </c>
      <c r="I476" t="s">
        <v>137</v>
      </c>
      <c r="J476" t="s">
        <v>344</v>
      </c>
      <c r="K476">
        <v>42000</v>
      </c>
      <c r="L476" t="s">
        <v>379</v>
      </c>
      <c r="M476">
        <v>30000</v>
      </c>
      <c r="N476">
        <v>12000</v>
      </c>
      <c r="O476" s="2">
        <v>0.7142857142857143</v>
      </c>
      <c r="W476" t="s">
        <v>198</v>
      </c>
    </row>
    <row r="477" spans="1:23" x14ac:dyDescent="0.3">
      <c r="A477" t="s">
        <v>28</v>
      </c>
      <c r="B477" t="s">
        <v>127</v>
      </c>
      <c r="C477" s="1" t="str">
        <f>HYPERLINK("https://new.land.naver.com/complexes/2047", "클릭")</f>
        <v>클릭</v>
      </c>
      <c r="D477">
        <v>1994</v>
      </c>
      <c r="E477">
        <v>11</v>
      </c>
      <c r="F477">
        <v>148</v>
      </c>
      <c r="G477">
        <v>84</v>
      </c>
      <c r="H477" t="s">
        <v>136</v>
      </c>
      <c r="I477" t="s">
        <v>137</v>
      </c>
      <c r="J477" t="s">
        <v>187</v>
      </c>
      <c r="K477">
        <v>42000</v>
      </c>
      <c r="L477" t="s">
        <v>187</v>
      </c>
      <c r="M477">
        <v>28000</v>
      </c>
      <c r="N477">
        <v>14000</v>
      </c>
      <c r="O477" s="2">
        <v>0.66666666666666663</v>
      </c>
      <c r="P477">
        <v>39000</v>
      </c>
      <c r="Q477" s="2">
        <v>7.6923076923076927E-2</v>
      </c>
      <c r="R477">
        <v>25100</v>
      </c>
      <c r="S477" s="2">
        <v>1.673306772908367</v>
      </c>
      <c r="W477" t="s">
        <v>198</v>
      </c>
    </row>
    <row r="478" spans="1:23" x14ac:dyDescent="0.3">
      <c r="A478" t="s">
        <v>31</v>
      </c>
      <c r="B478" t="s">
        <v>420</v>
      </c>
      <c r="C478" s="1" t="str">
        <f>HYPERLINK("https://new.land.naver.com/complexes/12122", "클릭")</f>
        <v>클릭</v>
      </c>
      <c r="D478">
        <v>1988</v>
      </c>
      <c r="E478">
        <v>10</v>
      </c>
      <c r="F478">
        <v>48</v>
      </c>
      <c r="G478">
        <v>38</v>
      </c>
      <c r="H478" t="s">
        <v>135</v>
      </c>
      <c r="I478" t="s">
        <v>235</v>
      </c>
      <c r="J478" t="s">
        <v>473</v>
      </c>
      <c r="K478">
        <v>42000</v>
      </c>
      <c r="L478" t="s">
        <v>473</v>
      </c>
      <c r="M478">
        <v>13000</v>
      </c>
      <c r="N478">
        <v>29000</v>
      </c>
      <c r="O478" s="2">
        <v>0.30952380952380948</v>
      </c>
      <c r="R478">
        <v>22400</v>
      </c>
      <c r="S478" s="2">
        <v>1.875</v>
      </c>
      <c r="W478" t="s">
        <v>205</v>
      </c>
    </row>
    <row r="479" spans="1:23" x14ac:dyDescent="0.3">
      <c r="A479" t="s">
        <v>29</v>
      </c>
      <c r="B479" t="s">
        <v>227</v>
      </c>
      <c r="C479" s="1" t="str">
        <f>HYPERLINK("https://new.land.naver.com/complexes/1971", "클릭")</f>
        <v>클릭</v>
      </c>
      <c r="D479">
        <v>1986</v>
      </c>
      <c r="E479">
        <v>6</v>
      </c>
      <c r="F479">
        <v>140</v>
      </c>
      <c r="G479">
        <v>58</v>
      </c>
      <c r="H479" t="s">
        <v>135</v>
      </c>
      <c r="I479" t="s">
        <v>138</v>
      </c>
      <c r="J479" t="s">
        <v>254</v>
      </c>
      <c r="K479">
        <v>42000</v>
      </c>
      <c r="L479" t="s">
        <v>254</v>
      </c>
      <c r="M479">
        <v>18000</v>
      </c>
      <c r="N479">
        <v>24000</v>
      </c>
      <c r="O479" s="2">
        <v>0.42857142857142849</v>
      </c>
      <c r="P479">
        <v>43000</v>
      </c>
      <c r="Q479" s="2">
        <v>-2.3255813953488368E-2</v>
      </c>
      <c r="R479">
        <v>23400</v>
      </c>
      <c r="S479" s="2">
        <v>1.7948717948717949</v>
      </c>
      <c r="W479" t="s">
        <v>287</v>
      </c>
    </row>
    <row r="480" spans="1:23" x14ac:dyDescent="0.3">
      <c r="A480" t="s">
        <v>28</v>
      </c>
      <c r="B480" t="s">
        <v>232</v>
      </c>
      <c r="C480" s="1" t="str">
        <f>HYPERLINK("https://new.land.naver.com/complexes/15536", "클릭")</f>
        <v>클릭</v>
      </c>
      <c r="D480">
        <v>2003</v>
      </c>
      <c r="E480">
        <v>11</v>
      </c>
      <c r="F480">
        <v>89</v>
      </c>
      <c r="G480">
        <v>73</v>
      </c>
      <c r="H480" t="s">
        <v>135</v>
      </c>
      <c r="I480" t="s">
        <v>137</v>
      </c>
      <c r="J480" t="s">
        <v>150</v>
      </c>
      <c r="K480">
        <v>42000</v>
      </c>
      <c r="L480" t="s">
        <v>150</v>
      </c>
      <c r="M480">
        <v>27000</v>
      </c>
      <c r="N480">
        <v>15000</v>
      </c>
      <c r="O480" s="2">
        <v>0.6428571428571429</v>
      </c>
      <c r="W480" t="s">
        <v>407</v>
      </c>
    </row>
    <row r="481" spans="1:23" x14ac:dyDescent="0.3">
      <c r="A481" t="s">
        <v>28</v>
      </c>
      <c r="B481" t="s">
        <v>230</v>
      </c>
      <c r="C481" s="1" t="str">
        <f>HYPERLINK("https://new.land.naver.com/complexes/128689", "클릭")</f>
        <v>클릭</v>
      </c>
      <c r="D481">
        <v>2019</v>
      </c>
      <c r="E481">
        <v>7</v>
      </c>
      <c r="F481">
        <v>42</v>
      </c>
      <c r="G481">
        <v>55</v>
      </c>
      <c r="H481" t="s">
        <v>135</v>
      </c>
      <c r="I481" t="s">
        <v>137</v>
      </c>
      <c r="J481" t="s">
        <v>482</v>
      </c>
      <c r="K481">
        <v>42000</v>
      </c>
      <c r="L481" t="s">
        <v>482</v>
      </c>
      <c r="M481">
        <v>29000</v>
      </c>
      <c r="N481">
        <v>13000</v>
      </c>
      <c r="O481" s="2">
        <v>0.69047619047619047</v>
      </c>
      <c r="R481">
        <v>25000</v>
      </c>
      <c r="S481" s="2">
        <v>1.68</v>
      </c>
      <c r="W481" t="s">
        <v>198</v>
      </c>
    </row>
    <row r="482" spans="1:23" x14ac:dyDescent="0.3">
      <c r="A482" t="s">
        <v>28</v>
      </c>
      <c r="B482" t="s">
        <v>230</v>
      </c>
      <c r="C482" s="1" t="str">
        <f>HYPERLINK("https://new.land.naver.com/complexes/128689", "클릭")</f>
        <v>클릭</v>
      </c>
      <c r="D482">
        <v>2019</v>
      </c>
      <c r="E482">
        <v>7</v>
      </c>
      <c r="F482">
        <v>42</v>
      </c>
      <c r="G482">
        <v>56</v>
      </c>
      <c r="H482" t="s">
        <v>135</v>
      </c>
      <c r="I482" t="s">
        <v>137</v>
      </c>
      <c r="J482" t="s">
        <v>257</v>
      </c>
      <c r="K482">
        <v>42000</v>
      </c>
      <c r="L482" t="s">
        <v>257</v>
      </c>
      <c r="M482">
        <v>32000</v>
      </c>
      <c r="N482">
        <v>10000</v>
      </c>
      <c r="O482" s="2">
        <v>0.76190476190476186</v>
      </c>
      <c r="P482">
        <v>35500</v>
      </c>
      <c r="Q482" s="2">
        <v>0.18309859154929581</v>
      </c>
      <c r="R482">
        <v>25000</v>
      </c>
      <c r="S482" s="2">
        <v>1.68</v>
      </c>
      <c r="W482" t="s">
        <v>388</v>
      </c>
    </row>
    <row r="483" spans="1:23" x14ac:dyDescent="0.3">
      <c r="A483" t="s">
        <v>28</v>
      </c>
      <c r="B483" t="s">
        <v>108</v>
      </c>
      <c r="C483" s="1" t="str">
        <f>HYPERLINK("https://new.land.naver.com/complexes/8800", "클릭")</f>
        <v>클릭</v>
      </c>
      <c r="D483">
        <v>2000</v>
      </c>
      <c r="E483">
        <v>10</v>
      </c>
      <c r="F483">
        <v>370</v>
      </c>
      <c r="G483">
        <v>59</v>
      </c>
      <c r="H483" t="s">
        <v>136</v>
      </c>
      <c r="I483" t="s">
        <v>235</v>
      </c>
      <c r="J483" t="s">
        <v>266</v>
      </c>
      <c r="K483">
        <v>41000</v>
      </c>
      <c r="L483" t="s">
        <v>266</v>
      </c>
      <c r="M483">
        <v>25000</v>
      </c>
      <c r="N483">
        <v>16000</v>
      </c>
      <c r="O483" s="2">
        <v>0.6097560975609756</v>
      </c>
      <c r="P483">
        <v>50500</v>
      </c>
      <c r="Q483" s="2">
        <v>-0.18811881188118809</v>
      </c>
      <c r="R483">
        <v>25400</v>
      </c>
      <c r="S483" s="2">
        <v>1.6141732283464569</v>
      </c>
      <c r="W483" t="s">
        <v>198</v>
      </c>
    </row>
    <row r="484" spans="1:23" x14ac:dyDescent="0.3">
      <c r="A484" t="s">
        <v>31</v>
      </c>
      <c r="B484" t="s">
        <v>111</v>
      </c>
      <c r="C484" s="1" t="str">
        <f>HYPERLINK("https://new.land.naver.com/complexes/108656", "클릭")</f>
        <v>클릭</v>
      </c>
      <c r="D484">
        <v>2014</v>
      </c>
      <c r="E484">
        <v>10</v>
      </c>
      <c r="F484">
        <v>191</v>
      </c>
      <c r="G484">
        <v>68</v>
      </c>
      <c r="H484" t="s">
        <v>135</v>
      </c>
      <c r="I484" t="s">
        <v>235</v>
      </c>
      <c r="J484" t="s">
        <v>359</v>
      </c>
      <c r="K484">
        <v>41000</v>
      </c>
      <c r="L484" t="s">
        <v>359</v>
      </c>
      <c r="M484">
        <v>32000</v>
      </c>
      <c r="N484">
        <v>9000</v>
      </c>
      <c r="O484" s="2">
        <v>0.78048780487804881</v>
      </c>
      <c r="W484" t="s">
        <v>198</v>
      </c>
    </row>
    <row r="485" spans="1:23" x14ac:dyDescent="0.3">
      <c r="A485" t="s">
        <v>31</v>
      </c>
      <c r="B485" t="s">
        <v>132</v>
      </c>
      <c r="C485" s="1" t="str">
        <f>HYPERLINK("https://new.land.naver.com/complexes/1989", "클릭")</f>
        <v>클릭</v>
      </c>
      <c r="D485">
        <v>1979</v>
      </c>
      <c r="E485">
        <v>9</v>
      </c>
      <c r="F485">
        <v>576</v>
      </c>
      <c r="G485">
        <v>82</v>
      </c>
      <c r="H485" t="s">
        <v>136</v>
      </c>
      <c r="I485" t="s">
        <v>235</v>
      </c>
      <c r="J485" t="s">
        <v>372</v>
      </c>
      <c r="K485">
        <v>41000</v>
      </c>
      <c r="L485" t="s">
        <v>372</v>
      </c>
      <c r="M485">
        <v>10000</v>
      </c>
      <c r="N485">
        <v>31000</v>
      </c>
      <c r="O485" s="2">
        <v>0.24390243902439021</v>
      </c>
      <c r="W485" t="s">
        <v>198</v>
      </c>
    </row>
    <row r="486" spans="1:23" x14ac:dyDescent="0.3">
      <c r="A486" t="s">
        <v>28</v>
      </c>
      <c r="B486" t="s">
        <v>127</v>
      </c>
      <c r="C486" s="1" t="str">
        <f>HYPERLINK("https://new.land.naver.com/complexes/2047", "클릭")</f>
        <v>클릭</v>
      </c>
      <c r="D486">
        <v>1994</v>
      </c>
      <c r="E486">
        <v>11</v>
      </c>
      <c r="F486">
        <v>148</v>
      </c>
      <c r="G486">
        <v>80</v>
      </c>
      <c r="H486" t="s">
        <v>136</v>
      </c>
      <c r="I486" t="s">
        <v>137</v>
      </c>
      <c r="J486" t="s">
        <v>144</v>
      </c>
      <c r="K486">
        <v>41000</v>
      </c>
      <c r="L486" t="s">
        <v>144</v>
      </c>
      <c r="M486">
        <v>30000</v>
      </c>
      <c r="N486">
        <v>11000</v>
      </c>
      <c r="O486" s="2">
        <v>0.73170731707317072</v>
      </c>
      <c r="R486">
        <v>22200</v>
      </c>
      <c r="S486" s="2">
        <v>1.8468468468468471</v>
      </c>
      <c r="W486" t="s">
        <v>198</v>
      </c>
    </row>
    <row r="487" spans="1:23" x14ac:dyDescent="0.3">
      <c r="A487" t="s">
        <v>31</v>
      </c>
      <c r="B487" t="s">
        <v>309</v>
      </c>
      <c r="C487" s="1" t="str">
        <f>HYPERLINK("https://new.land.naver.com/complexes/25744", "클릭")</f>
        <v>클릭</v>
      </c>
      <c r="D487">
        <v>1988</v>
      </c>
      <c r="E487">
        <v>4</v>
      </c>
      <c r="F487">
        <v>40</v>
      </c>
      <c r="G487">
        <v>54</v>
      </c>
      <c r="H487" t="s">
        <v>135</v>
      </c>
      <c r="I487" t="s">
        <v>235</v>
      </c>
      <c r="J487" t="s">
        <v>371</v>
      </c>
      <c r="K487">
        <v>41000</v>
      </c>
      <c r="L487" t="s">
        <v>371</v>
      </c>
      <c r="M487">
        <v>18000</v>
      </c>
      <c r="N487">
        <v>23000</v>
      </c>
      <c r="O487" s="2">
        <v>0.43902439024390238</v>
      </c>
      <c r="W487" t="s">
        <v>405</v>
      </c>
    </row>
    <row r="488" spans="1:23" x14ac:dyDescent="0.3">
      <c r="A488" t="s">
        <v>30</v>
      </c>
      <c r="B488" t="s">
        <v>97</v>
      </c>
      <c r="C488" s="1" t="str">
        <f>HYPERLINK("https://new.land.naver.com/complexes/8185", "클릭")</f>
        <v>클릭</v>
      </c>
      <c r="D488">
        <v>1999</v>
      </c>
      <c r="E488">
        <v>10</v>
      </c>
      <c r="F488">
        <v>129</v>
      </c>
      <c r="G488">
        <v>59</v>
      </c>
      <c r="H488" t="s">
        <v>136</v>
      </c>
      <c r="I488" t="s">
        <v>138</v>
      </c>
      <c r="J488" t="s">
        <v>267</v>
      </c>
      <c r="K488">
        <v>41000</v>
      </c>
      <c r="L488" t="s">
        <v>267</v>
      </c>
      <c r="M488">
        <v>27000</v>
      </c>
      <c r="N488">
        <v>14000</v>
      </c>
      <c r="O488" s="2">
        <v>0.65853658536585369</v>
      </c>
      <c r="P488">
        <v>46500</v>
      </c>
      <c r="Q488" s="2">
        <v>-0.1182795698924731</v>
      </c>
      <c r="R488">
        <v>26700</v>
      </c>
      <c r="S488" s="2">
        <v>1.535580524344569</v>
      </c>
      <c r="W488" t="s">
        <v>198</v>
      </c>
    </row>
    <row r="489" spans="1:23" x14ac:dyDescent="0.3">
      <c r="A489" t="s">
        <v>28</v>
      </c>
      <c r="B489" t="s">
        <v>69</v>
      </c>
      <c r="C489" s="1" t="str">
        <f>HYPERLINK("https://new.land.naver.com/complexes/123900", "클릭")</f>
        <v>클릭</v>
      </c>
      <c r="D489">
        <v>2022</v>
      </c>
      <c r="E489">
        <v>5</v>
      </c>
      <c r="F489">
        <v>855</v>
      </c>
      <c r="G489">
        <v>36</v>
      </c>
      <c r="H489" t="s">
        <v>135</v>
      </c>
      <c r="I489" t="s">
        <v>235</v>
      </c>
      <c r="J489" t="s">
        <v>483</v>
      </c>
      <c r="K489">
        <v>41000</v>
      </c>
      <c r="L489" t="s">
        <v>483</v>
      </c>
      <c r="M489">
        <v>28000</v>
      </c>
      <c r="N489">
        <v>13000</v>
      </c>
      <c r="O489" s="2">
        <v>0.68292682926829273</v>
      </c>
      <c r="R489">
        <v>21100</v>
      </c>
      <c r="S489" s="2">
        <v>1.9431279620853079</v>
      </c>
      <c r="W489" t="s">
        <v>198</v>
      </c>
    </row>
    <row r="490" spans="1:23" x14ac:dyDescent="0.3">
      <c r="A490" t="s">
        <v>28</v>
      </c>
      <c r="B490" t="s">
        <v>46</v>
      </c>
      <c r="C490" s="1" t="str">
        <f>HYPERLINK("https://new.land.naver.com/complexes/122682", "클릭")</f>
        <v>클릭</v>
      </c>
      <c r="D490">
        <v>2021</v>
      </c>
      <c r="E490">
        <v>4</v>
      </c>
      <c r="F490">
        <v>3850</v>
      </c>
      <c r="G490">
        <v>39</v>
      </c>
      <c r="H490" t="s">
        <v>135</v>
      </c>
      <c r="I490" t="s">
        <v>236</v>
      </c>
      <c r="J490" t="s">
        <v>484</v>
      </c>
      <c r="K490">
        <v>40400</v>
      </c>
      <c r="L490" t="s">
        <v>484</v>
      </c>
      <c r="M490">
        <v>26313</v>
      </c>
      <c r="N490">
        <v>14087</v>
      </c>
      <c r="O490" s="2">
        <v>0.65131188118811878</v>
      </c>
      <c r="R490">
        <v>25600</v>
      </c>
      <c r="S490" s="2">
        <v>1.578125</v>
      </c>
      <c r="W490" t="s">
        <v>198</v>
      </c>
    </row>
    <row r="491" spans="1:23" x14ac:dyDescent="0.3">
      <c r="A491" t="s">
        <v>30</v>
      </c>
      <c r="B491" t="s">
        <v>297</v>
      </c>
      <c r="C491" s="1" t="str">
        <f>HYPERLINK("https://new.land.naver.com/complexes/2595", "클릭")</f>
        <v>클릭</v>
      </c>
      <c r="D491">
        <v>1992</v>
      </c>
      <c r="E491">
        <v>10</v>
      </c>
      <c r="F491">
        <v>1743</v>
      </c>
      <c r="G491">
        <v>37</v>
      </c>
      <c r="H491" t="s">
        <v>136</v>
      </c>
      <c r="I491" t="s">
        <v>235</v>
      </c>
      <c r="J491" t="s">
        <v>473</v>
      </c>
      <c r="K491">
        <v>40000</v>
      </c>
      <c r="L491" t="s">
        <v>473</v>
      </c>
      <c r="M491">
        <v>21000</v>
      </c>
      <c r="N491">
        <v>19000</v>
      </c>
      <c r="O491" s="2">
        <v>0.52500000000000002</v>
      </c>
      <c r="R491">
        <v>24900</v>
      </c>
      <c r="S491" s="2">
        <v>1.606425702811245</v>
      </c>
      <c r="W491" t="s">
        <v>198</v>
      </c>
    </row>
    <row r="492" spans="1:23" x14ac:dyDescent="0.3">
      <c r="A492" t="s">
        <v>28</v>
      </c>
      <c r="B492" t="s">
        <v>431</v>
      </c>
      <c r="C492" s="1" t="str">
        <f>HYPERLINK("https://new.land.naver.com/complexes/9821", "클릭")</f>
        <v>클릭</v>
      </c>
      <c r="D492">
        <v>1983</v>
      </c>
      <c r="E492">
        <v>11</v>
      </c>
      <c r="F492">
        <v>49</v>
      </c>
      <c r="G492">
        <v>50</v>
      </c>
      <c r="H492" t="s">
        <v>135</v>
      </c>
      <c r="I492" t="s">
        <v>138</v>
      </c>
      <c r="J492" t="s">
        <v>484</v>
      </c>
      <c r="K492">
        <v>40000</v>
      </c>
      <c r="L492" t="s">
        <v>484</v>
      </c>
      <c r="M492">
        <v>15000</v>
      </c>
      <c r="N492">
        <v>25000</v>
      </c>
      <c r="O492" s="2">
        <v>0.375</v>
      </c>
      <c r="R492">
        <v>15600</v>
      </c>
      <c r="S492" s="2">
        <v>2.5641025641025639</v>
      </c>
      <c r="W492" t="s">
        <v>287</v>
      </c>
    </row>
    <row r="493" spans="1:23" x14ac:dyDescent="0.3">
      <c r="A493" t="s">
        <v>29</v>
      </c>
      <c r="B493" t="s">
        <v>319</v>
      </c>
      <c r="C493" s="1" t="str">
        <f>HYPERLINK("https://new.land.naver.com/complexes/1973", "클릭")</f>
        <v>클릭</v>
      </c>
      <c r="D493">
        <v>1986</v>
      </c>
      <c r="E493">
        <v>6</v>
      </c>
      <c r="F493">
        <v>50</v>
      </c>
      <c r="G493">
        <v>55</v>
      </c>
      <c r="H493" t="s">
        <v>135</v>
      </c>
      <c r="I493" t="s">
        <v>138</v>
      </c>
      <c r="J493" t="s">
        <v>371</v>
      </c>
      <c r="K493">
        <v>40000</v>
      </c>
      <c r="L493" t="s">
        <v>371</v>
      </c>
      <c r="M493">
        <v>18000</v>
      </c>
      <c r="N493">
        <v>22000</v>
      </c>
      <c r="O493" s="2">
        <v>0.45</v>
      </c>
      <c r="R493">
        <v>20700</v>
      </c>
      <c r="S493" s="2">
        <v>1.932367149758454</v>
      </c>
      <c r="W493" t="s">
        <v>524</v>
      </c>
    </row>
    <row r="494" spans="1:23" x14ac:dyDescent="0.3">
      <c r="A494" t="s">
        <v>31</v>
      </c>
      <c r="B494" t="s">
        <v>117</v>
      </c>
      <c r="C494" s="1" t="str">
        <f>HYPERLINK("https://new.land.naver.com/complexes/9908", "클릭")</f>
        <v>클릭</v>
      </c>
      <c r="D494">
        <v>2000</v>
      </c>
      <c r="E494">
        <v>1</v>
      </c>
      <c r="F494">
        <v>112</v>
      </c>
      <c r="G494">
        <v>59</v>
      </c>
      <c r="H494" t="s">
        <v>136</v>
      </c>
      <c r="I494" t="s">
        <v>138</v>
      </c>
      <c r="J494" t="s">
        <v>270</v>
      </c>
      <c r="K494">
        <v>40000</v>
      </c>
      <c r="L494" t="s">
        <v>270</v>
      </c>
      <c r="M494">
        <v>27000</v>
      </c>
      <c r="N494">
        <v>13000</v>
      </c>
      <c r="O494" s="2">
        <v>0.67500000000000004</v>
      </c>
      <c r="P494">
        <v>45000</v>
      </c>
      <c r="Q494" s="2">
        <v>-0.1111111111111111</v>
      </c>
      <c r="R494">
        <v>20200</v>
      </c>
      <c r="S494" s="2">
        <v>1.98019801980198</v>
      </c>
      <c r="W494" t="s">
        <v>198</v>
      </c>
    </row>
    <row r="495" spans="1:23" x14ac:dyDescent="0.3">
      <c r="A495" t="s">
        <v>31</v>
      </c>
      <c r="B495" t="s">
        <v>324</v>
      </c>
      <c r="C495" s="1" t="str">
        <f>HYPERLINK("https://new.land.naver.com/complexes/104561", "클릭")</f>
        <v>클릭</v>
      </c>
      <c r="D495">
        <v>1984</v>
      </c>
      <c r="E495">
        <v>10</v>
      </c>
      <c r="F495">
        <v>54</v>
      </c>
      <c r="G495">
        <v>73</v>
      </c>
      <c r="H495" t="s">
        <v>135</v>
      </c>
      <c r="I495" t="s">
        <v>137</v>
      </c>
      <c r="J495" t="s">
        <v>359</v>
      </c>
      <c r="K495">
        <v>40000</v>
      </c>
      <c r="L495" t="s">
        <v>359</v>
      </c>
      <c r="M495">
        <v>23000</v>
      </c>
      <c r="N495">
        <v>17000</v>
      </c>
      <c r="O495" s="2">
        <v>0.57499999999999996</v>
      </c>
      <c r="R495">
        <v>23400</v>
      </c>
      <c r="S495" s="2">
        <v>1.7094017094017091</v>
      </c>
      <c r="W495" t="s">
        <v>198</v>
      </c>
    </row>
    <row r="496" spans="1:23" x14ac:dyDescent="0.3">
      <c r="A496" t="s">
        <v>31</v>
      </c>
      <c r="B496" t="s">
        <v>132</v>
      </c>
      <c r="C496" s="1" t="str">
        <f>HYPERLINK("https://new.land.naver.com/complexes/1989", "클릭")</f>
        <v>클릭</v>
      </c>
      <c r="D496">
        <v>1979</v>
      </c>
      <c r="E496">
        <v>9</v>
      </c>
      <c r="F496">
        <v>576</v>
      </c>
      <c r="G496">
        <v>87</v>
      </c>
      <c r="H496" t="s">
        <v>136</v>
      </c>
      <c r="I496" t="s">
        <v>235</v>
      </c>
      <c r="J496" t="s">
        <v>636</v>
      </c>
      <c r="K496">
        <v>40000</v>
      </c>
      <c r="L496" t="s">
        <v>636</v>
      </c>
      <c r="M496">
        <v>8000</v>
      </c>
      <c r="N496">
        <v>32000</v>
      </c>
      <c r="O496" s="2">
        <v>0.2</v>
      </c>
      <c r="W496" t="s">
        <v>198</v>
      </c>
    </row>
    <row r="497" spans="1:23" x14ac:dyDescent="0.3">
      <c r="A497" t="s">
        <v>31</v>
      </c>
      <c r="B497" t="s">
        <v>132</v>
      </c>
      <c r="C497" s="1" t="str">
        <f>HYPERLINK("https://new.land.naver.com/complexes/1989", "클릭")</f>
        <v>클릭</v>
      </c>
      <c r="D497">
        <v>1979</v>
      </c>
      <c r="E497">
        <v>9</v>
      </c>
      <c r="F497">
        <v>576</v>
      </c>
      <c r="G497">
        <v>67</v>
      </c>
      <c r="H497" t="s">
        <v>136</v>
      </c>
      <c r="I497" t="s">
        <v>235</v>
      </c>
      <c r="J497" t="s">
        <v>373</v>
      </c>
      <c r="K497">
        <v>40000</v>
      </c>
      <c r="L497" t="s">
        <v>380</v>
      </c>
      <c r="M497">
        <v>10000</v>
      </c>
      <c r="N497">
        <v>30000</v>
      </c>
      <c r="O497" s="2">
        <v>0.25</v>
      </c>
      <c r="W497" t="s">
        <v>405</v>
      </c>
    </row>
    <row r="498" spans="1:23" x14ac:dyDescent="0.3">
      <c r="A498" t="s">
        <v>29</v>
      </c>
      <c r="B498" t="s">
        <v>228</v>
      </c>
      <c r="C498" s="1" t="str">
        <f>HYPERLINK("https://new.land.naver.com/complexes/24006", "클릭")</f>
        <v>클릭</v>
      </c>
      <c r="D498">
        <v>1988</v>
      </c>
      <c r="E498">
        <v>10</v>
      </c>
      <c r="F498">
        <v>34</v>
      </c>
      <c r="G498">
        <v>59</v>
      </c>
      <c r="H498" t="s">
        <v>135</v>
      </c>
      <c r="I498" t="s">
        <v>138</v>
      </c>
      <c r="J498" t="s">
        <v>271</v>
      </c>
      <c r="K498">
        <v>40000</v>
      </c>
      <c r="L498" t="s">
        <v>271</v>
      </c>
      <c r="M498">
        <v>22000</v>
      </c>
      <c r="N498">
        <v>18000</v>
      </c>
      <c r="O498" s="2">
        <v>0.55000000000000004</v>
      </c>
      <c r="P498">
        <v>40000</v>
      </c>
      <c r="Q498" s="2">
        <v>0</v>
      </c>
      <c r="R498">
        <v>24500</v>
      </c>
      <c r="S498" s="2">
        <v>1.6326530612244901</v>
      </c>
      <c r="W498" t="s">
        <v>205</v>
      </c>
    </row>
    <row r="499" spans="1:23" x14ac:dyDescent="0.3">
      <c r="A499" t="s">
        <v>28</v>
      </c>
      <c r="B499" t="s">
        <v>128</v>
      </c>
      <c r="C499" s="1" t="str">
        <f>HYPERLINK("https://new.land.naver.com/complexes/13255", "클릭")</f>
        <v>클릭</v>
      </c>
      <c r="D499">
        <v>2003</v>
      </c>
      <c r="E499">
        <v>8</v>
      </c>
      <c r="F499">
        <v>46</v>
      </c>
      <c r="G499">
        <v>84</v>
      </c>
      <c r="J499" t="s">
        <v>181</v>
      </c>
      <c r="K499">
        <v>40000</v>
      </c>
      <c r="L499" t="s">
        <v>181</v>
      </c>
      <c r="M499">
        <v>30000</v>
      </c>
      <c r="N499">
        <v>10000</v>
      </c>
      <c r="O499" s="2">
        <v>0.75</v>
      </c>
      <c r="P499">
        <v>30000</v>
      </c>
      <c r="Q499" s="2">
        <v>0.33333333333333331</v>
      </c>
      <c r="W499" t="s">
        <v>206</v>
      </c>
    </row>
    <row r="500" spans="1:23" x14ac:dyDescent="0.3">
      <c r="A500" t="s">
        <v>28</v>
      </c>
      <c r="B500" t="s">
        <v>325</v>
      </c>
      <c r="C500" s="1" t="str">
        <f>HYPERLINK("https://new.land.naver.com/complexes/22739", "클릭")</f>
        <v>클릭</v>
      </c>
      <c r="D500">
        <v>2004</v>
      </c>
      <c r="E500">
        <v>4</v>
      </c>
      <c r="F500">
        <v>15</v>
      </c>
      <c r="G500">
        <v>77</v>
      </c>
      <c r="H500" t="s">
        <v>135</v>
      </c>
      <c r="I500" t="s">
        <v>137</v>
      </c>
      <c r="J500" t="s">
        <v>358</v>
      </c>
      <c r="K500">
        <v>40000</v>
      </c>
      <c r="L500" t="s">
        <v>358</v>
      </c>
      <c r="M500">
        <v>20000</v>
      </c>
      <c r="N500">
        <v>20000</v>
      </c>
      <c r="O500" s="2">
        <v>0.5</v>
      </c>
      <c r="R500">
        <v>18100</v>
      </c>
      <c r="S500" s="2">
        <v>2.209944751381216</v>
      </c>
      <c r="W500" t="s">
        <v>198</v>
      </c>
    </row>
    <row r="501" spans="1:23" x14ac:dyDescent="0.3">
      <c r="A501" t="s">
        <v>28</v>
      </c>
      <c r="B501" t="s">
        <v>229</v>
      </c>
      <c r="C501" s="1" t="str">
        <f>HYPERLINK("https://new.land.naver.com/complexes/120224", "클릭")</f>
        <v>클릭</v>
      </c>
      <c r="D501">
        <v>2017</v>
      </c>
      <c r="E501">
        <v>1</v>
      </c>
      <c r="F501">
        <v>24</v>
      </c>
      <c r="G501">
        <v>59</v>
      </c>
      <c r="H501" t="s">
        <v>135</v>
      </c>
      <c r="I501" t="s">
        <v>137</v>
      </c>
      <c r="J501" t="s">
        <v>276</v>
      </c>
      <c r="K501">
        <v>40000</v>
      </c>
      <c r="L501" t="s">
        <v>285</v>
      </c>
      <c r="M501">
        <v>28000</v>
      </c>
      <c r="N501">
        <v>12000</v>
      </c>
      <c r="O501" s="2">
        <v>0.7</v>
      </c>
      <c r="P501">
        <v>38000</v>
      </c>
      <c r="Q501" s="2">
        <v>5.2631578947368418E-2</v>
      </c>
      <c r="W501" t="s">
        <v>198</v>
      </c>
    </row>
    <row r="502" spans="1:23" x14ac:dyDescent="0.3">
      <c r="A502" t="s">
        <v>29</v>
      </c>
      <c r="B502" t="s">
        <v>335</v>
      </c>
      <c r="C502" s="1" t="str">
        <f>HYPERLINK("https://new.land.naver.com/complexes/145391", "클릭")</f>
        <v>클릭</v>
      </c>
      <c r="D502">
        <v>1984</v>
      </c>
      <c r="E502">
        <v>12</v>
      </c>
      <c r="F502">
        <v>37</v>
      </c>
      <c r="G502">
        <v>50</v>
      </c>
      <c r="H502" t="s">
        <v>135</v>
      </c>
      <c r="I502" t="s">
        <v>138</v>
      </c>
      <c r="J502" t="s">
        <v>461</v>
      </c>
      <c r="K502">
        <v>40000</v>
      </c>
      <c r="L502" t="s">
        <v>461</v>
      </c>
      <c r="M502">
        <v>17000</v>
      </c>
      <c r="N502">
        <v>23000</v>
      </c>
      <c r="O502" s="2">
        <v>0.42499999999999999</v>
      </c>
      <c r="R502">
        <v>20300</v>
      </c>
      <c r="S502" s="2">
        <v>1.9704433497536951</v>
      </c>
      <c r="W502" t="s">
        <v>388</v>
      </c>
    </row>
    <row r="503" spans="1:23" x14ac:dyDescent="0.3">
      <c r="A503" t="s">
        <v>31</v>
      </c>
      <c r="B503" t="s">
        <v>45</v>
      </c>
      <c r="C503" s="1" t="str">
        <f>HYPERLINK("https://new.land.naver.com/complexes/124780", "클릭")</f>
        <v>클릭</v>
      </c>
      <c r="D503">
        <v>2021</v>
      </c>
      <c r="E503">
        <v>12</v>
      </c>
      <c r="F503">
        <v>2737</v>
      </c>
      <c r="G503">
        <v>39</v>
      </c>
      <c r="H503" t="s">
        <v>136</v>
      </c>
      <c r="I503" t="s">
        <v>236</v>
      </c>
      <c r="J503" t="s">
        <v>485</v>
      </c>
      <c r="K503">
        <v>40000</v>
      </c>
      <c r="L503" t="s">
        <v>485</v>
      </c>
      <c r="M503">
        <v>27946</v>
      </c>
      <c r="N503">
        <v>12054</v>
      </c>
      <c r="O503" s="2">
        <v>0.69864999999999999</v>
      </c>
      <c r="R503">
        <v>23600</v>
      </c>
      <c r="S503" s="2">
        <v>1.6949152542372881</v>
      </c>
      <c r="W503" t="s">
        <v>198</v>
      </c>
    </row>
    <row r="504" spans="1:23" x14ac:dyDescent="0.3">
      <c r="A504" t="s">
        <v>29</v>
      </c>
      <c r="B504" t="s">
        <v>62</v>
      </c>
      <c r="C504" s="1" t="str">
        <f>HYPERLINK("https://new.land.naver.com/complexes/3001", "클릭")</f>
        <v>클릭</v>
      </c>
      <c r="D504">
        <v>1995</v>
      </c>
      <c r="E504">
        <v>5</v>
      </c>
      <c r="F504">
        <v>952</v>
      </c>
      <c r="G504">
        <v>41</v>
      </c>
      <c r="H504" t="s">
        <v>136</v>
      </c>
      <c r="I504" t="s">
        <v>235</v>
      </c>
      <c r="J504" t="s">
        <v>472</v>
      </c>
      <c r="K504">
        <v>39700</v>
      </c>
      <c r="L504" t="s">
        <v>472</v>
      </c>
      <c r="M504">
        <v>19500</v>
      </c>
      <c r="N504">
        <v>20200</v>
      </c>
      <c r="O504" s="2">
        <v>0.49118387909319899</v>
      </c>
      <c r="R504">
        <v>26000</v>
      </c>
      <c r="S504" s="2">
        <v>1.526923076923077</v>
      </c>
      <c r="W504" t="s">
        <v>198</v>
      </c>
    </row>
    <row r="505" spans="1:23" x14ac:dyDescent="0.3">
      <c r="A505" t="s">
        <v>31</v>
      </c>
      <c r="B505" t="s">
        <v>432</v>
      </c>
      <c r="C505" s="1" t="str">
        <f>HYPERLINK("https://new.land.naver.com/complexes/22752", "클릭")</f>
        <v>클릭</v>
      </c>
      <c r="D505">
        <v>1993</v>
      </c>
      <c r="E505">
        <v>3</v>
      </c>
      <c r="F505">
        <v>1262</v>
      </c>
      <c r="G505">
        <v>41</v>
      </c>
      <c r="H505" t="s">
        <v>136</v>
      </c>
      <c r="I505" t="s">
        <v>236</v>
      </c>
      <c r="J505" t="s">
        <v>486</v>
      </c>
      <c r="K505">
        <v>39500</v>
      </c>
      <c r="L505" t="s">
        <v>486</v>
      </c>
      <c r="M505">
        <v>18000</v>
      </c>
      <c r="N505">
        <v>21500</v>
      </c>
      <c r="O505" s="2">
        <v>0.45569620253164561</v>
      </c>
      <c r="R505">
        <v>23200</v>
      </c>
      <c r="S505" s="2">
        <v>1.702586206896552</v>
      </c>
      <c r="W505" t="s">
        <v>198</v>
      </c>
    </row>
    <row r="506" spans="1:23" x14ac:dyDescent="0.3">
      <c r="A506" t="s">
        <v>29</v>
      </c>
      <c r="B506" t="s">
        <v>428</v>
      </c>
      <c r="C506" s="1" t="str">
        <f>HYPERLINK("https://new.land.naver.com/complexes/1974", "클릭")</f>
        <v>클릭</v>
      </c>
      <c r="D506">
        <v>1984</v>
      </c>
      <c r="E506">
        <v>1</v>
      </c>
      <c r="F506">
        <v>70</v>
      </c>
      <c r="G506">
        <v>50</v>
      </c>
      <c r="H506" t="s">
        <v>135</v>
      </c>
      <c r="I506" t="s">
        <v>138</v>
      </c>
      <c r="J506" t="s">
        <v>279</v>
      </c>
      <c r="K506">
        <v>39000</v>
      </c>
      <c r="L506" t="s">
        <v>279</v>
      </c>
      <c r="M506">
        <v>15000</v>
      </c>
      <c r="N506">
        <v>24000</v>
      </c>
      <c r="O506" s="2">
        <v>0.38461538461538458</v>
      </c>
      <c r="R506">
        <v>24300</v>
      </c>
      <c r="S506" s="2">
        <v>1.6049382716049381</v>
      </c>
      <c r="W506" t="s">
        <v>198</v>
      </c>
    </row>
    <row r="507" spans="1:23" x14ac:dyDescent="0.3">
      <c r="A507" t="s">
        <v>30</v>
      </c>
      <c r="B507" t="s">
        <v>214</v>
      </c>
      <c r="C507" s="1" t="str">
        <f>HYPERLINK("https://new.land.naver.com/complexes/8197", "클릭")</f>
        <v>클릭</v>
      </c>
      <c r="D507">
        <v>1985</v>
      </c>
      <c r="E507">
        <v>7</v>
      </c>
      <c r="F507">
        <v>120</v>
      </c>
      <c r="G507">
        <v>55</v>
      </c>
      <c r="H507" t="s">
        <v>135</v>
      </c>
      <c r="I507" t="s">
        <v>235</v>
      </c>
      <c r="J507" t="s">
        <v>371</v>
      </c>
      <c r="K507">
        <v>39000</v>
      </c>
      <c r="L507" t="s">
        <v>371</v>
      </c>
      <c r="M507">
        <v>20000</v>
      </c>
      <c r="N507">
        <v>19000</v>
      </c>
      <c r="O507" s="2">
        <v>0.51282051282051277</v>
      </c>
      <c r="R507">
        <v>27000</v>
      </c>
      <c r="S507" s="2">
        <v>1.444444444444444</v>
      </c>
      <c r="W507" t="s">
        <v>198</v>
      </c>
    </row>
    <row r="508" spans="1:23" x14ac:dyDescent="0.3">
      <c r="A508" t="s">
        <v>30</v>
      </c>
      <c r="B508" t="s">
        <v>214</v>
      </c>
      <c r="C508" s="1" t="str">
        <f>HYPERLINK("https://new.land.naver.com/complexes/8197", "클릭")</f>
        <v>클릭</v>
      </c>
      <c r="D508">
        <v>1985</v>
      </c>
      <c r="E508">
        <v>7</v>
      </c>
      <c r="F508">
        <v>120</v>
      </c>
      <c r="G508">
        <v>65</v>
      </c>
      <c r="H508" t="s">
        <v>135</v>
      </c>
      <c r="I508" t="s">
        <v>138</v>
      </c>
      <c r="J508" t="s">
        <v>270</v>
      </c>
      <c r="K508">
        <v>39000</v>
      </c>
      <c r="L508" t="s">
        <v>270</v>
      </c>
      <c r="M508">
        <v>25000</v>
      </c>
      <c r="N508">
        <v>14000</v>
      </c>
      <c r="O508" s="2">
        <v>0.64102564102564108</v>
      </c>
      <c r="R508">
        <v>31400</v>
      </c>
      <c r="S508" s="2">
        <v>1.2420382165605099</v>
      </c>
      <c r="W508" t="s">
        <v>198</v>
      </c>
    </row>
    <row r="509" spans="1:23" x14ac:dyDescent="0.3">
      <c r="A509" t="s">
        <v>28</v>
      </c>
      <c r="B509" t="s">
        <v>130</v>
      </c>
      <c r="C509" s="1" t="str">
        <f>HYPERLINK("https://new.land.naver.com/complexes/111203", "클릭")</f>
        <v>클릭</v>
      </c>
      <c r="D509">
        <v>2015</v>
      </c>
      <c r="E509">
        <v>8</v>
      </c>
      <c r="F509">
        <v>23</v>
      </c>
      <c r="G509">
        <v>78</v>
      </c>
      <c r="H509" t="s">
        <v>135</v>
      </c>
      <c r="I509" t="s">
        <v>137</v>
      </c>
      <c r="J509" t="s">
        <v>259</v>
      </c>
      <c r="K509">
        <v>39000</v>
      </c>
      <c r="W509" t="s">
        <v>198</v>
      </c>
    </row>
    <row r="510" spans="1:23" x14ac:dyDescent="0.3">
      <c r="A510" t="s">
        <v>29</v>
      </c>
      <c r="B510" t="s">
        <v>433</v>
      </c>
      <c r="C510" s="1" t="str">
        <f>HYPERLINK("https://new.land.naver.com/complexes/108041", "클릭")</f>
        <v>클릭</v>
      </c>
      <c r="D510">
        <v>1986</v>
      </c>
      <c r="E510">
        <v>12</v>
      </c>
      <c r="F510">
        <v>40</v>
      </c>
      <c r="G510">
        <v>51</v>
      </c>
      <c r="H510" t="s">
        <v>135</v>
      </c>
      <c r="I510" t="s">
        <v>138</v>
      </c>
      <c r="J510" t="s">
        <v>279</v>
      </c>
      <c r="K510">
        <v>39000</v>
      </c>
      <c r="L510" t="s">
        <v>513</v>
      </c>
      <c r="M510">
        <v>16000</v>
      </c>
      <c r="N510">
        <v>23000</v>
      </c>
      <c r="O510" s="2">
        <v>0.41025641025641019</v>
      </c>
      <c r="R510">
        <v>21900</v>
      </c>
      <c r="S510" s="2">
        <v>1.780821917808219</v>
      </c>
      <c r="W510" t="s">
        <v>199</v>
      </c>
    </row>
    <row r="511" spans="1:23" x14ac:dyDescent="0.3">
      <c r="A511" t="s">
        <v>29</v>
      </c>
      <c r="B511" t="s">
        <v>326</v>
      </c>
      <c r="C511" s="1" t="str">
        <f>HYPERLINK("https://new.land.naver.com/complexes/10392", "클릭")</f>
        <v>클릭</v>
      </c>
      <c r="D511">
        <v>1998</v>
      </c>
      <c r="E511">
        <v>3</v>
      </c>
      <c r="F511">
        <v>40</v>
      </c>
      <c r="G511">
        <v>63</v>
      </c>
      <c r="H511" t="s">
        <v>136</v>
      </c>
      <c r="I511" t="s">
        <v>235</v>
      </c>
      <c r="J511" t="s">
        <v>271</v>
      </c>
      <c r="K511">
        <v>39000</v>
      </c>
      <c r="L511" t="s">
        <v>271</v>
      </c>
      <c r="M511">
        <v>22000</v>
      </c>
      <c r="N511">
        <v>17000</v>
      </c>
      <c r="O511" s="2">
        <v>0.5641025641025641</v>
      </c>
      <c r="R511">
        <v>20800</v>
      </c>
      <c r="S511" s="2">
        <v>1.875</v>
      </c>
      <c r="W511" t="s">
        <v>393</v>
      </c>
    </row>
    <row r="512" spans="1:23" x14ac:dyDescent="0.3">
      <c r="A512" t="s">
        <v>30</v>
      </c>
      <c r="B512" t="s">
        <v>113</v>
      </c>
      <c r="C512" s="1" t="str">
        <f>HYPERLINK("https://new.land.naver.com/complexes/8711", "클릭")</f>
        <v>클릭</v>
      </c>
      <c r="D512">
        <v>1999</v>
      </c>
      <c r="E512">
        <v>7</v>
      </c>
      <c r="F512">
        <v>49</v>
      </c>
      <c r="G512">
        <v>59</v>
      </c>
      <c r="H512" t="s">
        <v>135</v>
      </c>
      <c r="I512" t="s">
        <v>235</v>
      </c>
      <c r="J512" t="s">
        <v>247</v>
      </c>
      <c r="K512">
        <v>39000</v>
      </c>
      <c r="L512" t="s">
        <v>247</v>
      </c>
      <c r="M512">
        <v>29000</v>
      </c>
      <c r="N512">
        <v>10000</v>
      </c>
      <c r="O512" s="2">
        <v>0.74358974358974361</v>
      </c>
      <c r="P512">
        <v>35000</v>
      </c>
      <c r="Q512" s="2">
        <v>0.1142857142857143</v>
      </c>
      <c r="R512">
        <v>26700</v>
      </c>
      <c r="S512" s="2">
        <v>1.460674157303371</v>
      </c>
      <c r="W512" t="s">
        <v>198</v>
      </c>
    </row>
    <row r="513" spans="1:23" x14ac:dyDescent="0.3">
      <c r="A513" t="s">
        <v>28</v>
      </c>
      <c r="B513" t="s">
        <v>122</v>
      </c>
      <c r="C513" s="1" t="str">
        <f>HYPERLINK("https://new.land.naver.com/complexes/8799", "클릭")</f>
        <v>클릭</v>
      </c>
      <c r="D513">
        <v>1998</v>
      </c>
      <c r="E513">
        <v>12</v>
      </c>
      <c r="F513">
        <v>130</v>
      </c>
      <c r="G513">
        <v>59</v>
      </c>
      <c r="H513" t="s">
        <v>136</v>
      </c>
      <c r="I513" t="s">
        <v>138</v>
      </c>
      <c r="J513" t="s">
        <v>269</v>
      </c>
      <c r="K513">
        <v>39000</v>
      </c>
      <c r="L513" t="s">
        <v>269</v>
      </c>
      <c r="M513">
        <v>28500</v>
      </c>
      <c r="N513">
        <v>10500</v>
      </c>
      <c r="O513" s="2">
        <v>0.73076923076923073</v>
      </c>
      <c r="P513">
        <v>35000</v>
      </c>
      <c r="Q513" s="2">
        <v>0.1142857142857143</v>
      </c>
      <c r="R513">
        <v>22900</v>
      </c>
      <c r="S513" s="2">
        <v>1.7030567685589519</v>
      </c>
      <c r="W513" t="s">
        <v>198</v>
      </c>
    </row>
    <row r="514" spans="1:23" x14ac:dyDescent="0.3">
      <c r="A514" t="s">
        <v>29</v>
      </c>
      <c r="B514" t="s">
        <v>224</v>
      </c>
      <c r="C514" s="1" t="str">
        <f>HYPERLINK("https://new.land.naver.com/complexes/106572", "클릭")</f>
        <v>클릭</v>
      </c>
      <c r="D514">
        <v>1989</v>
      </c>
      <c r="E514">
        <v>12</v>
      </c>
      <c r="F514">
        <v>24</v>
      </c>
      <c r="G514">
        <v>53</v>
      </c>
      <c r="H514" t="s">
        <v>135</v>
      </c>
      <c r="I514" t="s">
        <v>235</v>
      </c>
      <c r="J514" t="s">
        <v>356</v>
      </c>
      <c r="K514">
        <v>39000</v>
      </c>
      <c r="L514" t="s">
        <v>356</v>
      </c>
      <c r="M514">
        <v>18000</v>
      </c>
      <c r="N514">
        <v>21000</v>
      </c>
      <c r="O514" s="2">
        <v>0.46153846153846162</v>
      </c>
      <c r="W514" t="s">
        <v>205</v>
      </c>
    </row>
    <row r="515" spans="1:23" x14ac:dyDescent="0.3">
      <c r="A515" t="s">
        <v>28</v>
      </c>
      <c r="B515" t="s">
        <v>129</v>
      </c>
      <c r="C515" s="1" t="str">
        <f>HYPERLINK("https://new.land.naver.com/complexes/110236", "클릭")</f>
        <v>클릭</v>
      </c>
      <c r="D515">
        <v>2000</v>
      </c>
      <c r="E515">
        <v>5</v>
      </c>
      <c r="F515">
        <v>19</v>
      </c>
      <c r="G515">
        <v>84</v>
      </c>
      <c r="H515" t="s">
        <v>135</v>
      </c>
      <c r="I515" t="s">
        <v>137</v>
      </c>
      <c r="J515" t="s">
        <v>160</v>
      </c>
      <c r="K515">
        <v>39000</v>
      </c>
      <c r="L515" t="s">
        <v>160</v>
      </c>
      <c r="M515">
        <v>32000</v>
      </c>
      <c r="N515">
        <v>7000</v>
      </c>
      <c r="O515" s="2">
        <v>0.82051282051282048</v>
      </c>
      <c r="P515">
        <v>40500</v>
      </c>
      <c r="Q515" s="2">
        <v>-3.7037037037037028E-2</v>
      </c>
      <c r="R515">
        <v>22600</v>
      </c>
      <c r="S515" s="2">
        <v>1.7256637168141591</v>
      </c>
      <c r="W515" t="s">
        <v>198</v>
      </c>
    </row>
    <row r="516" spans="1:23" x14ac:dyDescent="0.3">
      <c r="A516" t="s">
        <v>29</v>
      </c>
      <c r="B516" t="s">
        <v>426</v>
      </c>
      <c r="C516" s="1" t="str">
        <f>HYPERLINK("https://new.land.naver.com/complexes/11244", "클릭")</f>
        <v>클릭</v>
      </c>
      <c r="D516">
        <v>1988</v>
      </c>
      <c r="E516">
        <v>5</v>
      </c>
      <c r="F516">
        <v>30</v>
      </c>
      <c r="G516">
        <v>46</v>
      </c>
      <c r="H516" t="s">
        <v>135</v>
      </c>
      <c r="I516" t="s">
        <v>138</v>
      </c>
      <c r="J516" t="s">
        <v>487</v>
      </c>
      <c r="K516">
        <v>38500</v>
      </c>
      <c r="L516" t="s">
        <v>487</v>
      </c>
      <c r="M516">
        <v>20000</v>
      </c>
      <c r="N516">
        <v>18500</v>
      </c>
      <c r="O516" s="2">
        <v>0.51948051948051943</v>
      </c>
      <c r="R516">
        <v>21500</v>
      </c>
      <c r="S516" s="2">
        <v>1.7906976744186049</v>
      </c>
      <c r="W516" t="s">
        <v>203</v>
      </c>
    </row>
    <row r="517" spans="1:23" x14ac:dyDescent="0.3">
      <c r="A517" t="s">
        <v>31</v>
      </c>
      <c r="B517" t="s">
        <v>112</v>
      </c>
      <c r="C517" s="1" t="str">
        <f>HYPERLINK("https://new.land.naver.com/complexes/9382", "클릭")</f>
        <v>클릭</v>
      </c>
      <c r="D517">
        <v>1995</v>
      </c>
      <c r="E517">
        <v>12</v>
      </c>
      <c r="F517">
        <v>282</v>
      </c>
      <c r="G517">
        <v>59</v>
      </c>
      <c r="H517" t="s">
        <v>136</v>
      </c>
      <c r="I517" t="s">
        <v>138</v>
      </c>
      <c r="J517" t="s">
        <v>271</v>
      </c>
      <c r="K517">
        <v>38000</v>
      </c>
      <c r="L517" t="s">
        <v>271</v>
      </c>
      <c r="M517">
        <v>21000</v>
      </c>
      <c r="N517">
        <v>17000</v>
      </c>
      <c r="O517" s="2">
        <v>0.55263157894736847</v>
      </c>
      <c r="P517">
        <v>48000</v>
      </c>
      <c r="Q517" s="2">
        <v>-0.20833333333333329</v>
      </c>
      <c r="R517">
        <v>26200</v>
      </c>
      <c r="S517" s="2">
        <v>1.4503816793893129</v>
      </c>
      <c r="W517" t="s">
        <v>198</v>
      </c>
    </row>
    <row r="518" spans="1:23" x14ac:dyDescent="0.3">
      <c r="A518" t="s">
        <v>31</v>
      </c>
      <c r="B518" t="s">
        <v>432</v>
      </c>
      <c r="C518" s="1" t="str">
        <f>HYPERLINK("https://new.land.naver.com/complexes/22752", "클릭")</f>
        <v>클릭</v>
      </c>
      <c r="D518">
        <v>1993</v>
      </c>
      <c r="E518">
        <v>3</v>
      </c>
      <c r="F518">
        <v>1262</v>
      </c>
      <c r="G518">
        <v>42</v>
      </c>
      <c r="H518" t="s">
        <v>136</v>
      </c>
      <c r="I518" t="s">
        <v>235</v>
      </c>
      <c r="J518" t="s">
        <v>483</v>
      </c>
      <c r="K518">
        <v>38000</v>
      </c>
      <c r="L518" t="s">
        <v>483</v>
      </c>
      <c r="M518">
        <v>16000</v>
      </c>
      <c r="N518">
        <v>22000</v>
      </c>
      <c r="O518" s="2">
        <v>0.42105263157894729</v>
      </c>
      <c r="R518">
        <v>23200</v>
      </c>
      <c r="S518" s="2">
        <v>1.6379310344827589</v>
      </c>
      <c r="W518" t="s">
        <v>198</v>
      </c>
    </row>
    <row r="519" spans="1:23" x14ac:dyDescent="0.3">
      <c r="A519" t="s">
        <v>28</v>
      </c>
      <c r="B519" t="s">
        <v>327</v>
      </c>
      <c r="C519" s="1" t="str">
        <f>HYPERLINK("https://new.land.naver.com/complexes/116687", "클릭")</f>
        <v>클릭</v>
      </c>
      <c r="D519">
        <v>2015</v>
      </c>
      <c r="E519">
        <v>8</v>
      </c>
      <c r="F519">
        <v>8</v>
      </c>
      <c r="G519">
        <v>76</v>
      </c>
      <c r="H519" t="s">
        <v>135</v>
      </c>
      <c r="I519" t="s">
        <v>137</v>
      </c>
      <c r="J519" t="s">
        <v>374</v>
      </c>
      <c r="K519">
        <v>38000</v>
      </c>
      <c r="W519" t="s">
        <v>198</v>
      </c>
    </row>
    <row r="520" spans="1:23" x14ac:dyDescent="0.3">
      <c r="A520" t="s">
        <v>31</v>
      </c>
      <c r="B520" t="s">
        <v>309</v>
      </c>
      <c r="C520" s="1" t="str">
        <f>HYPERLINK("https://new.land.naver.com/complexes/25744", "클릭")</f>
        <v>클릭</v>
      </c>
      <c r="D520">
        <v>1988</v>
      </c>
      <c r="E520">
        <v>4</v>
      </c>
      <c r="F520">
        <v>40</v>
      </c>
      <c r="G520">
        <v>50</v>
      </c>
      <c r="H520" t="s">
        <v>135</v>
      </c>
      <c r="I520" t="s">
        <v>235</v>
      </c>
      <c r="J520" t="s">
        <v>466</v>
      </c>
      <c r="K520">
        <v>38000</v>
      </c>
      <c r="W520" t="s">
        <v>198</v>
      </c>
    </row>
    <row r="521" spans="1:23" x14ac:dyDescent="0.3">
      <c r="A521" t="s">
        <v>29</v>
      </c>
      <c r="B521" t="s">
        <v>227</v>
      </c>
      <c r="C521" s="1" t="str">
        <f>HYPERLINK("https://new.land.naver.com/complexes/1971", "클릭")</f>
        <v>클릭</v>
      </c>
      <c r="D521">
        <v>1986</v>
      </c>
      <c r="E521">
        <v>6</v>
      </c>
      <c r="F521">
        <v>140</v>
      </c>
      <c r="G521">
        <v>54</v>
      </c>
      <c r="H521" t="s">
        <v>135</v>
      </c>
      <c r="I521" t="s">
        <v>138</v>
      </c>
      <c r="J521" t="s">
        <v>371</v>
      </c>
      <c r="K521">
        <v>38000</v>
      </c>
      <c r="L521" t="s">
        <v>371</v>
      </c>
      <c r="M521">
        <v>22000</v>
      </c>
      <c r="N521">
        <v>16000</v>
      </c>
      <c r="O521" s="2">
        <v>0.57894736842105265</v>
      </c>
      <c r="R521">
        <v>23200</v>
      </c>
      <c r="S521" s="2">
        <v>1.6379310344827589</v>
      </c>
      <c r="W521" t="s">
        <v>198</v>
      </c>
    </row>
    <row r="522" spans="1:23" x14ac:dyDescent="0.3">
      <c r="A522" t="s">
        <v>28</v>
      </c>
      <c r="B522" t="s">
        <v>121</v>
      </c>
      <c r="C522" s="1" t="str">
        <f>HYPERLINK("https://new.land.naver.com/complexes/2046", "클릭")</f>
        <v>클릭</v>
      </c>
      <c r="D522">
        <v>1996</v>
      </c>
      <c r="E522">
        <v>10</v>
      </c>
      <c r="F522">
        <v>261</v>
      </c>
      <c r="G522">
        <v>71</v>
      </c>
      <c r="H522" t="s">
        <v>135</v>
      </c>
      <c r="I522" t="s">
        <v>138</v>
      </c>
      <c r="J522" t="s">
        <v>375</v>
      </c>
      <c r="K522">
        <v>38000</v>
      </c>
      <c r="L522" t="s">
        <v>381</v>
      </c>
      <c r="M522">
        <v>28000</v>
      </c>
      <c r="N522">
        <v>10000</v>
      </c>
      <c r="O522" s="2">
        <v>0.73684210526315785</v>
      </c>
      <c r="R522">
        <v>23000</v>
      </c>
      <c r="S522" s="2">
        <v>1.652173913043478</v>
      </c>
      <c r="W522" t="s">
        <v>408</v>
      </c>
    </row>
    <row r="523" spans="1:23" x14ac:dyDescent="0.3">
      <c r="A523" t="s">
        <v>29</v>
      </c>
      <c r="B523" t="s">
        <v>222</v>
      </c>
      <c r="C523" s="1" t="str">
        <f>HYPERLINK("https://new.land.naver.com/complexes/1464", "클릭")</f>
        <v>클릭</v>
      </c>
      <c r="D523">
        <v>1992</v>
      </c>
      <c r="E523">
        <v>7</v>
      </c>
      <c r="F523">
        <v>1068</v>
      </c>
      <c r="G523">
        <v>45</v>
      </c>
      <c r="H523" t="s">
        <v>136</v>
      </c>
      <c r="I523" t="s">
        <v>235</v>
      </c>
      <c r="J523" t="s">
        <v>485</v>
      </c>
      <c r="K523">
        <v>38000</v>
      </c>
      <c r="L523" t="s">
        <v>485</v>
      </c>
      <c r="M523">
        <v>20000</v>
      </c>
      <c r="N523">
        <v>18000</v>
      </c>
      <c r="O523" s="2">
        <v>0.52631578947368418</v>
      </c>
      <c r="W523" t="s">
        <v>198</v>
      </c>
    </row>
    <row r="524" spans="1:23" x14ac:dyDescent="0.3">
      <c r="A524" t="s">
        <v>31</v>
      </c>
      <c r="B524" t="s">
        <v>57</v>
      </c>
      <c r="C524" s="1" t="str">
        <f>HYPERLINK("https://new.land.naver.com/complexes/1454", "클릭")</f>
        <v>클릭</v>
      </c>
      <c r="D524">
        <v>1993</v>
      </c>
      <c r="E524">
        <v>4</v>
      </c>
      <c r="F524">
        <v>1482</v>
      </c>
      <c r="G524">
        <v>41</v>
      </c>
      <c r="H524" t="s">
        <v>136</v>
      </c>
      <c r="I524" t="s">
        <v>235</v>
      </c>
      <c r="J524" t="s">
        <v>477</v>
      </c>
      <c r="K524">
        <v>37000</v>
      </c>
      <c r="L524" t="s">
        <v>477</v>
      </c>
      <c r="M524">
        <v>16000</v>
      </c>
      <c r="N524">
        <v>21000</v>
      </c>
      <c r="O524" s="2">
        <v>0.43243243243243251</v>
      </c>
      <c r="R524">
        <v>22600</v>
      </c>
      <c r="S524" s="2">
        <v>1.63716814159292</v>
      </c>
      <c r="W524" t="s">
        <v>198</v>
      </c>
    </row>
    <row r="525" spans="1:23" x14ac:dyDescent="0.3">
      <c r="A525" t="s">
        <v>28</v>
      </c>
      <c r="B525" t="s">
        <v>124</v>
      </c>
      <c r="C525" s="1" t="str">
        <f>HYPERLINK("https://new.land.naver.com/complexes/3032", "클릭")</f>
        <v>클릭</v>
      </c>
      <c r="D525">
        <v>1999</v>
      </c>
      <c r="E525">
        <v>12</v>
      </c>
      <c r="F525">
        <v>212</v>
      </c>
      <c r="G525">
        <v>59</v>
      </c>
      <c r="H525" t="s">
        <v>135</v>
      </c>
      <c r="I525" t="s">
        <v>138</v>
      </c>
      <c r="J525" t="s">
        <v>247</v>
      </c>
      <c r="K525">
        <v>37000</v>
      </c>
      <c r="L525" t="s">
        <v>247</v>
      </c>
      <c r="M525">
        <v>29000</v>
      </c>
      <c r="N525">
        <v>8000</v>
      </c>
      <c r="O525" s="2">
        <v>0.78378378378378377</v>
      </c>
      <c r="P525">
        <v>50000</v>
      </c>
      <c r="Q525" s="2">
        <v>-0.26</v>
      </c>
      <c r="R525">
        <v>24300</v>
      </c>
      <c r="S525" s="2">
        <v>1.522633744855967</v>
      </c>
      <c r="W525" t="s">
        <v>198</v>
      </c>
    </row>
    <row r="526" spans="1:23" x14ac:dyDescent="0.3">
      <c r="A526" t="s">
        <v>28</v>
      </c>
      <c r="B526" t="s">
        <v>233</v>
      </c>
      <c r="C526" s="1" t="str">
        <f>HYPERLINK("https://new.land.naver.com/complexes/2049", "클릭")</f>
        <v>클릭</v>
      </c>
      <c r="D526">
        <v>1996</v>
      </c>
      <c r="E526">
        <v>6</v>
      </c>
      <c r="F526">
        <v>47</v>
      </c>
      <c r="G526">
        <v>78</v>
      </c>
      <c r="J526" t="s">
        <v>143</v>
      </c>
      <c r="K526">
        <v>37000</v>
      </c>
      <c r="L526" t="s">
        <v>143</v>
      </c>
      <c r="M526">
        <v>27000</v>
      </c>
      <c r="N526">
        <v>10000</v>
      </c>
      <c r="O526" s="2">
        <v>0.72972972972972971</v>
      </c>
      <c r="W526" t="s">
        <v>409</v>
      </c>
    </row>
    <row r="527" spans="1:23" x14ac:dyDescent="0.3">
      <c r="A527" t="s">
        <v>29</v>
      </c>
      <c r="B527" t="s">
        <v>434</v>
      </c>
      <c r="C527" s="1" t="str">
        <f>HYPERLINK("https://new.land.naver.com/complexes/113473", "클릭")</f>
        <v>클릭</v>
      </c>
      <c r="D527">
        <v>1988</v>
      </c>
      <c r="E527">
        <v>5</v>
      </c>
      <c r="F527">
        <v>40</v>
      </c>
      <c r="G527">
        <v>51</v>
      </c>
      <c r="H527" t="s">
        <v>135</v>
      </c>
      <c r="I527" t="s">
        <v>138</v>
      </c>
      <c r="J527" t="s">
        <v>385</v>
      </c>
      <c r="K527">
        <v>37000</v>
      </c>
      <c r="L527" t="s">
        <v>385</v>
      </c>
      <c r="M527">
        <v>19000</v>
      </c>
      <c r="N527">
        <v>18000</v>
      </c>
      <c r="O527" s="2">
        <v>0.51351351351351349</v>
      </c>
      <c r="R527">
        <v>21500</v>
      </c>
      <c r="S527" s="2">
        <v>1.720930232558139</v>
      </c>
      <c r="W527" t="s">
        <v>204</v>
      </c>
    </row>
    <row r="528" spans="1:23" x14ac:dyDescent="0.3">
      <c r="A528" t="s">
        <v>28</v>
      </c>
      <c r="B528" t="s">
        <v>130</v>
      </c>
      <c r="C528" s="1" t="str">
        <f>HYPERLINK("https://new.land.naver.com/complexes/111203", "클릭")</f>
        <v>클릭</v>
      </c>
      <c r="D528">
        <v>2015</v>
      </c>
      <c r="E528">
        <v>8</v>
      </c>
      <c r="F528">
        <v>23</v>
      </c>
      <c r="G528">
        <v>74</v>
      </c>
      <c r="H528" t="s">
        <v>135</v>
      </c>
      <c r="I528" t="s">
        <v>137</v>
      </c>
      <c r="J528" t="s">
        <v>272</v>
      </c>
      <c r="K528">
        <v>37000</v>
      </c>
      <c r="W528" t="s">
        <v>198</v>
      </c>
    </row>
    <row r="529" spans="1:23" x14ac:dyDescent="0.3">
      <c r="A529" t="s">
        <v>28</v>
      </c>
      <c r="B529" t="s">
        <v>130</v>
      </c>
      <c r="C529" s="1" t="str">
        <f>HYPERLINK("https://new.land.naver.com/complexes/111203", "클릭")</f>
        <v>클릭</v>
      </c>
      <c r="D529">
        <v>2015</v>
      </c>
      <c r="E529">
        <v>8</v>
      </c>
      <c r="F529">
        <v>23</v>
      </c>
      <c r="G529">
        <v>84</v>
      </c>
      <c r="H529" t="s">
        <v>135</v>
      </c>
      <c r="I529" t="s">
        <v>137</v>
      </c>
      <c r="J529" t="s">
        <v>188</v>
      </c>
      <c r="K529">
        <v>37000</v>
      </c>
      <c r="L529" t="s">
        <v>188</v>
      </c>
      <c r="M529">
        <v>25000</v>
      </c>
      <c r="N529">
        <v>12000</v>
      </c>
      <c r="O529" s="2">
        <v>0.67567567567567566</v>
      </c>
      <c r="W529" t="s">
        <v>198</v>
      </c>
    </row>
    <row r="530" spans="1:23" x14ac:dyDescent="0.3">
      <c r="A530" t="s">
        <v>28</v>
      </c>
      <c r="B530" t="s">
        <v>127</v>
      </c>
      <c r="C530" s="1" t="str">
        <f>HYPERLINK("https://new.land.naver.com/complexes/2047", "클릭")</f>
        <v>클릭</v>
      </c>
      <c r="D530">
        <v>1994</v>
      </c>
      <c r="E530">
        <v>11</v>
      </c>
      <c r="F530">
        <v>148</v>
      </c>
      <c r="G530">
        <v>66</v>
      </c>
      <c r="H530" t="s">
        <v>136</v>
      </c>
      <c r="I530" t="s">
        <v>138</v>
      </c>
      <c r="J530" t="s">
        <v>362</v>
      </c>
      <c r="K530">
        <v>37000</v>
      </c>
      <c r="L530" t="s">
        <v>362</v>
      </c>
      <c r="M530">
        <v>25000</v>
      </c>
      <c r="N530">
        <v>12000</v>
      </c>
      <c r="O530" s="2">
        <v>0.67567567567567566</v>
      </c>
      <c r="R530">
        <v>21200</v>
      </c>
      <c r="S530" s="2">
        <v>1.745283018867924</v>
      </c>
      <c r="W530" t="s">
        <v>198</v>
      </c>
    </row>
    <row r="531" spans="1:23" x14ac:dyDescent="0.3">
      <c r="A531" t="s">
        <v>31</v>
      </c>
      <c r="B531" t="s">
        <v>309</v>
      </c>
      <c r="C531" s="1" t="str">
        <f>HYPERLINK("https://new.land.naver.com/complexes/25744", "클릭")</f>
        <v>클릭</v>
      </c>
      <c r="D531">
        <v>1988</v>
      </c>
      <c r="E531">
        <v>4</v>
      </c>
      <c r="F531">
        <v>40</v>
      </c>
      <c r="G531">
        <v>40</v>
      </c>
      <c r="H531" t="s">
        <v>135</v>
      </c>
      <c r="I531" t="s">
        <v>235</v>
      </c>
      <c r="J531" t="s">
        <v>472</v>
      </c>
      <c r="K531">
        <v>37000</v>
      </c>
      <c r="L531" t="s">
        <v>472</v>
      </c>
      <c r="M531">
        <v>16000</v>
      </c>
      <c r="N531">
        <v>21000</v>
      </c>
      <c r="O531" s="2">
        <v>0.43243243243243251</v>
      </c>
      <c r="W531" t="s">
        <v>198</v>
      </c>
    </row>
    <row r="532" spans="1:23" x14ac:dyDescent="0.3">
      <c r="A532" t="s">
        <v>31</v>
      </c>
      <c r="B532" t="s">
        <v>328</v>
      </c>
      <c r="C532" s="1" t="str">
        <f>HYPERLINK("https://new.land.naver.com/complexes/116798", "클릭")</f>
        <v>클릭</v>
      </c>
      <c r="D532">
        <v>2016</v>
      </c>
      <c r="E532">
        <v>12</v>
      </c>
      <c r="F532">
        <v>34</v>
      </c>
      <c r="G532">
        <v>69</v>
      </c>
      <c r="H532" t="s">
        <v>135</v>
      </c>
      <c r="I532" t="s">
        <v>137</v>
      </c>
      <c r="J532" t="s">
        <v>271</v>
      </c>
      <c r="K532">
        <v>37000</v>
      </c>
      <c r="L532" t="s">
        <v>271</v>
      </c>
      <c r="M532">
        <v>30000</v>
      </c>
      <c r="N532">
        <v>7000</v>
      </c>
      <c r="O532" s="2">
        <v>0.81081081081081086</v>
      </c>
      <c r="W532" t="s">
        <v>198</v>
      </c>
    </row>
    <row r="533" spans="1:23" x14ac:dyDescent="0.3">
      <c r="A533" t="s">
        <v>28</v>
      </c>
      <c r="B533" t="s">
        <v>114</v>
      </c>
      <c r="C533" s="1" t="str">
        <f>HYPERLINK("https://new.land.naver.com/complexes/2034", "클릭")</f>
        <v>클릭</v>
      </c>
      <c r="D533">
        <v>1999</v>
      </c>
      <c r="E533">
        <v>8</v>
      </c>
      <c r="F533">
        <v>195</v>
      </c>
      <c r="G533">
        <v>59</v>
      </c>
      <c r="H533" t="s">
        <v>136</v>
      </c>
      <c r="I533" t="s">
        <v>138</v>
      </c>
      <c r="J533" t="s">
        <v>247</v>
      </c>
      <c r="K533">
        <v>37000</v>
      </c>
      <c r="L533" t="s">
        <v>247</v>
      </c>
      <c r="M533">
        <v>27000</v>
      </c>
      <c r="N533">
        <v>10000</v>
      </c>
      <c r="O533" s="2">
        <v>0.72972972972972971</v>
      </c>
      <c r="P533">
        <v>40000</v>
      </c>
      <c r="Q533" s="2">
        <v>-7.4999999999999997E-2</v>
      </c>
      <c r="R533">
        <v>23700</v>
      </c>
      <c r="S533" s="2">
        <v>1.5611814345991559</v>
      </c>
      <c r="W533" t="s">
        <v>198</v>
      </c>
    </row>
    <row r="534" spans="1:23" x14ac:dyDescent="0.3">
      <c r="A534" t="s">
        <v>28</v>
      </c>
      <c r="B534" t="s">
        <v>131</v>
      </c>
      <c r="C534" s="1" t="str">
        <f>HYPERLINK("https://new.land.naver.com/complexes/101236", "클릭")</f>
        <v>클릭</v>
      </c>
      <c r="D534">
        <v>2004</v>
      </c>
      <c r="E534">
        <v>8</v>
      </c>
      <c r="F534">
        <v>15</v>
      </c>
      <c r="G534">
        <v>84</v>
      </c>
      <c r="H534" t="s">
        <v>135</v>
      </c>
      <c r="I534" t="s">
        <v>137</v>
      </c>
      <c r="J534" t="s">
        <v>189</v>
      </c>
      <c r="K534">
        <v>37000</v>
      </c>
      <c r="L534" t="s">
        <v>189</v>
      </c>
      <c r="M534">
        <v>32000</v>
      </c>
      <c r="N534">
        <v>5000</v>
      </c>
      <c r="O534" s="2">
        <v>0.86486486486486491</v>
      </c>
      <c r="P534">
        <v>29500</v>
      </c>
      <c r="Q534" s="2">
        <v>0.25423728813559321</v>
      </c>
      <c r="R534">
        <v>20900</v>
      </c>
      <c r="S534" s="2">
        <v>1.770334928229665</v>
      </c>
      <c r="W534" t="s">
        <v>207</v>
      </c>
    </row>
    <row r="535" spans="1:23" x14ac:dyDescent="0.3">
      <c r="A535" t="s">
        <v>29</v>
      </c>
      <c r="B535" t="s">
        <v>435</v>
      </c>
      <c r="C535" s="1" t="str">
        <f>HYPERLINK("https://new.land.naver.com/complexes/107946", "클릭")</f>
        <v>클릭</v>
      </c>
      <c r="D535">
        <v>1982</v>
      </c>
      <c r="E535">
        <v>9</v>
      </c>
      <c r="F535">
        <v>32</v>
      </c>
      <c r="G535">
        <v>52</v>
      </c>
      <c r="H535" t="s">
        <v>135</v>
      </c>
      <c r="I535" t="s">
        <v>235</v>
      </c>
      <c r="J535" t="s">
        <v>463</v>
      </c>
      <c r="K535">
        <v>37000</v>
      </c>
      <c r="L535" t="s">
        <v>463</v>
      </c>
      <c r="M535">
        <v>22000</v>
      </c>
      <c r="N535">
        <v>15000</v>
      </c>
      <c r="O535" s="2">
        <v>0.59459459459459463</v>
      </c>
      <c r="R535">
        <v>21700</v>
      </c>
      <c r="S535" s="2">
        <v>1.7050691244239631</v>
      </c>
      <c r="W535" t="s">
        <v>387</v>
      </c>
    </row>
    <row r="536" spans="1:23" x14ac:dyDescent="0.3">
      <c r="A536" t="s">
        <v>31</v>
      </c>
      <c r="B536" t="s">
        <v>430</v>
      </c>
      <c r="C536" s="1" t="str">
        <f>HYPERLINK("https://new.land.naver.com/complexes/1985", "클릭")</f>
        <v>클릭</v>
      </c>
      <c r="D536">
        <v>1993</v>
      </c>
      <c r="E536">
        <v>7</v>
      </c>
      <c r="F536">
        <v>790</v>
      </c>
      <c r="G536">
        <v>40</v>
      </c>
      <c r="H536" t="s">
        <v>136</v>
      </c>
      <c r="I536" t="s">
        <v>235</v>
      </c>
      <c r="J536" t="s">
        <v>485</v>
      </c>
      <c r="K536">
        <v>36500</v>
      </c>
      <c r="L536" t="s">
        <v>485</v>
      </c>
      <c r="M536">
        <v>20000</v>
      </c>
      <c r="N536">
        <v>16500</v>
      </c>
      <c r="O536" s="2">
        <v>0.54794520547945202</v>
      </c>
      <c r="R536">
        <v>23400</v>
      </c>
      <c r="S536" s="2">
        <v>1.5598290598290601</v>
      </c>
      <c r="W536" t="s">
        <v>198</v>
      </c>
    </row>
    <row r="537" spans="1:23" x14ac:dyDescent="0.3">
      <c r="A537" t="s">
        <v>28</v>
      </c>
      <c r="B537" t="s">
        <v>329</v>
      </c>
      <c r="C537" s="1" t="str">
        <f>HYPERLINK("https://new.land.naver.com/complexes/113693", "클릭")</f>
        <v>클릭</v>
      </c>
      <c r="D537">
        <v>2014</v>
      </c>
      <c r="E537">
        <v>12</v>
      </c>
      <c r="F537">
        <v>40</v>
      </c>
      <c r="G537">
        <v>81</v>
      </c>
      <c r="H537" t="s">
        <v>135</v>
      </c>
      <c r="I537" t="s">
        <v>137</v>
      </c>
      <c r="J537" t="s">
        <v>181</v>
      </c>
      <c r="K537">
        <v>36500</v>
      </c>
      <c r="L537" t="s">
        <v>181</v>
      </c>
      <c r="M537">
        <v>27500</v>
      </c>
      <c r="N537">
        <v>9000</v>
      </c>
      <c r="O537" s="2">
        <v>0.75342465753424659</v>
      </c>
      <c r="R537">
        <v>20600</v>
      </c>
      <c r="S537" s="2">
        <v>1.7718446601941751</v>
      </c>
      <c r="W537" t="s">
        <v>198</v>
      </c>
    </row>
    <row r="538" spans="1:23" x14ac:dyDescent="0.3">
      <c r="A538" t="s">
        <v>28</v>
      </c>
      <c r="B538" t="s">
        <v>329</v>
      </c>
      <c r="C538" s="1" t="str">
        <f>HYPERLINK("https://new.land.naver.com/complexes/113693", "클릭")</f>
        <v>클릭</v>
      </c>
      <c r="D538">
        <v>2014</v>
      </c>
      <c r="E538">
        <v>12</v>
      </c>
      <c r="F538">
        <v>40</v>
      </c>
      <c r="G538">
        <v>80</v>
      </c>
      <c r="H538" t="s">
        <v>135</v>
      </c>
      <c r="I538" t="s">
        <v>137</v>
      </c>
      <c r="J538" t="s">
        <v>343</v>
      </c>
      <c r="K538">
        <v>36000</v>
      </c>
      <c r="L538" t="s">
        <v>343</v>
      </c>
      <c r="M538">
        <v>27000</v>
      </c>
      <c r="N538">
        <v>9000</v>
      </c>
      <c r="O538" s="2">
        <v>0.75</v>
      </c>
      <c r="W538" t="s">
        <v>395</v>
      </c>
    </row>
    <row r="539" spans="1:23" x14ac:dyDescent="0.3">
      <c r="A539" t="s">
        <v>28</v>
      </c>
      <c r="B539" t="s">
        <v>230</v>
      </c>
      <c r="C539" s="1" t="str">
        <f>HYPERLINK("https://new.land.naver.com/complexes/128689", "클릭")</f>
        <v>클릭</v>
      </c>
      <c r="D539">
        <v>2019</v>
      </c>
      <c r="E539">
        <v>7</v>
      </c>
      <c r="F539">
        <v>42</v>
      </c>
      <c r="G539">
        <v>58</v>
      </c>
      <c r="H539" t="s">
        <v>135</v>
      </c>
      <c r="I539" t="s">
        <v>137</v>
      </c>
      <c r="J539" t="s">
        <v>277</v>
      </c>
      <c r="K539">
        <v>36000</v>
      </c>
      <c r="L539" t="s">
        <v>277</v>
      </c>
      <c r="M539">
        <v>25000</v>
      </c>
      <c r="N539">
        <v>11000</v>
      </c>
      <c r="O539" s="2">
        <v>0.69444444444444442</v>
      </c>
      <c r="P539">
        <v>35500</v>
      </c>
      <c r="Q539" s="2">
        <v>1.408450704225352E-2</v>
      </c>
      <c r="W539" t="s">
        <v>291</v>
      </c>
    </row>
    <row r="540" spans="1:23" x14ac:dyDescent="0.3">
      <c r="A540" t="s">
        <v>29</v>
      </c>
      <c r="B540" t="s">
        <v>225</v>
      </c>
      <c r="C540" s="1" t="str">
        <f>HYPERLINK("https://new.land.naver.com/complexes/105053", "클릭")</f>
        <v>클릭</v>
      </c>
      <c r="D540">
        <v>1985</v>
      </c>
      <c r="E540">
        <v>10</v>
      </c>
      <c r="F540">
        <v>80</v>
      </c>
      <c r="G540">
        <v>38</v>
      </c>
      <c r="H540" t="s">
        <v>135</v>
      </c>
      <c r="I540" t="s">
        <v>235</v>
      </c>
      <c r="J540" t="s">
        <v>472</v>
      </c>
      <c r="K540">
        <v>36000</v>
      </c>
      <c r="L540" t="s">
        <v>472</v>
      </c>
      <c r="M540">
        <v>12000</v>
      </c>
      <c r="N540">
        <v>24000</v>
      </c>
      <c r="O540" s="2">
        <v>0.33333333333333331</v>
      </c>
      <c r="R540">
        <v>15600</v>
      </c>
      <c r="S540" s="2">
        <v>2.307692307692307</v>
      </c>
      <c r="W540" t="s">
        <v>198</v>
      </c>
    </row>
    <row r="541" spans="1:23" x14ac:dyDescent="0.3">
      <c r="A541" t="s">
        <v>29</v>
      </c>
      <c r="B541" t="s">
        <v>226</v>
      </c>
      <c r="C541" s="1" t="str">
        <f>HYPERLINK("https://new.land.naver.com/complexes/13276", "클릭")</f>
        <v>클릭</v>
      </c>
      <c r="D541">
        <v>1986</v>
      </c>
      <c r="E541">
        <v>9</v>
      </c>
      <c r="F541">
        <v>80</v>
      </c>
      <c r="G541">
        <v>51</v>
      </c>
      <c r="H541" t="s">
        <v>135</v>
      </c>
      <c r="I541" t="s">
        <v>235</v>
      </c>
      <c r="J541" t="s">
        <v>339</v>
      </c>
      <c r="K541">
        <v>35500</v>
      </c>
      <c r="L541" t="s">
        <v>339</v>
      </c>
      <c r="M541">
        <v>20000</v>
      </c>
      <c r="N541">
        <v>15500</v>
      </c>
      <c r="O541" s="2">
        <v>0.56338028169014087</v>
      </c>
      <c r="R541">
        <v>20500</v>
      </c>
      <c r="S541" s="2">
        <v>1.7317073170731709</v>
      </c>
      <c r="W541" t="s">
        <v>198</v>
      </c>
    </row>
    <row r="542" spans="1:23" x14ac:dyDescent="0.3">
      <c r="A542" t="s">
        <v>28</v>
      </c>
      <c r="B542" t="s">
        <v>120</v>
      </c>
      <c r="C542" s="1" t="str">
        <f>HYPERLINK("https://new.land.naver.com/complexes/2043", "클릭")</f>
        <v>클릭</v>
      </c>
      <c r="D542">
        <v>1999</v>
      </c>
      <c r="E542">
        <v>12</v>
      </c>
      <c r="F542">
        <v>116</v>
      </c>
      <c r="G542">
        <v>60</v>
      </c>
      <c r="H542" t="s">
        <v>136</v>
      </c>
      <c r="I542" t="s">
        <v>138</v>
      </c>
      <c r="J542" t="s">
        <v>263</v>
      </c>
      <c r="K542">
        <v>35500</v>
      </c>
      <c r="L542" t="s">
        <v>263</v>
      </c>
      <c r="M542">
        <v>30000</v>
      </c>
      <c r="N542">
        <v>5500</v>
      </c>
      <c r="O542" s="2">
        <v>0.84507042253521125</v>
      </c>
      <c r="R542">
        <v>22900</v>
      </c>
      <c r="S542" s="2">
        <v>1.5502183406113541</v>
      </c>
      <c r="W542" t="s">
        <v>198</v>
      </c>
    </row>
    <row r="543" spans="1:23" x14ac:dyDescent="0.3">
      <c r="A543" t="s">
        <v>28</v>
      </c>
      <c r="B543" t="s">
        <v>126</v>
      </c>
      <c r="C543" s="1" t="str">
        <f>HYPERLINK("https://new.land.naver.com/complexes/8038", "클릭")</f>
        <v>클릭</v>
      </c>
      <c r="D543">
        <v>2000</v>
      </c>
      <c r="E543">
        <v>10</v>
      </c>
      <c r="F543">
        <v>168</v>
      </c>
      <c r="G543">
        <v>59</v>
      </c>
      <c r="H543" t="s">
        <v>136</v>
      </c>
      <c r="I543" t="s">
        <v>138</v>
      </c>
      <c r="J543" t="s">
        <v>271</v>
      </c>
      <c r="K543">
        <v>35500</v>
      </c>
      <c r="L543" t="s">
        <v>271</v>
      </c>
      <c r="M543">
        <v>26000</v>
      </c>
      <c r="N543">
        <v>9500</v>
      </c>
      <c r="O543" s="2">
        <v>0.73239436619718312</v>
      </c>
      <c r="P543">
        <v>43000</v>
      </c>
      <c r="Q543" s="2">
        <v>-0.1744186046511628</v>
      </c>
      <c r="R543">
        <v>22500</v>
      </c>
      <c r="S543" s="2">
        <v>1.5777777777777779</v>
      </c>
      <c r="W543" t="s">
        <v>198</v>
      </c>
    </row>
    <row r="544" spans="1:23" x14ac:dyDescent="0.3">
      <c r="A544" t="s">
        <v>28</v>
      </c>
      <c r="B544" t="s">
        <v>216</v>
      </c>
      <c r="C544" s="1" t="str">
        <f>HYPERLINK("https://new.land.naver.com/complexes/3015", "클릭")</f>
        <v>클릭</v>
      </c>
      <c r="D544">
        <v>1992</v>
      </c>
      <c r="E544">
        <v>3</v>
      </c>
      <c r="F544">
        <v>994</v>
      </c>
      <c r="G544">
        <v>34</v>
      </c>
      <c r="H544" t="s">
        <v>136</v>
      </c>
      <c r="I544" t="s">
        <v>236</v>
      </c>
      <c r="J544" t="s">
        <v>488</v>
      </c>
      <c r="K544">
        <v>35000</v>
      </c>
      <c r="L544" t="s">
        <v>488</v>
      </c>
      <c r="M544">
        <v>18000</v>
      </c>
      <c r="N544">
        <v>17000</v>
      </c>
      <c r="O544" s="2">
        <v>0.51428571428571423</v>
      </c>
      <c r="R544">
        <v>24000</v>
      </c>
      <c r="S544" s="2">
        <v>1.458333333333333</v>
      </c>
      <c r="W544" t="s">
        <v>198</v>
      </c>
    </row>
    <row r="545" spans="1:23" x14ac:dyDescent="0.3">
      <c r="A545" t="s">
        <v>31</v>
      </c>
      <c r="B545" t="s">
        <v>220</v>
      </c>
      <c r="C545" s="1" t="str">
        <f>HYPERLINK("https://new.land.naver.com/complexes/1992", "클릭")</f>
        <v>클릭</v>
      </c>
      <c r="D545">
        <v>1993</v>
      </c>
      <c r="E545">
        <v>11</v>
      </c>
      <c r="F545">
        <v>3227</v>
      </c>
      <c r="G545">
        <v>35</v>
      </c>
      <c r="H545" t="s">
        <v>136</v>
      </c>
      <c r="I545" t="s">
        <v>235</v>
      </c>
      <c r="J545" t="s">
        <v>489</v>
      </c>
      <c r="K545">
        <v>35000</v>
      </c>
      <c r="L545" t="s">
        <v>489</v>
      </c>
      <c r="M545">
        <v>14000</v>
      </c>
      <c r="N545">
        <v>21000</v>
      </c>
      <c r="O545" s="2">
        <v>0.4</v>
      </c>
      <c r="R545">
        <v>22100</v>
      </c>
      <c r="S545" s="2">
        <v>1.5837104072398189</v>
      </c>
      <c r="W545" t="s">
        <v>198</v>
      </c>
    </row>
    <row r="546" spans="1:23" x14ac:dyDescent="0.3">
      <c r="A546" t="s">
        <v>31</v>
      </c>
      <c r="B546" t="s">
        <v>432</v>
      </c>
      <c r="C546" s="1" t="str">
        <f>HYPERLINK("https://new.land.naver.com/complexes/22752", "클릭")</f>
        <v>클릭</v>
      </c>
      <c r="D546">
        <v>1993</v>
      </c>
      <c r="E546">
        <v>3</v>
      </c>
      <c r="F546">
        <v>1262</v>
      </c>
      <c r="G546">
        <v>35</v>
      </c>
      <c r="H546" t="s">
        <v>136</v>
      </c>
      <c r="I546" t="s">
        <v>235</v>
      </c>
      <c r="J546" t="s">
        <v>488</v>
      </c>
      <c r="K546">
        <v>35000</v>
      </c>
      <c r="L546" t="s">
        <v>488</v>
      </c>
      <c r="M546">
        <v>18000</v>
      </c>
      <c r="N546">
        <v>17000</v>
      </c>
      <c r="O546" s="2">
        <v>0.51428571428571423</v>
      </c>
      <c r="R546">
        <v>19700</v>
      </c>
      <c r="S546" s="2">
        <v>1.776649746192893</v>
      </c>
      <c r="W546" t="s">
        <v>198</v>
      </c>
    </row>
    <row r="547" spans="1:23" x14ac:dyDescent="0.3">
      <c r="A547" t="s">
        <v>31</v>
      </c>
      <c r="B547" t="s">
        <v>324</v>
      </c>
      <c r="C547" s="1" t="str">
        <f>HYPERLINK("https://new.land.naver.com/complexes/104561", "클릭")</f>
        <v>클릭</v>
      </c>
      <c r="D547">
        <v>1984</v>
      </c>
      <c r="E547">
        <v>10</v>
      </c>
      <c r="F547">
        <v>54</v>
      </c>
      <c r="G547">
        <v>66</v>
      </c>
      <c r="H547" t="s">
        <v>135</v>
      </c>
      <c r="I547" t="s">
        <v>137</v>
      </c>
      <c r="J547" t="s">
        <v>259</v>
      </c>
      <c r="K547">
        <v>35000</v>
      </c>
      <c r="L547" t="s">
        <v>259</v>
      </c>
      <c r="M547">
        <v>28000</v>
      </c>
      <c r="N547">
        <v>7000</v>
      </c>
      <c r="O547" s="2">
        <v>0.8</v>
      </c>
      <c r="R547">
        <v>21600</v>
      </c>
      <c r="S547" s="2">
        <v>1.62037037037037</v>
      </c>
      <c r="W547" t="s">
        <v>198</v>
      </c>
    </row>
    <row r="548" spans="1:23" x14ac:dyDescent="0.3">
      <c r="A548" t="s">
        <v>31</v>
      </c>
      <c r="B548" t="s">
        <v>324</v>
      </c>
      <c r="C548" s="1" t="str">
        <f>HYPERLINK("https://new.land.naver.com/complexes/104561", "클릭")</f>
        <v>클릭</v>
      </c>
      <c r="D548">
        <v>1984</v>
      </c>
      <c r="E548">
        <v>10</v>
      </c>
      <c r="F548">
        <v>54</v>
      </c>
      <c r="G548">
        <v>65</v>
      </c>
      <c r="H548" t="s">
        <v>135</v>
      </c>
      <c r="I548" t="s">
        <v>137</v>
      </c>
      <c r="J548" t="s">
        <v>267</v>
      </c>
      <c r="K548">
        <v>35000</v>
      </c>
      <c r="L548" t="s">
        <v>267</v>
      </c>
      <c r="M548">
        <v>25000</v>
      </c>
      <c r="N548">
        <v>10000</v>
      </c>
      <c r="O548" s="2">
        <v>0.7142857142857143</v>
      </c>
      <c r="R548">
        <v>20900</v>
      </c>
      <c r="S548" s="2">
        <v>1.6746411483253589</v>
      </c>
      <c r="W548" t="s">
        <v>408</v>
      </c>
    </row>
    <row r="549" spans="1:23" x14ac:dyDescent="0.3">
      <c r="A549" t="s">
        <v>31</v>
      </c>
      <c r="B549" t="s">
        <v>132</v>
      </c>
      <c r="C549" s="1" t="str">
        <f>HYPERLINK("https://new.land.naver.com/complexes/1989", "클릭")</f>
        <v>클릭</v>
      </c>
      <c r="D549">
        <v>1979</v>
      </c>
      <c r="E549">
        <v>9</v>
      </c>
      <c r="F549">
        <v>576</v>
      </c>
      <c r="G549">
        <v>83</v>
      </c>
      <c r="J549" t="s">
        <v>190</v>
      </c>
      <c r="K549">
        <v>35000</v>
      </c>
      <c r="L549" t="s">
        <v>192</v>
      </c>
      <c r="M549">
        <v>12000</v>
      </c>
      <c r="N549">
        <v>23000</v>
      </c>
      <c r="O549" s="2">
        <v>0.34285714285714292</v>
      </c>
      <c r="P549">
        <v>62000</v>
      </c>
      <c r="Q549" s="2">
        <v>-0.43548387096774188</v>
      </c>
      <c r="W549" t="s">
        <v>208</v>
      </c>
    </row>
    <row r="550" spans="1:23" x14ac:dyDescent="0.3">
      <c r="A550" t="s">
        <v>28</v>
      </c>
      <c r="B550" t="s">
        <v>231</v>
      </c>
      <c r="C550" s="1" t="str">
        <f>HYPERLINK("https://new.land.naver.com/complexes/11636", "클릭")</f>
        <v>클릭</v>
      </c>
      <c r="D550">
        <v>1988</v>
      </c>
      <c r="E550">
        <v>3</v>
      </c>
      <c r="F550">
        <v>75</v>
      </c>
      <c r="G550">
        <v>51</v>
      </c>
      <c r="H550" t="s">
        <v>135</v>
      </c>
      <c r="I550" t="s">
        <v>235</v>
      </c>
      <c r="J550" t="s">
        <v>461</v>
      </c>
      <c r="K550">
        <v>35000</v>
      </c>
      <c r="L550" t="s">
        <v>461</v>
      </c>
      <c r="M550">
        <v>15000</v>
      </c>
      <c r="N550">
        <v>20000</v>
      </c>
      <c r="O550" s="2">
        <v>0.42857142857142849</v>
      </c>
      <c r="R550">
        <v>19000</v>
      </c>
      <c r="S550" s="2">
        <v>1.8421052631578949</v>
      </c>
      <c r="W550" t="s">
        <v>198</v>
      </c>
    </row>
    <row r="551" spans="1:23" x14ac:dyDescent="0.3">
      <c r="A551" t="s">
        <v>28</v>
      </c>
      <c r="B551" t="s">
        <v>231</v>
      </c>
      <c r="C551" s="1" t="str">
        <f>HYPERLINK("https://new.land.naver.com/complexes/11636", "클릭")</f>
        <v>클릭</v>
      </c>
      <c r="D551">
        <v>1988</v>
      </c>
      <c r="E551">
        <v>3</v>
      </c>
      <c r="F551">
        <v>75</v>
      </c>
      <c r="G551">
        <v>59</v>
      </c>
      <c r="H551" t="s">
        <v>135</v>
      </c>
      <c r="I551" t="s">
        <v>138</v>
      </c>
      <c r="J551" t="s">
        <v>254</v>
      </c>
      <c r="K551">
        <v>35000</v>
      </c>
      <c r="L551" t="s">
        <v>254</v>
      </c>
      <c r="M551">
        <v>19000</v>
      </c>
      <c r="N551">
        <v>16000</v>
      </c>
      <c r="O551" s="2">
        <v>0.54285714285714282</v>
      </c>
      <c r="P551">
        <v>25300</v>
      </c>
      <c r="Q551" s="2">
        <v>0.38339920948616601</v>
      </c>
      <c r="R551">
        <v>20700</v>
      </c>
      <c r="S551" s="2">
        <v>1.6908212560386471</v>
      </c>
      <c r="W551" t="s">
        <v>198</v>
      </c>
    </row>
    <row r="552" spans="1:23" x14ac:dyDescent="0.3">
      <c r="A552" t="s">
        <v>29</v>
      </c>
      <c r="B552" t="s">
        <v>436</v>
      </c>
      <c r="C552" s="1" t="str">
        <f>HYPERLINK("https://new.land.naver.com/complexes/13303", "클릭")</f>
        <v>클릭</v>
      </c>
      <c r="D552">
        <v>1987</v>
      </c>
      <c r="E552">
        <v>9</v>
      </c>
      <c r="F552">
        <v>40</v>
      </c>
      <c r="G552">
        <v>45</v>
      </c>
      <c r="H552" t="s">
        <v>135</v>
      </c>
      <c r="I552" t="s">
        <v>138</v>
      </c>
      <c r="J552" t="s">
        <v>487</v>
      </c>
      <c r="K552">
        <v>35000</v>
      </c>
      <c r="L552" t="s">
        <v>487</v>
      </c>
      <c r="M552">
        <v>14500</v>
      </c>
      <c r="N552">
        <v>20500</v>
      </c>
      <c r="O552" s="2">
        <v>0.41428571428571431</v>
      </c>
      <c r="W552" t="s">
        <v>207</v>
      </c>
    </row>
    <row r="553" spans="1:23" x14ac:dyDescent="0.3">
      <c r="A553" t="s">
        <v>28</v>
      </c>
      <c r="B553" t="s">
        <v>232</v>
      </c>
      <c r="C553" s="1" t="str">
        <f>HYPERLINK("https://new.land.naver.com/complexes/15536", "클릭")</f>
        <v>클릭</v>
      </c>
      <c r="D553">
        <v>2003</v>
      </c>
      <c r="E553">
        <v>11</v>
      </c>
      <c r="F553">
        <v>89</v>
      </c>
      <c r="G553">
        <v>57</v>
      </c>
      <c r="H553" t="s">
        <v>135</v>
      </c>
      <c r="I553" t="s">
        <v>138</v>
      </c>
      <c r="J553" t="s">
        <v>263</v>
      </c>
      <c r="K553">
        <v>35000</v>
      </c>
      <c r="L553" t="s">
        <v>263</v>
      </c>
      <c r="M553">
        <v>24000</v>
      </c>
      <c r="N553">
        <v>11000</v>
      </c>
      <c r="O553" s="2">
        <v>0.68571428571428572</v>
      </c>
      <c r="P553">
        <v>30000</v>
      </c>
      <c r="Q553" s="2">
        <v>0.16666666666666671</v>
      </c>
      <c r="R553">
        <v>22800</v>
      </c>
      <c r="S553" s="2">
        <v>1.5350877192982459</v>
      </c>
      <c r="W553" t="s">
        <v>198</v>
      </c>
    </row>
    <row r="554" spans="1:23" x14ac:dyDescent="0.3">
      <c r="A554" t="s">
        <v>28</v>
      </c>
      <c r="B554" t="s">
        <v>229</v>
      </c>
      <c r="C554" s="1" t="str">
        <f>HYPERLINK("https://new.land.naver.com/complexes/120224", "클릭")</f>
        <v>클릭</v>
      </c>
      <c r="D554">
        <v>2017</v>
      </c>
      <c r="E554">
        <v>1</v>
      </c>
      <c r="F554">
        <v>24</v>
      </c>
      <c r="G554">
        <v>58</v>
      </c>
      <c r="H554" t="s">
        <v>135</v>
      </c>
      <c r="I554" t="s">
        <v>137</v>
      </c>
      <c r="J554" t="s">
        <v>278</v>
      </c>
      <c r="K554">
        <v>35000</v>
      </c>
      <c r="L554" t="s">
        <v>278</v>
      </c>
      <c r="M554">
        <v>26000</v>
      </c>
      <c r="N554">
        <v>9000</v>
      </c>
      <c r="O554" s="2">
        <v>0.74285714285714288</v>
      </c>
      <c r="P554">
        <v>38000</v>
      </c>
      <c r="Q554" s="2">
        <v>-7.8947368421052627E-2</v>
      </c>
      <c r="W554" t="s">
        <v>198</v>
      </c>
    </row>
    <row r="555" spans="1:23" x14ac:dyDescent="0.3">
      <c r="A555" t="s">
        <v>29</v>
      </c>
      <c r="B555" t="s">
        <v>222</v>
      </c>
      <c r="C555" s="1" t="str">
        <f>HYPERLINK("https://new.land.naver.com/complexes/1464", "클릭")</f>
        <v>클릭</v>
      </c>
      <c r="D555">
        <v>1992</v>
      </c>
      <c r="E555">
        <v>7</v>
      </c>
      <c r="F555">
        <v>1068</v>
      </c>
      <c r="G555">
        <v>42</v>
      </c>
      <c r="H555" t="s">
        <v>136</v>
      </c>
      <c r="I555" t="s">
        <v>235</v>
      </c>
      <c r="J555" t="s">
        <v>484</v>
      </c>
      <c r="K555">
        <v>35000</v>
      </c>
      <c r="L555" t="s">
        <v>484</v>
      </c>
      <c r="M555">
        <v>20000</v>
      </c>
      <c r="N555">
        <v>15000</v>
      </c>
      <c r="O555" s="2">
        <v>0.5714285714285714</v>
      </c>
      <c r="W555" t="s">
        <v>198</v>
      </c>
    </row>
    <row r="556" spans="1:23" x14ac:dyDescent="0.3">
      <c r="A556" t="s">
        <v>28</v>
      </c>
      <c r="B556" t="s">
        <v>331</v>
      </c>
      <c r="C556" s="1" t="str">
        <f>HYPERLINK("https://new.land.naver.com/complexes/13324", "클릭")</f>
        <v>클릭</v>
      </c>
      <c r="D556">
        <v>1995</v>
      </c>
      <c r="E556">
        <v>1</v>
      </c>
      <c r="F556">
        <v>16</v>
      </c>
      <c r="G556">
        <v>105</v>
      </c>
      <c r="H556" t="s">
        <v>136</v>
      </c>
      <c r="I556" t="s">
        <v>139</v>
      </c>
      <c r="J556" t="s">
        <v>637</v>
      </c>
      <c r="K556">
        <v>35000</v>
      </c>
      <c r="R556">
        <v>19600</v>
      </c>
      <c r="S556" s="2">
        <v>1.785714285714286</v>
      </c>
      <c r="W556" t="s">
        <v>198</v>
      </c>
    </row>
    <row r="557" spans="1:23" x14ac:dyDescent="0.3">
      <c r="A557" t="s">
        <v>29</v>
      </c>
      <c r="B557" t="s">
        <v>437</v>
      </c>
      <c r="C557" s="1" t="str">
        <f>HYPERLINK("https://new.land.naver.com/complexes/25290", "클릭")</f>
        <v>클릭</v>
      </c>
      <c r="D557">
        <v>1990</v>
      </c>
      <c r="E557">
        <v>3</v>
      </c>
      <c r="F557">
        <v>65</v>
      </c>
      <c r="G557">
        <v>53</v>
      </c>
      <c r="H557" t="s">
        <v>135</v>
      </c>
      <c r="I557" t="s">
        <v>138</v>
      </c>
      <c r="J557" t="s">
        <v>463</v>
      </c>
      <c r="K557">
        <v>35000</v>
      </c>
      <c r="L557" t="s">
        <v>463</v>
      </c>
      <c r="M557">
        <v>17000</v>
      </c>
      <c r="N557">
        <v>18000</v>
      </c>
      <c r="O557" s="2">
        <v>0.48571428571428571</v>
      </c>
      <c r="W557" t="s">
        <v>399</v>
      </c>
    </row>
    <row r="558" spans="1:23" x14ac:dyDescent="0.3">
      <c r="A558" t="s">
        <v>28</v>
      </c>
      <c r="B558" t="s">
        <v>126</v>
      </c>
      <c r="C558" s="1" t="str">
        <f>HYPERLINK("https://new.land.naver.com/complexes/8038", "클릭")</f>
        <v>클릭</v>
      </c>
      <c r="D558">
        <v>2000</v>
      </c>
      <c r="E558">
        <v>10</v>
      </c>
      <c r="F558">
        <v>168</v>
      </c>
      <c r="G558">
        <v>55</v>
      </c>
      <c r="H558" t="s">
        <v>136</v>
      </c>
      <c r="I558" t="s">
        <v>138</v>
      </c>
      <c r="J558" t="s">
        <v>248</v>
      </c>
      <c r="K558">
        <v>35000</v>
      </c>
      <c r="L558" t="s">
        <v>248</v>
      </c>
      <c r="M558">
        <v>25000</v>
      </c>
      <c r="N558">
        <v>10000</v>
      </c>
      <c r="O558" s="2">
        <v>0.7142857142857143</v>
      </c>
      <c r="R558">
        <v>20300</v>
      </c>
      <c r="S558" s="2">
        <v>1.7241379310344831</v>
      </c>
      <c r="W558" t="s">
        <v>287</v>
      </c>
    </row>
    <row r="559" spans="1:23" x14ac:dyDescent="0.3">
      <c r="A559" t="s">
        <v>28</v>
      </c>
      <c r="B559" t="s">
        <v>438</v>
      </c>
      <c r="C559" s="1" t="str">
        <f>HYPERLINK("https://new.land.naver.com/complexes/14304", "클릭")</f>
        <v>클릭</v>
      </c>
      <c r="D559">
        <v>1978</v>
      </c>
      <c r="E559">
        <v>12</v>
      </c>
      <c r="F559">
        <v>29</v>
      </c>
      <c r="G559">
        <v>50</v>
      </c>
      <c r="H559" t="s">
        <v>135</v>
      </c>
      <c r="I559" t="s">
        <v>138</v>
      </c>
      <c r="J559" t="s">
        <v>485</v>
      </c>
      <c r="K559">
        <v>35000</v>
      </c>
      <c r="L559" t="s">
        <v>485</v>
      </c>
      <c r="M559">
        <v>10000</v>
      </c>
      <c r="N559">
        <v>25000</v>
      </c>
      <c r="O559" s="2">
        <v>0.2857142857142857</v>
      </c>
      <c r="R559">
        <v>18200</v>
      </c>
      <c r="S559" s="2">
        <v>1.9230769230769229</v>
      </c>
      <c r="W559" t="s">
        <v>198</v>
      </c>
    </row>
    <row r="560" spans="1:23" x14ac:dyDescent="0.3">
      <c r="A560" t="s">
        <v>28</v>
      </c>
      <c r="B560" t="s">
        <v>234</v>
      </c>
      <c r="C560" s="1" t="str">
        <f>HYPERLINK("https://new.land.naver.com/complexes/125237", "클릭")</f>
        <v>클릭</v>
      </c>
      <c r="D560">
        <v>2019</v>
      </c>
      <c r="E560">
        <v>2</v>
      </c>
      <c r="F560">
        <v>41</v>
      </c>
      <c r="G560">
        <v>66</v>
      </c>
      <c r="I560" t="s">
        <v>137</v>
      </c>
      <c r="J560" t="s">
        <v>376</v>
      </c>
      <c r="K560">
        <v>35000</v>
      </c>
      <c r="W560" t="s">
        <v>410</v>
      </c>
    </row>
    <row r="561" spans="1:23" x14ac:dyDescent="0.3">
      <c r="A561" t="s">
        <v>28</v>
      </c>
      <c r="B561" t="s">
        <v>327</v>
      </c>
      <c r="C561" s="1" t="str">
        <f>HYPERLINK("https://new.land.naver.com/complexes/116687", "클릭")</f>
        <v>클릭</v>
      </c>
      <c r="D561">
        <v>2015</v>
      </c>
      <c r="E561">
        <v>8</v>
      </c>
      <c r="F561">
        <v>8</v>
      </c>
      <c r="G561">
        <v>65</v>
      </c>
      <c r="H561" t="s">
        <v>135</v>
      </c>
      <c r="I561" t="s">
        <v>138</v>
      </c>
      <c r="J561" t="s">
        <v>248</v>
      </c>
      <c r="K561">
        <v>34500</v>
      </c>
      <c r="W561" t="s">
        <v>198</v>
      </c>
    </row>
    <row r="562" spans="1:23" x14ac:dyDescent="0.3">
      <c r="A562" t="s">
        <v>31</v>
      </c>
      <c r="B562" t="s">
        <v>102</v>
      </c>
      <c r="C562" s="1" t="str">
        <f>HYPERLINK("https://new.land.naver.com/complexes/3080", "클릭")</f>
        <v>클릭</v>
      </c>
      <c r="D562">
        <v>2003</v>
      </c>
      <c r="E562">
        <v>3</v>
      </c>
      <c r="F562">
        <v>2044</v>
      </c>
      <c r="G562">
        <v>49</v>
      </c>
      <c r="H562" t="s">
        <v>136</v>
      </c>
      <c r="I562" t="s">
        <v>235</v>
      </c>
      <c r="J562" t="s">
        <v>356</v>
      </c>
      <c r="K562">
        <v>34000</v>
      </c>
      <c r="L562" t="s">
        <v>356</v>
      </c>
      <c r="M562">
        <v>25000</v>
      </c>
      <c r="N562">
        <v>9000</v>
      </c>
      <c r="O562" s="2">
        <v>0.73529411764705888</v>
      </c>
      <c r="R562">
        <v>20200</v>
      </c>
      <c r="S562" s="2">
        <v>1.6831683168316831</v>
      </c>
      <c r="W562" t="s">
        <v>198</v>
      </c>
    </row>
    <row r="563" spans="1:23" x14ac:dyDescent="0.3">
      <c r="A563" t="s">
        <v>31</v>
      </c>
      <c r="B563" t="s">
        <v>320</v>
      </c>
      <c r="C563" s="1" t="str">
        <f>HYPERLINK("https://new.land.naver.com/complexes/122827", "클릭")</f>
        <v>클릭</v>
      </c>
      <c r="D563">
        <v>2018</v>
      </c>
      <c r="E563">
        <v>6</v>
      </c>
      <c r="F563">
        <v>27</v>
      </c>
      <c r="G563">
        <v>60</v>
      </c>
      <c r="H563" t="s">
        <v>135</v>
      </c>
      <c r="I563" t="s">
        <v>137</v>
      </c>
      <c r="J563" t="s">
        <v>267</v>
      </c>
      <c r="K563">
        <v>34000</v>
      </c>
      <c r="W563" t="s">
        <v>198</v>
      </c>
    </row>
    <row r="564" spans="1:23" x14ac:dyDescent="0.3">
      <c r="A564" t="s">
        <v>29</v>
      </c>
      <c r="B564" t="s">
        <v>222</v>
      </c>
      <c r="C564" s="1" t="str">
        <f>HYPERLINK("https://new.land.naver.com/complexes/1464", "클릭")</f>
        <v>클릭</v>
      </c>
      <c r="D564">
        <v>1992</v>
      </c>
      <c r="E564">
        <v>7</v>
      </c>
      <c r="F564">
        <v>1068</v>
      </c>
      <c r="G564">
        <v>38</v>
      </c>
      <c r="H564" t="s">
        <v>136</v>
      </c>
      <c r="I564" t="s">
        <v>235</v>
      </c>
      <c r="J564" t="s">
        <v>490</v>
      </c>
      <c r="K564">
        <v>34000</v>
      </c>
      <c r="L564" t="s">
        <v>514</v>
      </c>
      <c r="M564">
        <v>18000</v>
      </c>
      <c r="N564">
        <v>16000</v>
      </c>
      <c r="O564" s="2">
        <v>0.52941176470588236</v>
      </c>
      <c r="W564" t="s">
        <v>198</v>
      </c>
    </row>
    <row r="565" spans="1:23" x14ac:dyDescent="0.3">
      <c r="A565" t="s">
        <v>29</v>
      </c>
      <c r="B565" t="s">
        <v>219</v>
      </c>
      <c r="C565" s="1" t="str">
        <f>HYPERLINK("https://new.land.naver.com/complexes/1462", "클릭")</f>
        <v>클릭</v>
      </c>
      <c r="D565">
        <v>1993</v>
      </c>
      <c r="E565">
        <v>2</v>
      </c>
      <c r="F565">
        <v>750</v>
      </c>
      <c r="G565">
        <v>39</v>
      </c>
      <c r="H565" t="s">
        <v>136</v>
      </c>
      <c r="I565" t="s">
        <v>235</v>
      </c>
      <c r="J565" t="s">
        <v>472</v>
      </c>
      <c r="K565">
        <v>33500</v>
      </c>
      <c r="L565" t="s">
        <v>472</v>
      </c>
      <c r="M565">
        <v>20000</v>
      </c>
      <c r="N565">
        <v>13500</v>
      </c>
      <c r="O565" s="2">
        <v>0.59701492537313428</v>
      </c>
      <c r="R565">
        <v>22600</v>
      </c>
      <c r="S565" s="2">
        <v>1.482300884955752</v>
      </c>
      <c r="W565" t="s">
        <v>198</v>
      </c>
    </row>
    <row r="566" spans="1:23" x14ac:dyDescent="0.3">
      <c r="A566" t="s">
        <v>28</v>
      </c>
      <c r="B566" t="s">
        <v>119</v>
      </c>
      <c r="C566" s="1" t="str">
        <f>HYPERLINK("https://new.land.naver.com/complexes/9061", "클릭")</f>
        <v>클릭</v>
      </c>
      <c r="D566">
        <v>1999</v>
      </c>
      <c r="E566">
        <v>1</v>
      </c>
      <c r="F566">
        <v>113</v>
      </c>
      <c r="G566">
        <v>59</v>
      </c>
      <c r="H566" t="s">
        <v>136</v>
      </c>
      <c r="I566" t="s">
        <v>138</v>
      </c>
      <c r="J566" t="s">
        <v>258</v>
      </c>
      <c r="K566">
        <v>33500</v>
      </c>
      <c r="L566" t="s">
        <v>258</v>
      </c>
      <c r="M566">
        <v>26500</v>
      </c>
      <c r="N566">
        <v>7000</v>
      </c>
      <c r="O566" s="2">
        <v>0.79104477611940294</v>
      </c>
      <c r="P566">
        <v>47000</v>
      </c>
      <c r="Q566" s="2">
        <v>-0.28723404255319152</v>
      </c>
      <c r="W566" t="s">
        <v>198</v>
      </c>
    </row>
    <row r="567" spans="1:23" x14ac:dyDescent="0.3">
      <c r="A567" t="s">
        <v>29</v>
      </c>
      <c r="B567" t="s">
        <v>304</v>
      </c>
      <c r="C567" s="1" t="str">
        <f>HYPERLINK("https://new.land.naver.com/complexes/1463", "클릭")</f>
        <v>클릭</v>
      </c>
      <c r="D567">
        <v>1993</v>
      </c>
      <c r="E567">
        <v>3</v>
      </c>
      <c r="F567">
        <v>1710</v>
      </c>
      <c r="G567">
        <v>37</v>
      </c>
      <c r="H567" t="s">
        <v>136</v>
      </c>
      <c r="I567" t="s">
        <v>235</v>
      </c>
      <c r="J567" t="s">
        <v>473</v>
      </c>
      <c r="K567">
        <v>33000</v>
      </c>
      <c r="L567" t="s">
        <v>473</v>
      </c>
      <c r="M567">
        <v>19000</v>
      </c>
      <c r="N567">
        <v>14000</v>
      </c>
      <c r="O567" s="2">
        <v>0.5757575757575758</v>
      </c>
      <c r="R567">
        <v>23200</v>
      </c>
      <c r="S567" s="2">
        <v>1.422413793103448</v>
      </c>
      <c r="W567" t="s">
        <v>198</v>
      </c>
    </row>
    <row r="568" spans="1:23" x14ac:dyDescent="0.3">
      <c r="A568" t="s">
        <v>28</v>
      </c>
      <c r="B568" t="s">
        <v>233</v>
      </c>
      <c r="C568" s="1" t="str">
        <f>HYPERLINK("https://new.land.naver.com/complexes/2049", "클릭")</f>
        <v>클릭</v>
      </c>
      <c r="D568">
        <v>1996</v>
      </c>
      <c r="E568">
        <v>6</v>
      </c>
      <c r="F568">
        <v>47</v>
      </c>
      <c r="G568">
        <v>59</v>
      </c>
      <c r="H568" t="s">
        <v>136</v>
      </c>
      <c r="I568" t="s">
        <v>138</v>
      </c>
      <c r="J568" t="s">
        <v>270</v>
      </c>
      <c r="K568">
        <v>33000</v>
      </c>
      <c r="L568" t="s">
        <v>270</v>
      </c>
      <c r="M568">
        <v>25500</v>
      </c>
      <c r="N568">
        <v>7500</v>
      </c>
      <c r="O568" s="2">
        <v>0.77272727272727271</v>
      </c>
      <c r="P568">
        <v>40300</v>
      </c>
      <c r="Q568" s="2">
        <v>-0.1811414392059553</v>
      </c>
      <c r="W568" t="s">
        <v>198</v>
      </c>
    </row>
    <row r="569" spans="1:23" x14ac:dyDescent="0.3">
      <c r="A569" t="s">
        <v>29</v>
      </c>
      <c r="B569" t="s">
        <v>228</v>
      </c>
      <c r="C569" s="1" t="str">
        <f>HYPERLINK("https://new.land.naver.com/complexes/24006", "클릭")</f>
        <v>클릭</v>
      </c>
      <c r="D569">
        <v>1988</v>
      </c>
      <c r="E569">
        <v>10</v>
      </c>
      <c r="F569">
        <v>34</v>
      </c>
      <c r="G569">
        <v>35</v>
      </c>
      <c r="I569" t="s">
        <v>235</v>
      </c>
      <c r="J569" t="s">
        <v>491</v>
      </c>
      <c r="K569">
        <v>33000</v>
      </c>
      <c r="L569" t="s">
        <v>491</v>
      </c>
      <c r="M569">
        <v>14000</v>
      </c>
      <c r="N569">
        <v>19000</v>
      </c>
      <c r="O569" s="2">
        <v>0.42424242424242431</v>
      </c>
      <c r="W569" t="s">
        <v>410</v>
      </c>
    </row>
    <row r="570" spans="1:23" x14ac:dyDescent="0.3">
      <c r="A570" t="s">
        <v>28</v>
      </c>
      <c r="B570" t="s">
        <v>130</v>
      </c>
      <c r="C570" s="1" t="str">
        <f>HYPERLINK("https://new.land.naver.com/complexes/111203", "클릭")</f>
        <v>클릭</v>
      </c>
      <c r="D570">
        <v>2015</v>
      </c>
      <c r="E570">
        <v>8</v>
      </c>
      <c r="F570">
        <v>23</v>
      </c>
      <c r="G570">
        <v>72</v>
      </c>
      <c r="J570" t="s">
        <v>267</v>
      </c>
      <c r="K570">
        <v>33000</v>
      </c>
      <c r="L570" t="s">
        <v>267</v>
      </c>
      <c r="M570">
        <v>25000</v>
      </c>
      <c r="N570">
        <v>8000</v>
      </c>
      <c r="O570" s="2">
        <v>0.75757575757575757</v>
      </c>
      <c r="W570" t="s">
        <v>411</v>
      </c>
    </row>
    <row r="571" spans="1:23" x14ac:dyDescent="0.3">
      <c r="A571" t="s">
        <v>28</v>
      </c>
      <c r="B571" t="s">
        <v>127</v>
      </c>
      <c r="C571" s="1" t="str">
        <f>HYPERLINK("https://new.land.naver.com/complexes/2047", "클릭")</f>
        <v>클릭</v>
      </c>
      <c r="D571">
        <v>1994</v>
      </c>
      <c r="E571">
        <v>11</v>
      </c>
      <c r="F571">
        <v>148</v>
      </c>
      <c r="G571">
        <v>59</v>
      </c>
      <c r="H571" t="s">
        <v>136</v>
      </c>
      <c r="I571" t="s">
        <v>138</v>
      </c>
      <c r="J571" t="s">
        <v>263</v>
      </c>
      <c r="K571">
        <v>33000</v>
      </c>
      <c r="L571" t="s">
        <v>263</v>
      </c>
      <c r="M571">
        <v>22000</v>
      </c>
      <c r="N571">
        <v>11000</v>
      </c>
      <c r="O571" s="2">
        <v>0.66666666666666663</v>
      </c>
      <c r="P571">
        <v>32000</v>
      </c>
      <c r="Q571" s="2">
        <v>3.125E-2</v>
      </c>
      <c r="R571">
        <v>19500</v>
      </c>
      <c r="S571" s="2">
        <v>1.6923076923076921</v>
      </c>
      <c r="W571" t="s">
        <v>198</v>
      </c>
    </row>
    <row r="572" spans="1:23" x14ac:dyDescent="0.3">
      <c r="A572" t="s">
        <v>30</v>
      </c>
      <c r="B572" t="s">
        <v>317</v>
      </c>
      <c r="C572" s="1" t="str">
        <f>HYPERLINK("https://new.land.naver.com/complexes/27012", "클릭")</f>
        <v>클릭</v>
      </c>
      <c r="D572">
        <v>2008</v>
      </c>
      <c r="E572">
        <v>10</v>
      </c>
      <c r="F572">
        <v>41</v>
      </c>
      <c r="G572">
        <v>52</v>
      </c>
      <c r="H572" t="s">
        <v>135</v>
      </c>
      <c r="I572" t="s">
        <v>235</v>
      </c>
      <c r="J572" t="s">
        <v>461</v>
      </c>
      <c r="K572">
        <v>33000</v>
      </c>
      <c r="L572" t="s">
        <v>461</v>
      </c>
      <c r="M572">
        <v>28000</v>
      </c>
      <c r="N572">
        <v>5000</v>
      </c>
      <c r="O572" s="2">
        <v>0.84848484848484851</v>
      </c>
      <c r="R572">
        <v>27200</v>
      </c>
      <c r="S572" s="2">
        <v>1.213235294117647</v>
      </c>
      <c r="W572" t="s">
        <v>198</v>
      </c>
    </row>
    <row r="573" spans="1:23" x14ac:dyDescent="0.3">
      <c r="A573" t="s">
        <v>31</v>
      </c>
      <c r="B573" t="s">
        <v>430</v>
      </c>
      <c r="C573" s="1" t="str">
        <f>HYPERLINK("https://new.land.naver.com/complexes/1985", "클릭")</f>
        <v>클릭</v>
      </c>
      <c r="D573">
        <v>1993</v>
      </c>
      <c r="E573">
        <v>7</v>
      </c>
      <c r="F573">
        <v>790</v>
      </c>
      <c r="G573">
        <v>33</v>
      </c>
      <c r="H573" t="s">
        <v>136</v>
      </c>
      <c r="I573" t="s">
        <v>236</v>
      </c>
      <c r="J573" t="s">
        <v>492</v>
      </c>
      <c r="K573">
        <v>33000</v>
      </c>
      <c r="L573" t="s">
        <v>492</v>
      </c>
      <c r="M573">
        <v>17000</v>
      </c>
      <c r="N573">
        <v>16000</v>
      </c>
      <c r="O573" s="2">
        <v>0.51515151515151514</v>
      </c>
      <c r="R573">
        <v>19000</v>
      </c>
      <c r="S573" s="2">
        <v>1.736842105263158</v>
      </c>
      <c r="W573" t="s">
        <v>198</v>
      </c>
    </row>
    <row r="574" spans="1:23" x14ac:dyDescent="0.3">
      <c r="A574" t="s">
        <v>28</v>
      </c>
      <c r="B574" t="s">
        <v>128</v>
      </c>
      <c r="C574" s="1" t="str">
        <f>HYPERLINK("https://new.land.naver.com/complexes/13255", "클릭")</f>
        <v>클릭</v>
      </c>
      <c r="D574">
        <v>2003</v>
      </c>
      <c r="E574">
        <v>8</v>
      </c>
      <c r="F574">
        <v>46</v>
      </c>
      <c r="G574">
        <v>68</v>
      </c>
      <c r="H574" t="s">
        <v>135</v>
      </c>
      <c r="I574" t="s">
        <v>137</v>
      </c>
      <c r="J574" t="s">
        <v>263</v>
      </c>
      <c r="K574">
        <v>33000</v>
      </c>
      <c r="L574" t="s">
        <v>263</v>
      </c>
      <c r="M574">
        <v>28000</v>
      </c>
      <c r="N574">
        <v>5000</v>
      </c>
      <c r="O574" s="2">
        <v>0.84848484848484851</v>
      </c>
      <c r="R574">
        <v>17300</v>
      </c>
      <c r="S574" s="2">
        <v>1.9075144508670521</v>
      </c>
      <c r="W574" t="s">
        <v>412</v>
      </c>
    </row>
    <row r="575" spans="1:23" x14ac:dyDescent="0.3">
      <c r="A575" t="s">
        <v>28</v>
      </c>
      <c r="B575" t="s">
        <v>330</v>
      </c>
      <c r="C575" s="1" t="str">
        <f>HYPERLINK("https://new.land.naver.com/complexes/122547", "클릭")</f>
        <v>클릭</v>
      </c>
      <c r="D575">
        <v>2018</v>
      </c>
      <c r="E575">
        <v>1</v>
      </c>
      <c r="F575">
        <v>34</v>
      </c>
      <c r="G575">
        <v>61</v>
      </c>
      <c r="J575" t="s">
        <v>169</v>
      </c>
      <c r="K575">
        <v>33000</v>
      </c>
      <c r="W575" t="s">
        <v>413</v>
      </c>
    </row>
    <row r="576" spans="1:23" x14ac:dyDescent="0.3">
      <c r="A576" t="s">
        <v>28</v>
      </c>
      <c r="B576" t="s">
        <v>234</v>
      </c>
      <c r="C576" s="1" t="str">
        <f>HYPERLINK("https://new.land.naver.com/complexes/125237", "클릭")</f>
        <v>클릭</v>
      </c>
      <c r="D576">
        <v>2019</v>
      </c>
      <c r="E576">
        <v>2</v>
      </c>
      <c r="F576">
        <v>41</v>
      </c>
      <c r="G576">
        <v>56</v>
      </c>
      <c r="H576" t="s">
        <v>135</v>
      </c>
      <c r="I576" t="s">
        <v>137</v>
      </c>
      <c r="J576" t="s">
        <v>478</v>
      </c>
      <c r="K576">
        <v>33000</v>
      </c>
      <c r="L576" t="s">
        <v>478</v>
      </c>
      <c r="M576">
        <v>29000</v>
      </c>
      <c r="N576">
        <v>4000</v>
      </c>
      <c r="O576" s="2">
        <v>0.87878787878787878</v>
      </c>
      <c r="W576" t="s">
        <v>198</v>
      </c>
    </row>
    <row r="577" spans="1:23" x14ac:dyDescent="0.3">
      <c r="A577" t="s">
        <v>31</v>
      </c>
      <c r="B577" t="s">
        <v>320</v>
      </c>
      <c r="C577" s="1" t="str">
        <f>HYPERLINK("https://new.land.naver.com/complexes/122827", "클릭")</f>
        <v>클릭</v>
      </c>
      <c r="D577">
        <v>2018</v>
      </c>
      <c r="E577">
        <v>6</v>
      </c>
      <c r="F577">
        <v>27</v>
      </c>
      <c r="G577">
        <v>79</v>
      </c>
      <c r="H577" t="s">
        <v>135</v>
      </c>
      <c r="I577" t="s">
        <v>137</v>
      </c>
      <c r="J577" t="s">
        <v>163</v>
      </c>
      <c r="K577">
        <v>32500</v>
      </c>
      <c r="W577" t="s">
        <v>205</v>
      </c>
    </row>
    <row r="578" spans="1:23" x14ac:dyDescent="0.3">
      <c r="A578" t="s">
        <v>28</v>
      </c>
      <c r="B578" t="s">
        <v>300</v>
      </c>
      <c r="C578" s="1" t="str">
        <f>HYPERLINK("https://new.land.naver.com/complexes/11385", "클릭")</f>
        <v>클릭</v>
      </c>
      <c r="D578">
        <v>1982</v>
      </c>
      <c r="E578">
        <v>5</v>
      </c>
      <c r="F578">
        <v>22</v>
      </c>
      <c r="G578">
        <v>49</v>
      </c>
      <c r="H578" t="s">
        <v>135</v>
      </c>
      <c r="I578" t="s">
        <v>138</v>
      </c>
      <c r="J578" t="s">
        <v>493</v>
      </c>
      <c r="K578">
        <v>32000</v>
      </c>
      <c r="L578" t="s">
        <v>493</v>
      </c>
      <c r="M578">
        <v>16000</v>
      </c>
      <c r="N578">
        <v>16000</v>
      </c>
      <c r="O578" s="2">
        <v>0.5</v>
      </c>
      <c r="R578">
        <v>13600</v>
      </c>
      <c r="S578" s="2">
        <v>2.3529411764705879</v>
      </c>
      <c r="W578" t="s">
        <v>391</v>
      </c>
    </row>
    <row r="579" spans="1:23" x14ac:dyDescent="0.3">
      <c r="A579" t="s">
        <v>29</v>
      </c>
      <c r="B579" t="s">
        <v>110</v>
      </c>
      <c r="C579" s="1" t="str">
        <f>HYPERLINK("https://new.land.naver.com/complexes/1975", "클릭")</f>
        <v>클릭</v>
      </c>
      <c r="D579">
        <v>1996</v>
      </c>
      <c r="E579">
        <v>2</v>
      </c>
      <c r="F579">
        <v>46</v>
      </c>
      <c r="G579">
        <v>57</v>
      </c>
      <c r="H579" t="s">
        <v>135</v>
      </c>
      <c r="I579" t="s">
        <v>138</v>
      </c>
      <c r="J579" t="s">
        <v>279</v>
      </c>
      <c r="K579">
        <v>32000</v>
      </c>
      <c r="P579">
        <v>35500</v>
      </c>
      <c r="Q579" s="2">
        <v>-9.8591549295774641E-2</v>
      </c>
      <c r="R579">
        <v>22500</v>
      </c>
      <c r="S579" s="2">
        <v>1.4222222222222221</v>
      </c>
      <c r="W579" t="s">
        <v>198</v>
      </c>
    </row>
    <row r="580" spans="1:23" x14ac:dyDescent="0.3">
      <c r="A580" t="s">
        <v>28</v>
      </c>
      <c r="B580" t="s">
        <v>439</v>
      </c>
      <c r="C580" s="1" t="str">
        <f>HYPERLINK("https://new.land.naver.com/complexes/8918", "클릭")</f>
        <v>클릭</v>
      </c>
      <c r="D580">
        <v>1985</v>
      </c>
      <c r="E580">
        <v>12</v>
      </c>
      <c r="F580">
        <v>90</v>
      </c>
      <c r="G580">
        <v>55</v>
      </c>
      <c r="H580" t="s">
        <v>135</v>
      </c>
      <c r="I580" t="s">
        <v>235</v>
      </c>
      <c r="J580" t="s">
        <v>468</v>
      </c>
      <c r="K580">
        <v>32000</v>
      </c>
      <c r="L580" t="s">
        <v>468</v>
      </c>
      <c r="M580">
        <v>13000</v>
      </c>
      <c r="N580">
        <v>19000</v>
      </c>
      <c r="O580" s="2">
        <v>0.40625</v>
      </c>
      <c r="R580">
        <v>20800</v>
      </c>
      <c r="S580" s="2">
        <v>1.538461538461539</v>
      </c>
      <c r="W580" t="s">
        <v>198</v>
      </c>
    </row>
    <row r="581" spans="1:23" x14ac:dyDescent="0.3">
      <c r="A581" t="s">
        <v>29</v>
      </c>
      <c r="B581" t="s">
        <v>437</v>
      </c>
      <c r="C581" s="1" t="str">
        <f>HYPERLINK("https://new.land.naver.com/complexes/25290", "클릭")</f>
        <v>클릭</v>
      </c>
      <c r="D581">
        <v>1990</v>
      </c>
      <c r="E581">
        <v>3</v>
      </c>
      <c r="F581">
        <v>65</v>
      </c>
      <c r="G581">
        <v>51</v>
      </c>
      <c r="H581" t="s">
        <v>135</v>
      </c>
      <c r="I581" t="s">
        <v>138</v>
      </c>
      <c r="J581" t="s">
        <v>339</v>
      </c>
      <c r="K581">
        <v>32000</v>
      </c>
      <c r="L581" t="s">
        <v>339</v>
      </c>
      <c r="M581">
        <v>18000</v>
      </c>
      <c r="N581">
        <v>14000</v>
      </c>
      <c r="O581" s="2">
        <v>0.5625</v>
      </c>
      <c r="R581">
        <v>21600</v>
      </c>
      <c r="S581" s="2">
        <v>1.481481481481481</v>
      </c>
      <c r="W581" t="s">
        <v>198</v>
      </c>
    </row>
    <row r="582" spans="1:23" x14ac:dyDescent="0.3">
      <c r="A582" t="s">
        <v>28</v>
      </c>
      <c r="B582" t="s">
        <v>234</v>
      </c>
      <c r="C582" s="1" t="str">
        <f>HYPERLINK("https://new.land.naver.com/complexes/125237", "클릭")</f>
        <v>클릭</v>
      </c>
      <c r="D582">
        <v>2019</v>
      </c>
      <c r="E582">
        <v>2</v>
      </c>
      <c r="F582">
        <v>41</v>
      </c>
      <c r="G582">
        <v>58</v>
      </c>
      <c r="H582" t="s">
        <v>135</v>
      </c>
      <c r="I582" t="s">
        <v>137</v>
      </c>
      <c r="J582" t="s">
        <v>280</v>
      </c>
      <c r="K582">
        <v>32000</v>
      </c>
      <c r="L582" t="s">
        <v>280</v>
      </c>
      <c r="M582">
        <v>22000</v>
      </c>
      <c r="N582">
        <v>10000</v>
      </c>
      <c r="O582" s="2">
        <v>0.6875</v>
      </c>
      <c r="W582" t="s">
        <v>198</v>
      </c>
    </row>
    <row r="583" spans="1:23" x14ac:dyDescent="0.3">
      <c r="A583" t="s">
        <v>28</v>
      </c>
      <c r="B583" t="s">
        <v>431</v>
      </c>
      <c r="C583" s="1" t="str">
        <f>HYPERLINK("https://new.land.naver.com/complexes/9821", "클릭")</f>
        <v>클릭</v>
      </c>
      <c r="D583">
        <v>1983</v>
      </c>
      <c r="E583">
        <v>11</v>
      </c>
      <c r="F583">
        <v>49</v>
      </c>
      <c r="G583">
        <v>43</v>
      </c>
      <c r="H583" t="s">
        <v>136</v>
      </c>
      <c r="I583" t="s">
        <v>235</v>
      </c>
      <c r="J583" t="s">
        <v>490</v>
      </c>
      <c r="K583">
        <v>31500</v>
      </c>
      <c r="R583">
        <v>12900</v>
      </c>
      <c r="S583" s="2">
        <v>2.441860465116279</v>
      </c>
      <c r="W583" t="s">
        <v>198</v>
      </c>
    </row>
    <row r="584" spans="1:23" x14ac:dyDescent="0.3">
      <c r="A584" t="s">
        <v>31</v>
      </c>
      <c r="B584" t="s">
        <v>324</v>
      </c>
      <c r="C584" s="1" t="str">
        <f>HYPERLINK("https://new.land.naver.com/complexes/104561", "클릭")</f>
        <v>클릭</v>
      </c>
      <c r="D584">
        <v>1984</v>
      </c>
      <c r="E584">
        <v>10</v>
      </c>
      <c r="F584">
        <v>54</v>
      </c>
      <c r="G584">
        <v>62</v>
      </c>
      <c r="H584" t="s">
        <v>135</v>
      </c>
      <c r="I584" t="s">
        <v>137</v>
      </c>
      <c r="J584" t="s">
        <v>247</v>
      </c>
      <c r="K584">
        <v>31000</v>
      </c>
      <c r="R584">
        <v>20700</v>
      </c>
      <c r="S584" s="2">
        <v>1.4975845410628019</v>
      </c>
      <c r="W584" t="s">
        <v>198</v>
      </c>
    </row>
    <row r="585" spans="1:23" x14ac:dyDescent="0.3">
      <c r="A585" t="s">
        <v>29</v>
      </c>
      <c r="B585" t="s">
        <v>427</v>
      </c>
      <c r="C585" s="1" t="str">
        <f>HYPERLINK("https://new.land.naver.com/complexes/24277", "클릭")</f>
        <v>클릭</v>
      </c>
      <c r="D585">
        <v>1988</v>
      </c>
      <c r="E585">
        <v>1</v>
      </c>
      <c r="F585">
        <v>55</v>
      </c>
      <c r="G585">
        <v>46</v>
      </c>
      <c r="H585" t="s">
        <v>135</v>
      </c>
      <c r="I585" t="s">
        <v>138</v>
      </c>
      <c r="J585" t="s">
        <v>494</v>
      </c>
      <c r="K585">
        <v>31000</v>
      </c>
      <c r="L585" t="s">
        <v>494</v>
      </c>
      <c r="M585">
        <v>15000</v>
      </c>
      <c r="N585">
        <v>16000</v>
      </c>
      <c r="O585" s="2">
        <v>0.4838709677419355</v>
      </c>
      <c r="R585">
        <v>20200</v>
      </c>
      <c r="S585" s="2">
        <v>1.5346534653465349</v>
      </c>
      <c r="W585" t="s">
        <v>204</v>
      </c>
    </row>
    <row r="586" spans="1:23" x14ac:dyDescent="0.3">
      <c r="A586" t="s">
        <v>28</v>
      </c>
      <c r="B586" t="s">
        <v>121</v>
      </c>
      <c r="C586" s="1" t="str">
        <f>HYPERLINK("https://new.land.naver.com/complexes/2046", "클릭")</f>
        <v>클릭</v>
      </c>
      <c r="D586">
        <v>1996</v>
      </c>
      <c r="E586">
        <v>10</v>
      </c>
      <c r="F586">
        <v>261</v>
      </c>
      <c r="G586">
        <v>59</v>
      </c>
      <c r="H586" t="s">
        <v>135</v>
      </c>
      <c r="I586" t="s">
        <v>235</v>
      </c>
      <c r="J586" t="s">
        <v>263</v>
      </c>
      <c r="K586">
        <v>31000</v>
      </c>
      <c r="L586" t="s">
        <v>263</v>
      </c>
      <c r="M586">
        <v>24000</v>
      </c>
      <c r="N586">
        <v>7000</v>
      </c>
      <c r="O586" s="2">
        <v>0.77419354838709675</v>
      </c>
      <c r="P586">
        <v>37500</v>
      </c>
      <c r="Q586" s="2">
        <v>-0.17333333333333331</v>
      </c>
      <c r="R586">
        <v>18500</v>
      </c>
      <c r="S586" s="2">
        <v>1.6756756756756761</v>
      </c>
      <c r="W586" t="s">
        <v>198</v>
      </c>
    </row>
    <row r="587" spans="1:23" x14ac:dyDescent="0.3">
      <c r="A587" t="s">
        <v>28</v>
      </c>
      <c r="B587" t="s">
        <v>431</v>
      </c>
      <c r="C587" s="1" t="str">
        <f>HYPERLINK("https://new.land.naver.com/complexes/9821", "클릭")</f>
        <v>클릭</v>
      </c>
      <c r="D587">
        <v>1983</v>
      </c>
      <c r="E587">
        <v>11</v>
      </c>
      <c r="F587">
        <v>49</v>
      </c>
      <c r="G587">
        <v>36</v>
      </c>
      <c r="H587" t="s">
        <v>136</v>
      </c>
      <c r="I587" t="s">
        <v>235</v>
      </c>
      <c r="J587" t="s">
        <v>495</v>
      </c>
      <c r="K587">
        <v>30000</v>
      </c>
      <c r="L587" t="s">
        <v>495</v>
      </c>
      <c r="M587">
        <v>12000</v>
      </c>
      <c r="N587">
        <v>18000</v>
      </c>
      <c r="O587" s="2">
        <v>0.4</v>
      </c>
      <c r="R587">
        <v>12300</v>
      </c>
      <c r="S587" s="2">
        <v>2.4390243902439019</v>
      </c>
      <c r="W587" t="s">
        <v>198</v>
      </c>
    </row>
    <row r="588" spans="1:23" x14ac:dyDescent="0.3">
      <c r="A588" t="s">
        <v>28</v>
      </c>
      <c r="B588" t="s">
        <v>440</v>
      </c>
      <c r="C588" s="1" t="str">
        <f>HYPERLINK("https://new.land.naver.com/complexes/2032", "클릭")</f>
        <v>클릭</v>
      </c>
      <c r="D588">
        <v>1984</v>
      </c>
      <c r="E588">
        <v>12</v>
      </c>
      <c r="F588">
        <v>100</v>
      </c>
      <c r="G588">
        <v>45</v>
      </c>
      <c r="H588" t="s">
        <v>135</v>
      </c>
      <c r="I588" t="s">
        <v>138</v>
      </c>
      <c r="J588" t="s">
        <v>496</v>
      </c>
      <c r="K588">
        <v>30000</v>
      </c>
      <c r="L588" t="s">
        <v>496</v>
      </c>
      <c r="M588">
        <v>12000</v>
      </c>
      <c r="N588">
        <v>18000</v>
      </c>
      <c r="O588" s="2">
        <v>0.4</v>
      </c>
      <c r="R588">
        <v>18000</v>
      </c>
      <c r="S588" s="2">
        <v>1.666666666666667</v>
      </c>
      <c r="W588" t="s">
        <v>198</v>
      </c>
    </row>
    <row r="589" spans="1:23" x14ac:dyDescent="0.3">
      <c r="A589" t="s">
        <v>28</v>
      </c>
      <c r="B589" t="s">
        <v>429</v>
      </c>
      <c r="C589" s="1" t="str">
        <f>HYPERLINK("https://new.land.naver.com/complexes/10801", "클릭")</f>
        <v>클릭</v>
      </c>
      <c r="D589">
        <v>1980</v>
      </c>
      <c r="E589">
        <v>10</v>
      </c>
      <c r="F589">
        <v>44</v>
      </c>
      <c r="G589">
        <v>43</v>
      </c>
      <c r="H589" t="s">
        <v>135</v>
      </c>
      <c r="I589" t="s">
        <v>235</v>
      </c>
      <c r="J589" t="s">
        <v>497</v>
      </c>
      <c r="K589">
        <v>30000</v>
      </c>
      <c r="L589" t="s">
        <v>497</v>
      </c>
      <c r="M589">
        <v>12000</v>
      </c>
      <c r="N589">
        <v>18000</v>
      </c>
      <c r="O589" s="2">
        <v>0.4</v>
      </c>
      <c r="R589">
        <v>12700</v>
      </c>
      <c r="S589" s="2">
        <v>2.3622047244094491</v>
      </c>
      <c r="W589" t="s">
        <v>198</v>
      </c>
    </row>
    <row r="590" spans="1:23" x14ac:dyDescent="0.3">
      <c r="A590" t="s">
        <v>28</v>
      </c>
      <c r="B590" t="s">
        <v>429</v>
      </c>
      <c r="C590" s="1" t="str">
        <f>HYPERLINK("https://new.land.naver.com/complexes/10801", "클릭")</f>
        <v>클릭</v>
      </c>
      <c r="D590">
        <v>1980</v>
      </c>
      <c r="E590">
        <v>10</v>
      </c>
      <c r="F590">
        <v>44</v>
      </c>
      <c r="G590">
        <v>48</v>
      </c>
      <c r="H590" t="s">
        <v>135</v>
      </c>
      <c r="I590" t="s">
        <v>235</v>
      </c>
      <c r="J590" t="s">
        <v>498</v>
      </c>
      <c r="K590">
        <v>30000</v>
      </c>
      <c r="L590" t="s">
        <v>498</v>
      </c>
      <c r="M590">
        <v>15000</v>
      </c>
      <c r="N590">
        <v>15000</v>
      </c>
      <c r="O590" s="2">
        <v>0.5</v>
      </c>
      <c r="R590">
        <v>13700</v>
      </c>
      <c r="S590" s="2">
        <v>2.1897810218978102</v>
      </c>
      <c r="W590" t="s">
        <v>198</v>
      </c>
    </row>
    <row r="591" spans="1:23" x14ac:dyDescent="0.3">
      <c r="A591" t="s">
        <v>28</v>
      </c>
      <c r="B591" t="s">
        <v>429</v>
      </c>
      <c r="C591" s="1" t="str">
        <f>HYPERLINK("https://new.land.naver.com/complexes/10801", "클릭")</f>
        <v>클릭</v>
      </c>
      <c r="D591">
        <v>1980</v>
      </c>
      <c r="E591">
        <v>10</v>
      </c>
      <c r="F591">
        <v>44</v>
      </c>
      <c r="G591">
        <v>51</v>
      </c>
      <c r="H591" t="s">
        <v>135</v>
      </c>
      <c r="I591" t="s">
        <v>235</v>
      </c>
      <c r="J591" t="s">
        <v>469</v>
      </c>
      <c r="K591">
        <v>30000</v>
      </c>
      <c r="L591" t="s">
        <v>238</v>
      </c>
      <c r="M591">
        <v>14000</v>
      </c>
      <c r="N591">
        <v>16000</v>
      </c>
      <c r="O591" s="2">
        <v>0.46666666666666667</v>
      </c>
      <c r="R591">
        <v>13700</v>
      </c>
      <c r="S591" s="2">
        <v>2.1897810218978102</v>
      </c>
      <c r="W591" t="s">
        <v>198</v>
      </c>
    </row>
    <row r="592" spans="1:23" x14ac:dyDescent="0.3">
      <c r="A592" t="s">
        <v>31</v>
      </c>
      <c r="B592" t="s">
        <v>309</v>
      </c>
      <c r="C592" s="1" t="str">
        <f>HYPERLINK("https://new.land.naver.com/complexes/25744", "클릭")</f>
        <v>클릭</v>
      </c>
      <c r="D592">
        <v>1988</v>
      </c>
      <c r="E592">
        <v>4</v>
      </c>
      <c r="F592">
        <v>40</v>
      </c>
      <c r="G592">
        <v>42</v>
      </c>
      <c r="J592" t="s">
        <v>479</v>
      </c>
      <c r="K592">
        <v>30000</v>
      </c>
      <c r="W592" t="s">
        <v>526</v>
      </c>
    </row>
    <row r="593" spans="1:23" x14ac:dyDescent="0.3">
      <c r="A593" t="s">
        <v>30</v>
      </c>
      <c r="B593" t="s">
        <v>293</v>
      </c>
      <c r="C593" s="1" t="str">
        <f>HYPERLINK("https://new.land.naver.com/complexes/26428", "클릭")</f>
        <v>클릭</v>
      </c>
      <c r="D593">
        <v>1984</v>
      </c>
      <c r="E593">
        <v>12</v>
      </c>
      <c r="F593">
        <v>60</v>
      </c>
      <c r="G593">
        <v>51</v>
      </c>
      <c r="H593" t="s">
        <v>135</v>
      </c>
      <c r="I593" t="s">
        <v>235</v>
      </c>
      <c r="J593" t="s">
        <v>474</v>
      </c>
      <c r="K593">
        <v>30000</v>
      </c>
      <c r="L593" t="s">
        <v>474</v>
      </c>
      <c r="M593">
        <v>17000</v>
      </c>
      <c r="N593">
        <v>13000</v>
      </c>
      <c r="O593" s="2">
        <v>0.56666666666666665</v>
      </c>
      <c r="R593">
        <v>18700</v>
      </c>
      <c r="S593" s="2">
        <v>1.6042780748663099</v>
      </c>
      <c r="W593" t="s">
        <v>198</v>
      </c>
    </row>
    <row r="594" spans="1:23" x14ac:dyDescent="0.3">
      <c r="A594" t="s">
        <v>29</v>
      </c>
      <c r="B594" t="s">
        <v>436</v>
      </c>
      <c r="C594" s="1" t="str">
        <f>HYPERLINK("https://new.land.naver.com/complexes/13303", "클릭")</f>
        <v>클릭</v>
      </c>
      <c r="D594">
        <v>1987</v>
      </c>
      <c r="E594">
        <v>9</v>
      </c>
      <c r="F594">
        <v>40</v>
      </c>
      <c r="G594">
        <v>37</v>
      </c>
      <c r="H594" t="s">
        <v>135</v>
      </c>
      <c r="I594" t="s">
        <v>235</v>
      </c>
      <c r="J594" t="s">
        <v>473</v>
      </c>
      <c r="K594">
        <v>30000</v>
      </c>
      <c r="L594" t="s">
        <v>473</v>
      </c>
      <c r="M594">
        <v>14000</v>
      </c>
      <c r="N594">
        <v>16000</v>
      </c>
      <c r="O594" s="2">
        <v>0.46666666666666667</v>
      </c>
      <c r="R594">
        <v>16400</v>
      </c>
      <c r="S594" s="2">
        <v>1.8292682926829269</v>
      </c>
      <c r="W594" t="s">
        <v>395</v>
      </c>
    </row>
    <row r="595" spans="1:23" x14ac:dyDescent="0.3">
      <c r="A595" t="s">
        <v>28</v>
      </c>
      <c r="B595" t="s">
        <v>131</v>
      </c>
      <c r="C595" s="1" t="str">
        <f>HYPERLINK("https://new.land.naver.com/complexes/101236", "클릭")</f>
        <v>클릭</v>
      </c>
      <c r="D595">
        <v>2004</v>
      </c>
      <c r="E595">
        <v>8</v>
      </c>
      <c r="F595">
        <v>15</v>
      </c>
      <c r="G595">
        <v>62</v>
      </c>
      <c r="H595" t="s">
        <v>135</v>
      </c>
      <c r="I595" t="s">
        <v>338</v>
      </c>
      <c r="J595" t="s">
        <v>371</v>
      </c>
      <c r="K595">
        <v>30000</v>
      </c>
      <c r="W595" t="s">
        <v>391</v>
      </c>
    </row>
    <row r="596" spans="1:23" x14ac:dyDescent="0.3">
      <c r="A596" t="s">
        <v>28</v>
      </c>
      <c r="B596" t="s">
        <v>331</v>
      </c>
      <c r="C596" s="1" t="str">
        <f>HYPERLINK("https://new.land.naver.com/complexes/13324", "클릭")</f>
        <v>클릭</v>
      </c>
      <c r="D596">
        <v>1995</v>
      </c>
      <c r="E596">
        <v>1</v>
      </c>
      <c r="F596">
        <v>16</v>
      </c>
      <c r="G596">
        <v>76</v>
      </c>
      <c r="H596" t="s">
        <v>136</v>
      </c>
      <c r="I596" t="s">
        <v>138</v>
      </c>
      <c r="J596" t="s">
        <v>362</v>
      </c>
      <c r="K596">
        <v>30000</v>
      </c>
      <c r="L596" t="s">
        <v>362</v>
      </c>
      <c r="M596">
        <v>23000</v>
      </c>
      <c r="N596">
        <v>7000</v>
      </c>
      <c r="O596" s="2">
        <v>0.76666666666666672</v>
      </c>
      <c r="R596">
        <v>14100</v>
      </c>
      <c r="S596" s="2">
        <v>2.1276595744680851</v>
      </c>
      <c r="W596" t="s">
        <v>198</v>
      </c>
    </row>
    <row r="597" spans="1:23" x14ac:dyDescent="0.3">
      <c r="A597" t="s">
        <v>28</v>
      </c>
      <c r="B597" t="s">
        <v>318</v>
      </c>
      <c r="C597" s="1" t="str">
        <f>HYPERLINK("https://new.land.naver.com/complexes/2040", "클릭")</f>
        <v>클릭</v>
      </c>
      <c r="D597">
        <v>1984</v>
      </c>
      <c r="E597">
        <v>12</v>
      </c>
      <c r="F597">
        <v>190</v>
      </c>
      <c r="G597">
        <v>56</v>
      </c>
      <c r="H597" t="s">
        <v>135</v>
      </c>
      <c r="I597" t="s">
        <v>138</v>
      </c>
      <c r="J597" t="s">
        <v>494</v>
      </c>
      <c r="K597">
        <v>29000</v>
      </c>
      <c r="L597" t="s">
        <v>494</v>
      </c>
      <c r="M597">
        <v>16000</v>
      </c>
      <c r="N597">
        <v>13000</v>
      </c>
      <c r="O597" s="2">
        <v>0.55172413793103448</v>
      </c>
      <c r="R597">
        <v>21700</v>
      </c>
      <c r="S597" s="2">
        <v>1.336405529953917</v>
      </c>
      <c r="W597" t="s">
        <v>198</v>
      </c>
    </row>
    <row r="598" spans="1:23" x14ac:dyDescent="0.3">
      <c r="A598" t="s">
        <v>28</v>
      </c>
      <c r="B598" t="s">
        <v>431</v>
      </c>
      <c r="C598" s="1" t="str">
        <f>HYPERLINK("https://new.land.naver.com/complexes/9821", "클릭")</f>
        <v>클릭</v>
      </c>
      <c r="D598">
        <v>1983</v>
      </c>
      <c r="E598">
        <v>11</v>
      </c>
      <c r="F598">
        <v>49</v>
      </c>
      <c r="G598">
        <v>39</v>
      </c>
      <c r="H598" t="s">
        <v>135</v>
      </c>
      <c r="I598" t="s">
        <v>236</v>
      </c>
      <c r="J598" t="s">
        <v>499</v>
      </c>
      <c r="K598">
        <v>29000</v>
      </c>
      <c r="L598" t="s">
        <v>499</v>
      </c>
      <c r="M598">
        <v>14000</v>
      </c>
      <c r="N598">
        <v>15000</v>
      </c>
      <c r="O598" s="2">
        <v>0.48275862068965519</v>
      </c>
      <c r="R598">
        <v>12700</v>
      </c>
      <c r="S598" s="2">
        <v>2.2834645669291338</v>
      </c>
      <c r="W598" t="s">
        <v>198</v>
      </c>
    </row>
    <row r="599" spans="1:23" x14ac:dyDescent="0.3">
      <c r="A599" t="s">
        <v>31</v>
      </c>
      <c r="B599" t="s">
        <v>441</v>
      </c>
      <c r="C599" s="1" t="str">
        <f>HYPERLINK("https://new.land.naver.com/complexes/11114", "클릭")</f>
        <v>클릭</v>
      </c>
      <c r="D599">
        <v>1982</v>
      </c>
      <c r="E599">
        <v>6</v>
      </c>
      <c r="F599">
        <v>40</v>
      </c>
      <c r="G599">
        <v>49</v>
      </c>
      <c r="H599" t="s">
        <v>135</v>
      </c>
      <c r="I599" t="s">
        <v>235</v>
      </c>
      <c r="J599" t="s">
        <v>371</v>
      </c>
      <c r="K599">
        <v>29000</v>
      </c>
      <c r="W599" t="s">
        <v>199</v>
      </c>
    </row>
    <row r="600" spans="1:23" x14ac:dyDescent="0.3">
      <c r="A600" t="s">
        <v>30</v>
      </c>
      <c r="B600" t="s">
        <v>94</v>
      </c>
      <c r="C600" s="1" t="str">
        <f>HYPERLINK("https://new.land.naver.com/complexes/2805", "클릭")</f>
        <v>클릭</v>
      </c>
      <c r="D600">
        <v>2000</v>
      </c>
      <c r="E600">
        <v>4</v>
      </c>
      <c r="F600">
        <v>230</v>
      </c>
      <c r="G600">
        <v>36</v>
      </c>
      <c r="H600" t="s">
        <v>136</v>
      </c>
      <c r="I600" t="s">
        <v>236</v>
      </c>
      <c r="J600" t="s">
        <v>500</v>
      </c>
      <c r="K600">
        <v>29000</v>
      </c>
      <c r="L600" t="s">
        <v>500</v>
      </c>
      <c r="M600">
        <v>21000</v>
      </c>
      <c r="N600">
        <v>8000</v>
      </c>
      <c r="O600" s="2">
        <v>0.72413793103448276</v>
      </c>
      <c r="R600">
        <v>17400</v>
      </c>
      <c r="S600" s="2">
        <v>1.666666666666667</v>
      </c>
      <c r="W600" t="s">
        <v>198</v>
      </c>
    </row>
    <row r="601" spans="1:23" x14ac:dyDescent="0.3">
      <c r="A601" t="s">
        <v>29</v>
      </c>
      <c r="B601" t="s">
        <v>226</v>
      </c>
      <c r="C601" s="1" t="str">
        <f>HYPERLINK("https://new.land.naver.com/complexes/13276", "클릭")</f>
        <v>클릭</v>
      </c>
      <c r="D601">
        <v>1986</v>
      </c>
      <c r="E601">
        <v>9</v>
      </c>
      <c r="F601">
        <v>80</v>
      </c>
      <c r="G601">
        <v>46</v>
      </c>
      <c r="H601" t="s">
        <v>135</v>
      </c>
      <c r="I601" t="s">
        <v>235</v>
      </c>
      <c r="J601" t="s">
        <v>487</v>
      </c>
      <c r="K601">
        <v>29000</v>
      </c>
      <c r="R601">
        <v>18900</v>
      </c>
      <c r="S601" s="2">
        <v>1.534391534391534</v>
      </c>
      <c r="W601" t="s">
        <v>201</v>
      </c>
    </row>
    <row r="602" spans="1:23" x14ac:dyDescent="0.3">
      <c r="A602" t="s">
        <v>30</v>
      </c>
      <c r="B602" t="s">
        <v>214</v>
      </c>
      <c r="C602" s="1" t="str">
        <f>HYPERLINK("https://new.land.naver.com/complexes/8197", "클릭")</f>
        <v>클릭</v>
      </c>
      <c r="D602">
        <v>1985</v>
      </c>
      <c r="E602">
        <v>7</v>
      </c>
      <c r="F602">
        <v>120</v>
      </c>
      <c r="G602">
        <v>42</v>
      </c>
      <c r="H602" t="s">
        <v>135</v>
      </c>
      <c r="I602" t="s">
        <v>235</v>
      </c>
      <c r="J602" t="s">
        <v>484</v>
      </c>
      <c r="K602">
        <v>28500</v>
      </c>
      <c r="L602" t="s">
        <v>484</v>
      </c>
      <c r="M602">
        <v>15000</v>
      </c>
      <c r="N602">
        <v>13500</v>
      </c>
      <c r="O602" s="2">
        <v>0.52631578947368418</v>
      </c>
      <c r="R602">
        <v>20700</v>
      </c>
      <c r="S602" s="2">
        <v>1.376811594202898</v>
      </c>
      <c r="W602" t="s">
        <v>198</v>
      </c>
    </row>
    <row r="603" spans="1:23" x14ac:dyDescent="0.3">
      <c r="A603" t="s">
        <v>31</v>
      </c>
      <c r="B603" t="s">
        <v>442</v>
      </c>
      <c r="C603" s="1" t="str">
        <f>HYPERLINK("https://new.land.naver.com/complexes/12997", "클릭")</f>
        <v>클릭</v>
      </c>
      <c r="D603">
        <v>1982</v>
      </c>
      <c r="E603">
        <v>9</v>
      </c>
      <c r="F603">
        <v>30</v>
      </c>
      <c r="G603">
        <v>51</v>
      </c>
      <c r="H603" t="s">
        <v>135</v>
      </c>
      <c r="I603" t="s">
        <v>138</v>
      </c>
      <c r="J603" t="s">
        <v>238</v>
      </c>
      <c r="K603">
        <v>28500</v>
      </c>
      <c r="R603">
        <v>17600</v>
      </c>
      <c r="S603" s="2">
        <v>1.6193181818181821</v>
      </c>
      <c r="W603" t="s">
        <v>198</v>
      </c>
    </row>
    <row r="604" spans="1:23" x14ac:dyDescent="0.3">
      <c r="A604" t="s">
        <v>31</v>
      </c>
      <c r="B604" t="s">
        <v>320</v>
      </c>
      <c r="C604" s="1" t="str">
        <f>HYPERLINK("https://new.land.naver.com/complexes/122827", "클릭")</f>
        <v>클릭</v>
      </c>
      <c r="D604">
        <v>2018</v>
      </c>
      <c r="E604">
        <v>6</v>
      </c>
      <c r="F604">
        <v>27</v>
      </c>
      <c r="G604">
        <v>49</v>
      </c>
      <c r="H604" t="s">
        <v>135</v>
      </c>
      <c r="I604" t="s">
        <v>138</v>
      </c>
      <c r="J604" t="s">
        <v>466</v>
      </c>
      <c r="K604">
        <v>28000</v>
      </c>
      <c r="W604" t="s">
        <v>198</v>
      </c>
    </row>
    <row r="605" spans="1:23" x14ac:dyDescent="0.3">
      <c r="A605" t="s">
        <v>28</v>
      </c>
      <c r="B605" t="s">
        <v>440</v>
      </c>
      <c r="C605" s="1" t="str">
        <f>HYPERLINK("https://new.land.naver.com/complexes/2032", "클릭")</f>
        <v>클릭</v>
      </c>
      <c r="D605">
        <v>1984</v>
      </c>
      <c r="E605">
        <v>12</v>
      </c>
      <c r="F605">
        <v>100</v>
      </c>
      <c r="G605">
        <v>44</v>
      </c>
      <c r="H605" t="s">
        <v>135</v>
      </c>
      <c r="I605" t="s">
        <v>138</v>
      </c>
      <c r="J605" t="s">
        <v>501</v>
      </c>
      <c r="K605">
        <v>28000</v>
      </c>
      <c r="L605" t="s">
        <v>501</v>
      </c>
      <c r="M605">
        <v>14000</v>
      </c>
      <c r="N605">
        <v>14000</v>
      </c>
      <c r="O605" s="2">
        <v>0.5</v>
      </c>
      <c r="R605">
        <v>18000</v>
      </c>
      <c r="S605" s="2">
        <v>1.555555555555556</v>
      </c>
      <c r="W605" t="s">
        <v>198</v>
      </c>
    </row>
    <row r="606" spans="1:23" x14ac:dyDescent="0.3">
      <c r="A606" t="s">
        <v>28</v>
      </c>
      <c r="B606" t="s">
        <v>443</v>
      </c>
      <c r="C606" s="1" t="str">
        <f>HYPERLINK("https://new.land.naver.com/complexes/2031", "클릭")</f>
        <v>클릭</v>
      </c>
      <c r="D606">
        <v>1982</v>
      </c>
      <c r="E606">
        <v>12</v>
      </c>
      <c r="F606">
        <v>30</v>
      </c>
      <c r="G606">
        <v>50</v>
      </c>
      <c r="H606" t="s">
        <v>135</v>
      </c>
      <c r="I606" t="s">
        <v>138</v>
      </c>
      <c r="J606" t="s">
        <v>461</v>
      </c>
      <c r="K606">
        <v>28000</v>
      </c>
      <c r="L606" t="s">
        <v>461</v>
      </c>
      <c r="M606">
        <v>18000</v>
      </c>
      <c r="N606">
        <v>10000</v>
      </c>
      <c r="O606" s="2">
        <v>0.6428571428571429</v>
      </c>
      <c r="R606">
        <v>15900</v>
      </c>
      <c r="S606" s="2">
        <v>1.7610062893081759</v>
      </c>
      <c r="W606" t="s">
        <v>198</v>
      </c>
    </row>
    <row r="607" spans="1:23" x14ac:dyDescent="0.3">
      <c r="A607" t="s">
        <v>31</v>
      </c>
      <c r="B607" t="s">
        <v>220</v>
      </c>
      <c r="C607" s="1" t="str">
        <f>HYPERLINK("https://new.land.naver.com/complexes/1992", "클릭")</f>
        <v>클릭</v>
      </c>
      <c r="D607">
        <v>1993</v>
      </c>
      <c r="E607">
        <v>11</v>
      </c>
      <c r="F607">
        <v>3227</v>
      </c>
      <c r="G607">
        <v>28</v>
      </c>
      <c r="H607" t="s">
        <v>136</v>
      </c>
      <c r="I607" t="s">
        <v>236</v>
      </c>
      <c r="J607" t="s">
        <v>502</v>
      </c>
      <c r="K607">
        <v>27500</v>
      </c>
      <c r="L607" t="s">
        <v>502</v>
      </c>
      <c r="M607">
        <v>13100</v>
      </c>
      <c r="N607">
        <v>14400</v>
      </c>
      <c r="O607" s="2">
        <v>0.47636363636363638</v>
      </c>
      <c r="R607">
        <v>17500</v>
      </c>
      <c r="S607" s="2">
        <v>1.571428571428571</v>
      </c>
      <c r="W607" t="s">
        <v>198</v>
      </c>
    </row>
    <row r="608" spans="1:23" x14ac:dyDescent="0.3">
      <c r="A608" t="s">
        <v>28</v>
      </c>
      <c r="B608" t="s">
        <v>444</v>
      </c>
      <c r="C608" s="1" t="str">
        <f>HYPERLINK("https://new.land.naver.com/complexes/113140", "클릭")</f>
        <v>클릭</v>
      </c>
      <c r="D608">
        <v>2016</v>
      </c>
      <c r="E608">
        <v>4</v>
      </c>
      <c r="F608">
        <v>16</v>
      </c>
      <c r="G608">
        <v>49</v>
      </c>
      <c r="H608" t="s">
        <v>135</v>
      </c>
      <c r="I608" t="s">
        <v>236</v>
      </c>
      <c r="J608" t="s">
        <v>384</v>
      </c>
      <c r="K608">
        <v>27500</v>
      </c>
      <c r="L608" t="s">
        <v>384</v>
      </c>
      <c r="M608">
        <v>25000</v>
      </c>
      <c r="N608">
        <v>2500</v>
      </c>
      <c r="O608" s="2">
        <v>0.90909090909090906</v>
      </c>
      <c r="W608" t="s">
        <v>198</v>
      </c>
    </row>
    <row r="609" spans="1:23" x14ac:dyDescent="0.3">
      <c r="A609" t="s">
        <v>28</v>
      </c>
      <c r="B609" t="s">
        <v>318</v>
      </c>
      <c r="C609" s="1" t="str">
        <f>HYPERLINK("https://new.land.naver.com/complexes/2040", "클릭")</f>
        <v>클릭</v>
      </c>
      <c r="D609">
        <v>1984</v>
      </c>
      <c r="E609">
        <v>12</v>
      </c>
      <c r="F609">
        <v>190</v>
      </c>
      <c r="G609">
        <v>53</v>
      </c>
      <c r="H609" t="s">
        <v>135</v>
      </c>
      <c r="I609" t="s">
        <v>138</v>
      </c>
      <c r="J609" t="s">
        <v>485</v>
      </c>
      <c r="K609">
        <v>27000</v>
      </c>
      <c r="L609" t="s">
        <v>485</v>
      </c>
      <c r="M609">
        <v>14000</v>
      </c>
      <c r="N609">
        <v>13000</v>
      </c>
      <c r="O609" s="2">
        <v>0.51851851851851849</v>
      </c>
      <c r="R609">
        <v>21000</v>
      </c>
      <c r="S609" s="2">
        <v>1.285714285714286</v>
      </c>
      <c r="W609" t="s">
        <v>198</v>
      </c>
    </row>
    <row r="610" spans="1:23" x14ac:dyDescent="0.3">
      <c r="A610" t="s">
        <v>28</v>
      </c>
      <c r="B610" t="s">
        <v>431</v>
      </c>
      <c r="C610" s="1" t="str">
        <f>HYPERLINK("https://new.land.naver.com/complexes/9821", "클릭")</f>
        <v>클릭</v>
      </c>
      <c r="D610">
        <v>1983</v>
      </c>
      <c r="E610">
        <v>11</v>
      </c>
      <c r="F610">
        <v>49</v>
      </c>
      <c r="G610">
        <v>37</v>
      </c>
      <c r="H610" t="s">
        <v>135</v>
      </c>
      <c r="I610" t="s">
        <v>236</v>
      </c>
      <c r="J610" t="s">
        <v>503</v>
      </c>
      <c r="K610">
        <v>25000</v>
      </c>
      <c r="L610" t="s">
        <v>503</v>
      </c>
      <c r="M610">
        <v>12000</v>
      </c>
      <c r="N610">
        <v>13000</v>
      </c>
      <c r="O610" s="2">
        <v>0.48</v>
      </c>
      <c r="R610">
        <v>12400</v>
      </c>
      <c r="S610" s="2">
        <v>2.0161290322580649</v>
      </c>
      <c r="W610" t="s">
        <v>198</v>
      </c>
    </row>
    <row r="611" spans="1:23" x14ac:dyDescent="0.3">
      <c r="A611" t="s">
        <v>28</v>
      </c>
      <c r="B611" t="s">
        <v>231</v>
      </c>
      <c r="C611" s="1" t="str">
        <f>HYPERLINK("https://new.land.naver.com/complexes/11636", "클릭")</f>
        <v>클릭</v>
      </c>
      <c r="D611">
        <v>1988</v>
      </c>
      <c r="E611">
        <v>3</v>
      </c>
      <c r="F611">
        <v>75</v>
      </c>
      <c r="G611">
        <v>42</v>
      </c>
      <c r="H611" t="s">
        <v>135</v>
      </c>
      <c r="I611" t="s">
        <v>235</v>
      </c>
      <c r="J611" t="s">
        <v>484</v>
      </c>
      <c r="K611">
        <v>25000</v>
      </c>
      <c r="L611" t="s">
        <v>484</v>
      </c>
      <c r="M611">
        <v>16000</v>
      </c>
      <c r="N611">
        <v>9000</v>
      </c>
      <c r="O611" s="2">
        <v>0.64</v>
      </c>
      <c r="R611">
        <v>15900</v>
      </c>
      <c r="S611" s="2">
        <v>1.5723270440251571</v>
      </c>
      <c r="W611" t="s">
        <v>198</v>
      </c>
    </row>
    <row r="612" spans="1:23" x14ac:dyDescent="0.3">
      <c r="A612" t="s">
        <v>31</v>
      </c>
      <c r="B612" t="s">
        <v>102</v>
      </c>
      <c r="C612" s="1" t="str">
        <f>HYPERLINK("https://new.land.naver.com/complexes/3080", "클릭")</f>
        <v>클릭</v>
      </c>
      <c r="D612">
        <v>2003</v>
      </c>
      <c r="E612">
        <v>3</v>
      </c>
      <c r="F612">
        <v>2044</v>
      </c>
      <c r="G612">
        <v>39</v>
      </c>
      <c r="H612" t="s">
        <v>136</v>
      </c>
      <c r="I612" t="s">
        <v>236</v>
      </c>
      <c r="J612" t="s">
        <v>485</v>
      </c>
      <c r="K612">
        <v>24200</v>
      </c>
      <c r="L612" t="s">
        <v>485</v>
      </c>
      <c r="M612">
        <v>16000</v>
      </c>
      <c r="N612">
        <v>8200</v>
      </c>
      <c r="O612" s="2">
        <v>0.66115702479338845</v>
      </c>
      <c r="R612">
        <v>17300</v>
      </c>
      <c r="S612" s="2">
        <v>1.398843930635838</v>
      </c>
      <c r="W612" t="s">
        <v>198</v>
      </c>
    </row>
    <row r="613" spans="1:23" x14ac:dyDescent="0.3">
      <c r="A613" t="s">
        <v>28</v>
      </c>
      <c r="B613" t="s">
        <v>103</v>
      </c>
      <c r="C613" s="1" t="str">
        <f>HYPERLINK("https://new.land.naver.com/complexes/8812", "클릭")</f>
        <v>클릭</v>
      </c>
      <c r="D613">
        <v>2001</v>
      </c>
      <c r="E613">
        <v>4</v>
      </c>
      <c r="F613">
        <v>136</v>
      </c>
      <c r="G613">
        <v>46</v>
      </c>
      <c r="H613" t="s">
        <v>135</v>
      </c>
      <c r="I613" t="s">
        <v>236</v>
      </c>
      <c r="J613" t="s">
        <v>371</v>
      </c>
      <c r="K613">
        <v>23000</v>
      </c>
      <c r="L613" t="s">
        <v>371</v>
      </c>
      <c r="M613">
        <v>16000</v>
      </c>
      <c r="N613">
        <v>7000</v>
      </c>
      <c r="O613" s="2">
        <v>0.69565217391304346</v>
      </c>
      <c r="R613">
        <v>13200</v>
      </c>
      <c r="S613" s="2">
        <v>1.742424242424242</v>
      </c>
      <c r="W613" t="s">
        <v>198</v>
      </c>
    </row>
    <row r="614" spans="1:23" x14ac:dyDescent="0.3">
      <c r="A614" t="s">
        <v>28</v>
      </c>
      <c r="B614" t="s">
        <v>445</v>
      </c>
      <c r="C614" s="1" t="str">
        <f>HYPERLINK("https://new.land.naver.com/complexes/8606", "클릭")</f>
        <v>클릭</v>
      </c>
      <c r="D614">
        <v>1984</v>
      </c>
      <c r="E614">
        <v>3</v>
      </c>
      <c r="F614">
        <v>102</v>
      </c>
      <c r="G614">
        <v>52</v>
      </c>
      <c r="H614" t="s">
        <v>135</v>
      </c>
      <c r="I614" t="s">
        <v>138</v>
      </c>
      <c r="J614" t="s">
        <v>371</v>
      </c>
      <c r="K614">
        <v>23000</v>
      </c>
      <c r="L614" t="s">
        <v>371</v>
      </c>
      <c r="M614">
        <v>10000</v>
      </c>
      <c r="N614">
        <v>13000</v>
      </c>
      <c r="O614" s="2">
        <v>0.43478260869565222</v>
      </c>
      <c r="W614" t="s">
        <v>198</v>
      </c>
    </row>
    <row r="615" spans="1:23" x14ac:dyDescent="0.3">
      <c r="A615" t="s">
        <v>28</v>
      </c>
      <c r="B615" t="s">
        <v>103</v>
      </c>
      <c r="C615" s="1" t="str">
        <f>HYPERLINK("https://new.land.naver.com/complexes/8812", "클릭")</f>
        <v>클릭</v>
      </c>
      <c r="D615">
        <v>2001</v>
      </c>
      <c r="E615">
        <v>4</v>
      </c>
      <c r="F615">
        <v>136</v>
      </c>
      <c r="G615">
        <v>36</v>
      </c>
      <c r="H615" t="s">
        <v>135</v>
      </c>
      <c r="I615" t="s">
        <v>236</v>
      </c>
      <c r="J615" t="s">
        <v>484</v>
      </c>
      <c r="K615">
        <v>20000</v>
      </c>
      <c r="R615">
        <v>11500</v>
      </c>
      <c r="S615" s="2">
        <v>1.7391304347826091</v>
      </c>
      <c r="W615" t="s">
        <v>198</v>
      </c>
    </row>
    <row r="616" spans="1:23" x14ac:dyDescent="0.3">
      <c r="A616" t="s">
        <v>29</v>
      </c>
      <c r="B616" t="s">
        <v>446</v>
      </c>
      <c r="C616" s="1" t="str">
        <f>HYPERLINK("https://new.land.naver.com/complexes/112875", "클릭")</f>
        <v>클릭</v>
      </c>
      <c r="D616">
        <v>2016</v>
      </c>
      <c r="E616">
        <v>6</v>
      </c>
      <c r="F616">
        <v>28</v>
      </c>
      <c r="G616">
        <v>25</v>
      </c>
      <c r="J616" t="s">
        <v>504</v>
      </c>
      <c r="K616">
        <v>16500</v>
      </c>
      <c r="W616" t="s">
        <v>291</v>
      </c>
    </row>
    <row r="617" spans="1:23" x14ac:dyDescent="0.3">
      <c r="A617" t="s">
        <v>29</v>
      </c>
      <c r="B617" t="s">
        <v>446</v>
      </c>
      <c r="C617" s="1" t="str">
        <f>HYPERLINK("https://new.land.naver.com/complexes/112875", "클릭")</f>
        <v>클릭</v>
      </c>
      <c r="D617">
        <v>2016</v>
      </c>
      <c r="E617">
        <v>6</v>
      </c>
      <c r="F617">
        <v>28</v>
      </c>
      <c r="G617">
        <v>27</v>
      </c>
      <c r="J617" t="s">
        <v>505</v>
      </c>
      <c r="K617">
        <v>15000</v>
      </c>
      <c r="W617" t="s">
        <v>527</v>
      </c>
    </row>
    <row r="618" spans="1:23" x14ac:dyDescent="0.3">
      <c r="A618" t="s">
        <v>28</v>
      </c>
      <c r="B618" t="s">
        <v>447</v>
      </c>
      <c r="C618" s="1" t="str">
        <f>HYPERLINK("https://new.land.naver.com/complexes/115416", "클릭")</f>
        <v>클릭</v>
      </c>
      <c r="D618">
        <v>2018</v>
      </c>
      <c r="E618">
        <v>2</v>
      </c>
      <c r="F618">
        <v>122</v>
      </c>
      <c r="G618">
        <v>16</v>
      </c>
      <c r="H618" t="s">
        <v>136</v>
      </c>
      <c r="I618" t="s">
        <v>236</v>
      </c>
      <c r="J618" t="s">
        <v>506</v>
      </c>
      <c r="K618">
        <v>14500</v>
      </c>
      <c r="L618" t="s">
        <v>506</v>
      </c>
      <c r="M618">
        <v>12500</v>
      </c>
      <c r="N618">
        <v>2000</v>
      </c>
      <c r="O618" s="2">
        <v>0.86206896551724133</v>
      </c>
      <c r="R618">
        <v>9190</v>
      </c>
      <c r="S618" s="2">
        <v>1.577801958650707</v>
      </c>
      <c r="W618" t="s">
        <v>198</v>
      </c>
    </row>
    <row r="619" spans="1:23" x14ac:dyDescent="0.3">
      <c r="A619" t="s">
        <v>28</v>
      </c>
      <c r="B619" t="s">
        <v>448</v>
      </c>
      <c r="C619" s="1" t="str">
        <f>HYPERLINK("https://new.land.naver.com/complexes/112002", "클릭")</f>
        <v>클릭</v>
      </c>
      <c r="D619">
        <v>2013</v>
      </c>
      <c r="E619">
        <v>12</v>
      </c>
      <c r="F619">
        <v>72</v>
      </c>
      <c r="G619">
        <v>15</v>
      </c>
      <c r="H619" t="s">
        <v>136</v>
      </c>
      <c r="I619" t="s">
        <v>236</v>
      </c>
      <c r="J619" t="s">
        <v>507</v>
      </c>
      <c r="K619">
        <v>14300</v>
      </c>
      <c r="R619">
        <v>7930</v>
      </c>
      <c r="S619" s="2">
        <v>1.8032786885245899</v>
      </c>
      <c r="W619" t="s">
        <v>198</v>
      </c>
    </row>
    <row r="620" spans="1:23" x14ac:dyDescent="0.3">
      <c r="A620" t="s">
        <v>29</v>
      </c>
      <c r="B620" t="s">
        <v>449</v>
      </c>
      <c r="C620" s="1" t="str">
        <f>HYPERLINK("https://new.land.naver.com/complexes/112467", "클릭")</f>
        <v>클릭</v>
      </c>
      <c r="D620">
        <v>2014</v>
      </c>
      <c r="E620">
        <v>11</v>
      </c>
      <c r="F620">
        <v>90</v>
      </c>
      <c r="G620">
        <v>14</v>
      </c>
      <c r="H620" t="s">
        <v>136</v>
      </c>
      <c r="I620" t="s">
        <v>236</v>
      </c>
      <c r="J620" t="s">
        <v>508</v>
      </c>
      <c r="K620">
        <v>13000</v>
      </c>
      <c r="W620" t="s">
        <v>388</v>
      </c>
    </row>
    <row r="621" spans="1:23" x14ac:dyDescent="0.3">
      <c r="A621" t="s">
        <v>28</v>
      </c>
      <c r="B621" t="s">
        <v>448</v>
      </c>
      <c r="C621" s="1" t="str">
        <f>HYPERLINK("https://new.land.naver.com/complexes/112002", "클릭")</f>
        <v>클릭</v>
      </c>
      <c r="D621">
        <v>2013</v>
      </c>
      <c r="E621">
        <v>12</v>
      </c>
      <c r="F621">
        <v>72</v>
      </c>
      <c r="G621">
        <v>16</v>
      </c>
      <c r="J621" t="s">
        <v>509</v>
      </c>
      <c r="K621">
        <v>12500</v>
      </c>
      <c r="W621" t="s">
        <v>528</v>
      </c>
    </row>
    <row r="622" spans="1:23" x14ac:dyDescent="0.3">
      <c r="A622" t="s">
        <v>29</v>
      </c>
      <c r="B622" t="s">
        <v>449</v>
      </c>
      <c r="C622" s="1" t="str">
        <f>HYPERLINK("https://new.land.naver.com/complexes/112467", "클릭")</f>
        <v>클릭</v>
      </c>
      <c r="D622">
        <v>2014</v>
      </c>
      <c r="E622">
        <v>11</v>
      </c>
      <c r="F622">
        <v>90</v>
      </c>
      <c r="G622">
        <v>13</v>
      </c>
      <c r="H622" t="s">
        <v>136</v>
      </c>
      <c r="I622" t="s">
        <v>236</v>
      </c>
      <c r="J622" t="s">
        <v>510</v>
      </c>
      <c r="K622">
        <v>11500</v>
      </c>
      <c r="L622" t="s">
        <v>515</v>
      </c>
      <c r="M622">
        <v>9500</v>
      </c>
      <c r="N622">
        <v>2000</v>
      </c>
      <c r="O622" s="2">
        <v>0.82608695652173914</v>
      </c>
      <c r="W622" t="s">
        <v>198</v>
      </c>
    </row>
    <row r="623" spans="1:23" x14ac:dyDescent="0.3">
      <c r="A623" t="s">
        <v>28</v>
      </c>
      <c r="B623" t="s">
        <v>448</v>
      </c>
      <c r="C623" s="1" t="str">
        <f>HYPERLINK("https://new.land.naver.com/complexes/112002", "클릭")</f>
        <v>클릭</v>
      </c>
      <c r="D623">
        <v>2013</v>
      </c>
      <c r="E623">
        <v>12</v>
      </c>
      <c r="F623">
        <v>72</v>
      </c>
      <c r="G623">
        <v>12</v>
      </c>
      <c r="J623" t="s">
        <v>511</v>
      </c>
      <c r="K623">
        <v>11000</v>
      </c>
      <c r="W623" t="s">
        <v>411</v>
      </c>
    </row>
    <row r="624" spans="1:23" x14ac:dyDescent="0.3">
      <c r="A624" t="s">
        <v>28</v>
      </c>
      <c r="B624" t="s">
        <v>450</v>
      </c>
      <c r="C624" s="1" t="str">
        <f>HYPERLINK("https://new.land.naver.com/complexes/122261", "클릭")</f>
        <v>클릭</v>
      </c>
      <c r="D624">
        <v>2014</v>
      </c>
      <c r="E624">
        <v>3</v>
      </c>
      <c r="F624">
        <v>95</v>
      </c>
      <c r="G624">
        <v>18</v>
      </c>
      <c r="H624" t="s">
        <v>136</v>
      </c>
      <c r="I624" t="s">
        <v>236</v>
      </c>
      <c r="J624" t="s">
        <v>512</v>
      </c>
      <c r="K624">
        <v>9000</v>
      </c>
      <c r="L624" t="s">
        <v>512</v>
      </c>
      <c r="M624">
        <v>8500</v>
      </c>
      <c r="N624">
        <v>500</v>
      </c>
      <c r="O624" s="2">
        <v>0.94444444444444442</v>
      </c>
      <c r="W624" t="s">
        <v>198</v>
      </c>
    </row>
    <row r="625" spans="1:18" x14ac:dyDescent="0.3">
      <c r="A625" t="s">
        <v>29</v>
      </c>
      <c r="B625" t="s">
        <v>332</v>
      </c>
      <c r="C625" s="1" t="str">
        <f>HYPERLINK("https://new.land.naver.com/complexes/14854", "클릭")</f>
        <v>클릭</v>
      </c>
      <c r="D625">
        <v>1985</v>
      </c>
      <c r="E625">
        <v>8</v>
      </c>
      <c r="F625">
        <v>50</v>
      </c>
      <c r="G625">
        <v>63</v>
      </c>
      <c r="L625" t="s">
        <v>266</v>
      </c>
      <c r="M625">
        <v>25000</v>
      </c>
    </row>
    <row r="626" spans="1:18" x14ac:dyDescent="0.3">
      <c r="A626" t="s">
        <v>29</v>
      </c>
      <c r="B626" t="s">
        <v>332</v>
      </c>
      <c r="C626" s="1" t="str">
        <f>HYPERLINK("https://new.land.naver.com/complexes/14854", "클릭")</f>
        <v>클릭</v>
      </c>
      <c r="D626">
        <v>1985</v>
      </c>
      <c r="E626">
        <v>8</v>
      </c>
      <c r="F626">
        <v>50</v>
      </c>
      <c r="G626">
        <v>52</v>
      </c>
      <c r="H626" t="s">
        <v>135</v>
      </c>
      <c r="I626" t="s">
        <v>138</v>
      </c>
      <c r="L626" t="s">
        <v>385</v>
      </c>
      <c r="M626">
        <v>18000</v>
      </c>
    </row>
    <row r="627" spans="1:18" x14ac:dyDescent="0.3">
      <c r="A627" t="s">
        <v>31</v>
      </c>
      <c r="B627" t="s">
        <v>320</v>
      </c>
      <c r="C627" s="1" t="str">
        <f>HYPERLINK("https://new.land.naver.com/complexes/122827", "클릭")</f>
        <v>클릭</v>
      </c>
      <c r="D627">
        <v>2018</v>
      </c>
      <c r="E627">
        <v>6</v>
      </c>
      <c r="F627">
        <v>27</v>
      </c>
      <c r="G627">
        <v>56</v>
      </c>
      <c r="L627" t="s">
        <v>254</v>
      </c>
      <c r="M627">
        <v>25500</v>
      </c>
    </row>
    <row r="628" spans="1:18" x14ac:dyDescent="0.3">
      <c r="A628" t="s">
        <v>29</v>
      </c>
      <c r="B628" t="s">
        <v>306</v>
      </c>
      <c r="C628" s="1" t="str">
        <f>HYPERLINK("https://new.land.naver.com/complexes/123203", "클릭")</f>
        <v>클릭</v>
      </c>
      <c r="D628">
        <v>2018</v>
      </c>
      <c r="E628">
        <v>12</v>
      </c>
      <c r="F628">
        <v>9</v>
      </c>
      <c r="G628">
        <v>64</v>
      </c>
      <c r="H628" t="s">
        <v>135</v>
      </c>
      <c r="I628" t="s">
        <v>137</v>
      </c>
      <c r="L628" t="s">
        <v>382</v>
      </c>
      <c r="M628">
        <v>35000</v>
      </c>
    </row>
    <row r="629" spans="1:18" x14ac:dyDescent="0.3">
      <c r="A629" t="s">
        <v>29</v>
      </c>
      <c r="B629" t="s">
        <v>333</v>
      </c>
      <c r="C629" s="1" t="str">
        <f>HYPERLINK("https://new.land.naver.com/complexes/134034", "클릭")</f>
        <v>클릭</v>
      </c>
      <c r="D629">
        <v>2020</v>
      </c>
      <c r="E629">
        <v>7</v>
      </c>
      <c r="F629">
        <v>10</v>
      </c>
      <c r="G629">
        <v>48</v>
      </c>
      <c r="L629" t="s">
        <v>516</v>
      </c>
      <c r="M629">
        <v>30000</v>
      </c>
    </row>
    <row r="630" spans="1:18" x14ac:dyDescent="0.3">
      <c r="A630" t="s">
        <v>29</v>
      </c>
      <c r="B630" t="s">
        <v>333</v>
      </c>
      <c r="C630" s="1" t="str">
        <f>HYPERLINK("https://new.land.naver.com/complexes/134034", "클릭")</f>
        <v>클릭</v>
      </c>
      <c r="D630">
        <v>2020</v>
      </c>
      <c r="E630">
        <v>7</v>
      </c>
      <c r="F630">
        <v>10</v>
      </c>
      <c r="G630">
        <v>79</v>
      </c>
      <c r="L630" t="s">
        <v>383</v>
      </c>
      <c r="M630">
        <v>30000</v>
      </c>
    </row>
    <row r="631" spans="1:18" x14ac:dyDescent="0.3">
      <c r="A631" t="s">
        <v>28</v>
      </c>
      <c r="B631" t="s">
        <v>209</v>
      </c>
      <c r="C631" s="1" t="str">
        <f>HYPERLINK("https://new.land.naver.com/complexes/10777", "클릭")</f>
        <v>클릭</v>
      </c>
      <c r="D631">
        <v>1988</v>
      </c>
      <c r="E631">
        <v>11</v>
      </c>
      <c r="F631">
        <v>45</v>
      </c>
      <c r="G631">
        <v>30</v>
      </c>
      <c r="H631" t="s">
        <v>135</v>
      </c>
      <c r="I631" t="s">
        <v>235</v>
      </c>
      <c r="L631" t="s">
        <v>517</v>
      </c>
      <c r="M631">
        <v>60000</v>
      </c>
    </row>
    <row r="632" spans="1:18" x14ac:dyDescent="0.3">
      <c r="A632" t="s">
        <v>31</v>
      </c>
      <c r="B632" t="s">
        <v>294</v>
      </c>
      <c r="C632" s="1" t="str">
        <f>HYPERLINK("https://new.land.naver.com/complexes/23569", "클릭")</f>
        <v>클릭</v>
      </c>
      <c r="D632">
        <v>2002</v>
      </c>
      <c r="E632">
        <v>12</v>
      </c>
      <c r="F632">
        <v>19</v>
      </c>
      <c r="G632">
        <v>75</v>
      </c>
      <c r="H632" t="s">
        <v>135</v>
      </c>
      <c r="I632" t="s">
        <v>137</v>
      </c>
      <c r="L632" t="s">
        <v>141</v>
      </c>
      <c r="M632">
        <v>30000</v>
      </c>
      <c r="R632">
        <v>42900</v>
      </c>
    </row>
    <row r="633" spans="1:18" x14ac:dyDescent="0.3">
      <c r="A633" t="s">
        <v>28</v>
      </c>
      <c r="B633" t="s">
        <v>451</v>
      </c>
      <c r="C633" s="1" t="str">
        <f>HYPERLINK("https://new.land.naver.com/complexes/108673", "클릭")</f>
        <v>클릭</v>
      </c>
      <c r="D633">
        <v>2014</v>
      </c>
      <c r="E633">
        <v>4</v>
      </c>
      <c r="F633">
        <v>63</v>
      </c>
      <c r="G633">
        <v>13</v>
      </c>
      <c r="H633" t="s">
        <v>136</v>
      </c>
      <c r="I633" t="s">
        <v>236</v>
      </c>
      <c r="L633" t="s">
        <v>518</v>
      </c>
      <c r="M633">
        <v>7000</v>
      </c>
      <c r="R633">
        <v>6060</v>
      </c>
    </row>
    <row r="634" spans="1:18" x14ac:dyDescent="0.3">
      <c r="A634" t="s">
        <v>28</v>
      </c>
      <c r="B634" t="s">
        <v>451</v>
      </c>
      <c r="C634" s="1" t="str">
        <f>HYPERLINK("https://new.land.naver.com/complexes/108673", "클릭")</f>
        <v>클릭</v>
      </c>
      <c r="D634">
        <v>2014</v>
      </c>
      <c r="E634">
        <v>4</v>
      </c>
      <c r="F634">
        <v>63</v>
      </c>
      <c r="G634">
        <v>12</v>
      </c>
      <c r="L634" t="s">
        <v>519</v>
      </c>
      <c r="M634">
        <v>8900</v>
      </c>
    </row>
    <row r="635" spans="1:18" x14ac:dyDescent="0.3">
      <c r="A635" t="s">
        <v>29</v>
      </c>
      <c r="B635" t="s">
        <v>133</v>
      </c>
      <c r="C635" s="1" t="str">
        <f>HYPERLINK("https://new.land.naver.com/complexes/23137", "클릭")</f>
        <v>클릭</v>
      </c>
      <c r="D635">
        <v>2002</v>
      </c>
      <c r="E635">
        <v>5</v>
      </c>
      <c r="F635">
        <v>19</v>
      </c>
      <c r="G635">
        <v>84</v>
      </c>
      <c r="H635" t="s">
        <v>135</v>
      </c>
      <c r="I635" t="s">
        <v>137</v>
      </c>
      <c r="L635" t="s">
        <v>162</v>
      </c>
      <c r="M635">
        <v>35000</v>
      </c>
      <c r="P635">
        <v>40000</v>
      </c>
    </row>
    <row r="636" spans="1:18" x14ac:dyDescent="0.3">
      <c r="A636" t="s">
        <v>31</v>
      </c>
      <c r="B636" t="s">
        <v>309</v>
      </c>
      <c r="C636" s="1" t="str">
        <f>HYPERLINK("https://new.land.naver.com/complexes/25744", "클릭")</f>
        <v>클릭</v>
      </c>
      <c r="D636">
        <v>1988</v>
      </c>
      <c r="E636">
        <v>4</v>
      </c>
      <c r="F636">
        <v>40</v>
      </c>
      <c r="G636">
        <v>49</v>
      </c>
      <c r="L636" t="s">
        <v>461</v>
      </c>
      <c r="M636">
        <v>18000</v>
      </c>
    </row>
    <row r="637" spans="1:18" x14ac:dyDescent="0.3">
      <c r="A637" t="s">
        <v>29</v>
      </c>
      <c r="B637" t="s">
        <v>298</v>
      </c>
      <c r="C637" s="1" t="str">
        <f>HYPERLINK("https://new.land.naver.com/complexes/23128", "클릭")</f>
        <v>클릭</v>
      </c>
      <c r="D637">
        <v>1979</v>
      </c>
      <c r="E637">
        <v>11</v>
      </c>
      <c r="F637">
        <v>48</v>
      </c>
      <c r="G637">
        <v>75</v>
      </c>
      <c r="H637" t="s">
        <v>135</v>
      </c>
      <c r="I637" t="s">
        <v>137</v>
      </c>
      <c r="L637" t="s">
        <v>263</v>
      </c>
      <c r="M637">
        <v>24000</v>
      </c>
    </row>
    <row r="638" spans="1:18" x14ac:dyDescent="0.3">
      <c r="A638" t="s">
        <v>29</v>
      </c>
      <c r="B638" t="s">
        <v>298</v>
      </c>
      <c r="C638" s="1" t="str">
        <f>HYPERLINK("https://new.land.naver.com/complexes/23128", "클릭")</f>
        <v>클릭</v>
      </c>
      <c r="D638">
        <v>1979</v>
      </c>
      <c r="E638">
        <v>11</v>
      </c>
      <c r="F638">
        <v>48</v>
      </c>
      <c r="G638">
        <v>64</v>
      </c>
      <c r="L638" t="s">
        <v>384</v>
      </c>
      <c r="M638">
        <v>25000</v>
      </c>
    </row>
    <row r="639" spans="1:18" x14ac:dyDescent="0.3">
      <c r="A639" t="s">
        <v>29</v>
      </c>
      <c r="B639" t="s">
        <v>298</v>
      </c>
      <c r="C639" s="1" t="str">
        <f>HYPERLINK("https://new.land.naver.com/complexes/23128", "클릭")</f>
        <v>클릭</v>
      </c>
      <c r="D639">
        <v>1979</v>
      </c>
      <c r="E639">
        <v>11</v>
      </c>
      <c r="F639">
        <v>48</v>
      </c>
      <c r="G639">
        <v>62</v>
      </c>
      <c r="H639" t="s">
        <v>135</v>
      </c>
      <c r="I639" t="s">
        <v>137</v>
      </c>
      <c r="L639" t="s">
        <v>385</v>
      </c>
      <c r="M639">
        <v>20000</v>
      </c>
      <c r="R639">
        <v>26200</v>
      </c>
    </row>
    <row r="640" spans="1:18" x14ac:dyDescent="0.3">
      <c r="A640" t="s">
        <v>31</v>
      </c>
      <c r="B640" t="s">
        <v>452</v>
      </c>
      <c r="C640" s="1" t="str">
        <f>HYPERLINK("https://new.land.naver.com/complexes/108176", "클릭")</f>
        <v>클릭</v>
      </c>
      <c r="D640">
        <v>1983</v>
      </c>
      <c r="E640">
        <v>11</v>
      </c>
      <c r="F640">
        <v>19</v>
      </c>
      <c r="G640">
        <v>54</v>
      </c>
      <c r="H640" t="s">
        <v>135</v>
      </c>
      <c r="I640" t="s">
        <v>138</v>
      </c>
      <c r="L640" t="s">
        <v>371</v>
      </c>
      <c r="M640">
        <v>13000</v>
      </c>
      <c r="R640">
        <v>27100</v>
      </c>
    </row>
    <row r="641" spans="1:18" x14ac:dyDescent="0.3">
      <c r="A641" t="s">
        <v>29</v>
      </c>
      <c r="B641" t="s">
        <v>436</v>
      </c>
      <c r="C641" s="1" t="str">
        <f>HYPERLINK("https://new.land.naver.com/complexes/13303", "클릭")</f>
        <v>클릭</v>
      </c>
      <c r="D641">
        <v>1987</v>
      </c>
      <c r="E641">
        <v>9</v>
      </c>
      <c r="F641">
        <v>40</v>
      </c>
      <c r="G641">
        <v>49</v>
      </c>
      <c r="L641" t="s">
        <v>461</v>
      </c>
      <c r="M641">
        <v>15000</v>
      </c>
    </row>
    <row r="642" spans="1:18" x14ac:dyDescent="0.3">
      <c r="A642" t="s">
        <v>28</v>
      </c>
      <c r="B642" t="s">
        <v>334</v>
      </c>
      <c r="C642" s="1" t="str">
        <f>HYPERLINK("https://new.land.naver.com/complexes/1441", "클릭")</f>
        <v>클릭</v>
      </c>
      <c r="D642">
        <v>1993</v>
      </c>
      <c r="E642">
        <v>11</v>
      </c>
      <c r="F642">
        <v>1072</v>
      </c>
      <c r="G642">
        <v>82</v>
      </c>
      <c r="L642" t="s">
        <v>171</v>
      </c>
      <c r="M642">
        <v>43000</v>
      </c>
    </row>
    <row r="643" spans="1:18" x14ac:dyDescent="0.3">
      <c r="A643" t="s">
        <v>28</v>
      </c>
      <c r="B643" t="s">
        <v>229</v>
      </c>
      <c r="C643" s="1" t="str">
        <f>HYPERLINK("https://new.land.naver.com/complexes/120224", "클릭")</f>
        <v>클릭</v>
      </c>
      <c r="D643">
        <v>2017</v>
      </c>
      <c r="E643">
        <v>1</v>
      </c>
      <c r="F643">
        <v>24</v>
      </c>
      <c r="G643">
        <v>57</v>
      </c>
      <c r="L643" t="s">
        <v>279</v>
      </c>
      <c r="M643">
        <v>28000</v>
      </c>
      <c r="P643">
        <v>38000</v>
      </c>
    </row>
    <row r="644" spans="1:18" x14ac:dyDescent="0.3">
      <c r="A644" t="s">
        <v>29</v>
      </c>
      <c r="B644" t="s">
        <v>335</v>
      </c>
      <c r="C644" s="1" t="str">
        <f>HYPERLINK("https://new.land.naver.com/complexes/145391", "클릭")</f>
        <v>클릭</v>
      </c>
      <c r="D644">
        <v>1984</v>
      </c>
      <c r="E644">
        <v>12</v>
      </c>
      <c r="F644">
        <v>37</v>
      </c>
      <c r="G644">
        <v>61</v>
      </c>
      <c r="L644" t="s">
        <v>364</v>
      </c>
      <c r="M644">
        <v>19500</v>
      </c>
    </row>
    <row r="645" spans="1:18" x14ac:dyDescent="0.3">
      <c r="A645" t="s">
        <v>29</v>
      </c>
      <c r="B645" t="s">
        <v>134</v>
      </c>
      <c r="C645" s="1" t="str">
        <f>HYPERLINK("https://new.land.naver.com/complexes/23131", "클릭")</f>
        <v>클릭</v>
      </c>
      <c r="D645">
        <v>1998</v>
      </c>
      <c r="E645">
        <v>8</v>
      </c>
      <c r="F645">
        <v>18</v>
      </c>
      <c r="G645">
        <v>84</v>
      </c>
      <c r="L645" t="s">
        <v>163</v>
      </c>
      <c r="M645">
        <v>27000</v>
      </c>
      <c r="P645">
        <v>56000</v>
      </c>
    </row>
    <row r="646" spans="1:18" x14ac:dyDescent="0.3">
      <c r="A646" t="s">
        <v>31</v>
      </c>
      <c r="B646" t="s">
        <v>40</v>
      </c>
      <c r="C646" s="1" t="str">
        <f>HYPERLINK("https://new.land.naver.com/complexes/144023", "클릭")</f>
        <v>클릭</v>
      </c>
      <c r="D646">
        <v>2024</v>
      </c>
      <c r="E646">
        <v>6</v>
      </c>
      <c r="F646">
        <v>2739</v>
      </c>
      <c r="G646">
        <v>39</v>
      </c>
      <c r="H646" t="s">
        <v>135</v>
      </c>
      <c r="I646" t="s">
        <v>235</v>
      </c>
      <c r="L646" t="s">
        <v>485</v>
      </c>
      <c r="M646">
        <v>21000</v>
      </c>
    </row>
    <row r="647" spans="1:18" x14ac:dyDescent="0.3">
      <c r="A647" t="s">
        <v>28</v>
      </c>
      <c r="B647" t="s">
        <v>100</v>
      </c>
      <c r="C647" s="1" t="str">
        <f>HYPERLINK("https://new.land.naver.com/complexes/19662", "클릭")</f>
        <v>클릭</v>
      </c>
      <c r="D647">
        <v>2005</v>
      </c>
      <c r="E647">
        <v>9</v>
      </c>
      <c r="F647">
        <v>60</v>
      </c>
      <c r="G647">
        <v>69</v>
      </c>
      <c r="L647" t="s">
        <v>341</v>
      </c>
      <c r="M647">
        <v>30000</v>
      </c>
    </row>
    <row r="648" spans="1:18" x14ac:dyDescent="0.3">
      <c r="A648" t="s">
        <v>28</v>
      </c>
      <c r="B648" t="s">
        <v>107</v>
      </c>
      <c r="C648" s="1" t="str">
        <f>HYPERLINK("https://new.land.naver.com/complexes/19128", "클릭")</f>
        <v>클릭</v>
      </c>
      <c r="D648">
        <v>2005</v>
      </c>
      <c r="E648">
        <v>9</v>
      </c>
      <c r="F648">
        <v>83</v>
      </c>
      <c r="G648">
        <v>119</v>
      </c>
      <c r="H648" t="s">
        <v>135</v>
      </c>
      <c r="I648" t="s">
        <v>139</v>
      </c>
      <c r="L648" t="s">
        <v>621</v>
      </c>
      <c r="M648">
        <v>52000</v>
      </c>
      <c r="R648">
        <v>35800</v>
      </c>
    </row>
    <row r="649" spans="1:18" x14ac:dyDescent="0.3">
      <c r="A649" t="s">
        <v>28</v>
      </c>
      <c r="B649" t="s">
        <v>118</v>
      </c>
      <c r="C649" s="1" t="str">
        <f>HYPERLINK("https://new.land.naver.com/complexes/102095", "클릭")</f>
        <v>클릭</v>
      </c>
      <c r="D649">
        <v>2009</v>
      </c>
      <c r="E649">
        <v>12</v>
      </c>
      <c r="F649">
        <v>100</v>
      </c>
      <c r="G649">
        <v>75</v>
      </c>
      <c r="I649" t="s">
        <v>137</v>
      </c>
      <c r="L649" t="s">
        <v>171</v>
      </c>
      <c r="M649">
        <v>35000</v>
      </c>
    </row>
    <row r="650" spans="1:18" x14ac:dyDescent="0.3">
      <c r="A650" t="s">
        <v>28</v>
      </c>
      <c r="B650" t="s">
        <v>329</v>
      </c>
      <c r="C650" s="1" t="str">
        <f>HYPERLINK("https://new.land.naver.com/complexes/113693", "클릭")</f>
        <v>클릭</v>
      </c>
      <c r="D650">
        <v>2014</v>
      </c>
      <c r="E650">
        <v>12</v>
      </c>
      <c r="F650">
        <v>40</v>
      </c>
      <c r="G650">
        <v>74</v>
      </c>
      <c r="H650" t="s">
        <v>135</v>
      </c>
      <c r="I650" t="s">
        <v>235</v>
      </c>
      <c r="L650" t="s">
        <v>383</v>
      </c>
      <c r="M650">
        <v>23800</v>
      </c>
    </row>
    <row r="651" spans="1:18" x14ac:dyDescent="0.3">
      <c r="A651" t="s">
        <v>28</v>
      </c>
      <c r="B651" t="s">
        <v>447</v>
      </c>
      <c r="C651" s="1" t="str">
        <f>HYPERLINK("https://new.land.naver.com/complexes/115416", "클릭")</f>
        <v>클릭</v>
      </c>
      <c r="D651">
        <v>2018</v>
      </c>
      <c r="E651">
        <v>2</v>
      </c>
      <c r="F651">
        <v>122</v>
      </c>
      <c r="G651">
        <v>32</v>
      </c>
      <c r="L651" t="s">
        <v>520</v>
      </c>
      <c r="M651">
        <v>24000</v>
      </c>
    </row>
    <row r="652" spans="1:18" x14ac:dyDescent="0.3">
      <c r="A652" t="s">
        <v>29</v>
      </c>
      <c r="B652" t="s">
        <v>308</v>
      </c>
      <c r="C652" s="1" t="str">
        <f>HYPERLINK("https://new.land.naver.com/complexes/135882", "클릭")</f>
        <v>클릭</v>
      </c>
      <c r="D652">
        <v>2020</v>
      </c>
      <c r="E652">
        <v>10</v>
      </c>
      <c r="F652">
        <v>12</v>
      </c>
      <c r="G652">
        <v>60</v>
      </c>
      <c r="L652" t="s">
        <v>385</v>
      </c>
      <c r="M652">
        <v>35000</v>
      </c>
    </row>
    <row r="653" spans="1:18" x14ac:dyDescent="0.3">
      <c r="A653" t="s">
        <v>28</v>
      </c>
      <c r="B653" t="s">
        <v>453</v>
      </c>
      <c r="C653" s="1" t="str">
        <f>HYPERLINK("https://new.land.naver.com/complexes/137583", "클릭")</f>
        <v>클릭</v>
      </c>
      <c r="D653">
        <v>2017</v>
      </c>
      <c r="E653">
        <v>9</v>
      </c>
      <c r="F653">
        <v>7</v>
      </c>
      <c r="G653">
        <v>49</v>
      </c>
      <c r="L653" t="s">
        <v>280</v>
      </c>
      <c r="M653">
        <v>22000</v>
      </c>
    </row>
    <row r="654" spans="1:18" x14ac:dyDescent="0.3">
      <c r="A654" t="s">
        <v>28</v>
      </c>
      <c r="B654" t="s">
        <v>234</v>
      </c>
      <c r="C654" s="1" t="str">
        <f>HYPERLINK("https://new.land.naver.com/complexes/125237", "클릭")</f>
        <v>클릭</v>
      </c>
      <c r="D654">
        <v>2019</v>
      </c>
      <c r="E654">
        <v>2</v>
      </c>
      <c r="F654">
        <v>41</v>
      </c>
      <c r="G654">
        <v>61</v>
      </c>
      <c r="L654" t="s">
        <v>384</v>
      </c>
      <c r="M654">
        <v>28000</v>
      </c>
    </row>
    <row r="655" spans="1:18" x14ac:dyDescent="0.3">
      <c r="A655" t="s">
        <v>28</v>
      </c>
      <c r="B655" t="s">
        <v>230</v>
      </c>
      <c r="C655" s="1" t="str">
        <f>HYPERLINK("https://new.land.naver.com/complexes/128689", "클릭")</f>
        <v>클릭</v>
      </c>
      <c r="D655">
        <v>2019</v>
      </c>
      <c r="E655">
        <v>7</v>
      </c>
      <c r="F655">
        <v>42</v>
      </c>
      <c r="G655">
        <v>57</v>
      </c>
      <c r="L655" t="s">
        <v>286</v>
      </c>
      <c r="M655">
        <v>30000</v>
      </c>
      <c r="P655">
        <v>35500</v>
      </c>
    </row>
    <row r="656" spans="1:18" x14ac:dyDescent="0.3">
      <c r="A656" t="s">
        <v>29</v>
      </c>
      <c r="B656" t="s">
        <v>316</v>
      </c>
      <c r="C656" s="1" t="str">
        <f>HYPERLINK("https://new.land.naver.com/complexes/128987", "클릭")</f>
        <v>클릭</v>
      </c>
      <c r="D656">
        <v>2019</v>
      </c>
      <c r="E656">
        <v>8</v>
      </c>
      <c r="F656">
        <v>6</v>
      </c>
      <c r="G656">
        <v>64</v>
      </c>
      <c r="H656" t="s">
        <v>135</v>
      </c>
      <c r="I656" t="s">
        <v>137</v>
      </c>
      <c r="L656" t="s">
        <v>386</v>
      </c>
      <c r="M656">
        <v>31000</v>
      </c>
    </row>
    <row r="657" spans="1:13" x14ac:dyDescent="0.3">
      <c r="A657" t="s">
        <v>30</v>
      </c>
      <c r="B657" t="s">
        <v>35</v>
      </c>
      <c r="C657" s="1" t="str">
        <f>HYPERLINK("https://new.land.naver.com/complexes/171438", "클릭")</f>
        <v>클릭</v>
      </c>
      <c r="D657">
        <v>2024</v>
      </c>
      <c r="E657">
        <v>11</v>
      </c>
      <c r="F657">
        <v>472</v>
      </c>
      <c r="G657">
        <v>63</v>
      </c>
      <c r="H657" t="s">
        <v>135</v>
      </c>
      <c r="I657" t="s">
        <v>137</v>
      </c>
      <c r="L657" t="s">
        <v>272</v>
      </c>
      <c r="M657">
        <v>44000</v>
      </c>
    </row>
  </sheetData>
  <phoneticPr fontId="4" type="noConversion"/>
  <conditionalFormatting sqref="D2:D6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657">
    <cfRule type="containsBlanks" dxfId="14" priority="4">
      <formula>LEN(TRIM(N2))=0</formula>
    </cfRule>
    <cfRule type="cellIs" dxfId="13" priority="5" operator="lessThanOrEqual">
      <formula>10000</formula>
    </cfRule>
  </conditionalFormatting>
  <conditionalFormatting sqref="O2:O657">
    <cfRule type="cellIs" dxfId="12" priority="1" operator="greaterThanOrEqual">
      <formula>0.7</formula>
    </cfRule>
  </conditionalFormatting>
  <conditionalFormatting sqref="Q2:Q6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22"/>
  <sheetViews>
    <sheetView workbookViewId="0"/>
  </sheetViews>
  <sheetFormatPr defaultRowHeight="16.5" x14ac:dyDescent="0.3"/>
  <cols>
    <col min="1" max="1" width="4" bestFit="1" customWidth="1"/>
    <col min="2" max="2" width="7" bestFit="1" customWidth="1"/>
    <col min="3" max="3" width="4.375" bestFit="1" customWidth="1"/>
    <col min="4" max="4" width="8.25" bestFit="1" customWidth="1"/>
    <col min="5" max="5" width="4.375" bestFit="1" customWidth="1"/>
    <col min="6" max="6" width="15.875" bestFit="1" customWidth="1"/>
    <col min="7" max="7" width="7.875" style="1" bestFit="1" customWidth="1"/>
    <col min="8" max="8" width="5.625" bestFit="1" customWidth="1"/>
    <col min="9" max="9" width="4.375" bestFit="1" customWidth="1"/>
    <col min="10" max="10" width="5" bestFit="1" customWidth="1"/>
    <col min="11" max="12" width="5.625" bestFit="1" customWidth="1"/>
    <col min="13" max="13" width="9" bestFit="1" customWidth="1"/>
    <col min="14" max="14" width="5.625" bestFit="1" customWidth="1"/>
    <col min="15" max="15" width="9" bestFit="1" customWidth="1"/>
    <col min="16" max="16" width="6.25" bestFit="1" customWidth="1"/>
    <col min="17" max="17" width="9" bestFit="1" customWidth="1"/>
    <col min="18" max="18" width="8" bestFit="1" customWidth="1"/>
    <col min="19" max="19" width="20" style="2" bestFit="1" customWidth="1"/>
    <col min="20" max="20" width="9" bestFit="1" customWidth="1"/>
    <col min="21" max="21" width="21" style="2" bestFit="1" customWidth="1"/>
    <col min="22" max="22" width="8" bestFit="1" customWidth="1"/>
    <col min="23" max="23" width="19" style="2" bestFit="1" customWidth="1"/>
    <col min="24" max="25" width="7.125" bestFit="1" customWidth="1"/>
    <col min="26" max="26" width="5.625" bestFit="1" customWidth="1"/>
    <col min="27" max="27" width="10.75" bestFit="1" customWidth="1"/>
  </cols>
  <sheetData>
    <row r="1" spans="1:27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3">
        <v>0</v>
      </c>
      <c r="B2">
        <v>144023</v>
      </c>
      <c r="C2" t="s">
        <v>26</v>
      </c>
      <c r="D2" t="s">
        <v>27</v>
      </c>
      <c r="E2" t="s">
        <v>31</v>
      </c>
      <c r="F2" t="s">
        <v>40</v>
      </c>
      <c r="G2" s="1" t="str">
        <f>HYPERLINK("https://new.land.naver.com/complexes/144023", "클릭")</f>
        <v>클릭</v>
      </c>
      <c r="H2">
        <v>2024</v>
      </c>
      <c r="I2">
        <v>6</v>
      </c>
      <c r="J2">
        <v>2739</v>
      </c>
      <c r="K2">
        <v>110</v>
      </c>
      <c r="L2" t="s">
        <v>135</v>
      </c>
      <c r="M2" t="s">
        <v>137</v>
      </c>
      <c r="N2" t="s">
        <v>557</v>
      </c>
      <c r="O2">
        <v>180000</v>
      </c>
      <c r="P2" t="s">
        <v>557</v>
      </c>
      <c r="Q2">
        <v>90000</v>
      </c>
      <c r="R2">
        <v>90000</v>
      </c>
      <c r="S2" s="2">
        <v>0.5</v>
      </c>
      <c r="AA2" t="s">
        <v>198</v>
      </c>
    </row>
    <row r="3" spans="1:27" x14ac:dyDescent="0.3">
      <c r="A3" s="3">
        <v>1</v>
      </c>
      <c r="B3">
        <v>113297</v>
      </c>
      <c r="C3" t="s">
        <v>26</v>
      </c>
      <c r="D3" t="s">
        <v>27</v>
      </c>
      <c r="E3" t="s">
        <v>28</v>
      </c>
      <c r="F3" t="s">
        <v>37</v>
      </c>
      <c r="G3" s="1" t="str">
        <f>HYPERLINK("https://new.land.naver.com/complexes/113297", "클릭")</f>
        <v>클릭</v>
      </c>
      <c r="H3">
        <v>2019</v>
      </c>
      <c r="I3">
        <v>3</v>
      </c>
      <c r="J3">
        <v>1174</v>
      </c>
      <c r="K3">
        <v>114</v>
      </c>
      <c r="L3" t="s">
        <v>135</v>
      </c>
      <c r="M3" t="s">
        <v>139</v>
      </c>
      <c r="N3" t="s">
        <v>572</v>
      </c>
      <c r="O3">
        <v>159000</v>
      </c>
      <c r="P3" t="s">
        <v>572</v>
      </c>
      <c r="Q3">
        <v>80000</v>
      </c>
      <c r="R3">
        <v>79000</v>
      </c>
      <c r="S3" s="2">
        <v>0.50314465408805031</v>
      </c>
      <c r="V3">
        <v>74400</v>
      </c>
      <c r="W3" s="2">
        <v>2.137096774193548</v>
      </c>
      <c r="AA3" t="s">
        <v>198</v>
      </c>
    </row>
    <row r="4" spans="1:27" x14ac:dyDescent="0.3">
      <c r="A4" s="3">
        <v>2</v>
      </c>
      <c r="B4">
        <v>107579</v>
      </c>
      <c r="C4" t="s">
        <v>26</v>
      </c>
      <c r="D4" t="s">
        <v>27</v>
      </c>
      <c r="E4" t="s">
        <v>29</v>
      </c>
      <c r="F4" t="s">
        <v>33</v>
      </c>
      <c r="G4" s="1" t="str">
        <f>HYPERLINK("https://new.land.naver.com/complexes/107579", "클릭")</f>
        <v>클릭</v>
      </c>
      <c r="H4">
        <v>2016</v>
      </c>
      <c r="I4">
        <v>6</v>
      </c>
      <c r="J4">
        <v>1459</v>
      </c>
      <c r="K4">
        <v>96</v>
      </c>
      <c r="L4" t="s">
        <v>135</v>
      </c>
      <c r="M4" t="s">
        <v>139</v>
      </c>
      <c r="N4" t="s">
        <v>578</v>
      </c>
      <c r="O4">
        <v>145000</v>
      </c>
      <c r="P4" t="s">
        <v>578</v>
      </c>
      <c r="Q4">
        <v>85000</v>
      </c>
      <c r="R4">
        <v>60000</v>
      </c>
      <c r="S4" s="2">
        <v>0.58620689655172409</v>
      </c>
      <c r="V4">
        <v>86300</v>
      </c>
      <c r="W4" s="2">
        <v>1.6801853997682501</v>
      </c>
      <c r="AA4" t="s">
        <v>198</v>
      </c>
    </row>
    <row r="5" spans="1:27" x14ac:dyDescent="0.3">
      <c r="A5" s="3">
        <v>3</v>
      </c>
      <c r="B5">
        <v>154917</v>
      </c>
      <c r="C5" t="s">
        <v>26</v>
      </c>
      <c r="D5" t="s">
        <v>27</v>
      </c>
      <c r="E5" t="s">
        <v>28</v>
      </c>
      <c r="F5" t="s">
        <v>32</v>
      </c>
      <c r="G5" s="1" t="str">
        <f>HYPERLINK("https://new.land.naver.com/complexes/154917", "클릭")</f>
        <v>클릭</v>
      </c>
      <c r="H5">
        <v>2023</v>
      </c>
      <c r="I5">
        <v>11</v>
      </c>
      <c r="J5">
        <v>2886</v>
      </c>
      <c r="K5">
        <v>99</v>
      </c>
      <c r="L5" t="s">
        <v>135</v>
      </c>
      <c r="M5" t="s">
        <v>137</v>
      </c>
      <c r="N5" t="s">
        <v>580</v>
      </c>
      <c r="O5">
        <v>145000</v>
      </c>
      <c r="P5" t="s">
        <v>580</v>
      </c>
      <c r="Q5">
        <v>71000</v>
      </c>
      <c r="R5">
        <v>74000</v>
      </c>
      <c r="S5" s="2">
        <v>0.48965517241379308</v>
      </c>
      <c r="AA5" t="s">
        <v>198</v>
      </c>
    </row>
    <row r="6" spans="1:27" x14ac:dyDescent="0.3">
      <c r="A6" s="3">
        <v>4</v>
      </c>
      <c r="B6">
        <v>126060</v>
      </c>
      <c r="C6" t="s">
        <v>26</v>
      </c>
      <c r="D6" t="s">
        <v>27</v>
      </c>
      <c r="E6" t="s">
        <v>31</v>
      </c>
      <c r="F6" t="s">
        <v>38</v>
      </c>
      <c r="G6" s="1" t="str">
        <f>HYPERLINK("https://new.land.naver.com/complexes/126060", "클릭")</f>
        <v>클릭</v>
      </c>
      <c r="H6">
        <v>2022</v>
      </c>
      <c r="I6">
        <v>3</v>
      </c>
      <c r="J6">
        <v>1199</v>
      </c>
      <c r="K6">
        <v>97</v>
      </c>
      <c r="L6" t="s">
        <v>135</v>
      </c>
      <c r="M6" t="s">
        <v>137</v>
      </c>
      <c r="N6" t="s">
        <v>585</v>
      </c>
      <c r="O6">
        <v>138000</v>
      </c>
      <c r="P6" t="s">
        <v>580</v>
      </c>
      <c r="Q6">
        <v>81000</v>
      </c>
      <c r="R6">
        <v>57000</v>
      </c>
      <c r="S6" s="2">
        <v>0.58695652173913049</v>
      </c>
      <c r="V6">
        <v>75000</v>
      </c>
      <c r="W6" s="2">
        <v>1.84</v>
      </c>
      <c r="AA6" t="s">
        <v>198</v>
      </c>
    </row>
    <row r="7" spans="1:27" x14ac:dyDescent="0.3">
      <c r="A7" s="3">
        <v>5</v>
      </c>
      <c r="B7">
        <v>126060</v>
      </c>
      <c r="C7" t="s">
        <v>26</v>
      </c>
      <c r="D7" t="s">
        <v>27</v>
      </c>
      <c r="E7" t="s">
        <v>31</v>
      </c>
      <c r="F7" t="s">
        <v>38</v>
      </c>
      <c r="G7" s="1" t="str">
        <f>HYPERLINK("https://new.land.naver.com/complexes/126060", "클릭")</f>
        <v>클릭</v>
      </c>
      <c r="H7">
        <v>2022</v>
      </c>
      <c r="I7">
        <v>3</v>
      </c>
      <c r="J7">
        <v>1199</v>
      </c>
      <c r="K7">
        <v>105</v>
      </c>
      <c r="L7" t="s">
        <v>135</v>
      </c>
      <c r="M7" t="s">
        <v>137</v>
      </c>
      <c r="N7" t="s">
        <v>589</v>
      </c>
      <c r="O7">
        <v>135000</v>
      </c>
      <c r="P7" t="s">
        <v>589</v>
      </c>
      <c r="Q7">
        <v>100000</v>
      </c>
      <c r="R7">
        <v>35000</v>
      </c>
      <c r="S7" s="2">
        <v>0.7407407407407407</v>
      </c>
      <c r="V7">
        <v>75900</v>
      </c>
      <c r="W7" s="2">
        <v>1.7786561264822129</v>
      </c>
      <c r="AA7" t="s">
        <v>198</v>
      </c>
    </row>
    <row r="8" spans="1:27" x14ac:dyDescent="0.3">
      <c r="A8" s="3">
        <v>6</v>
      </c>
      <c r="B8">
        <v>154917</v>
      </c>
      <c r="C8" t="s">
        <v>26</v>
      </c>
      <c r="D8" t="s">
        <v>27</v>
      </c>
      <c r="E8" t="s">
        <v>28</v>
      </c>
      <c r="F8" t="s">
        <v>32</v>
      </c>
      <c r="G8" s="1" t="str">
        <f>HYPERLINK("https://new.land.naver.com/complexes/154917", "클릭")</f>
        <v>클릭</v>
      </c>
      <c r="H8">
        <v>2023</v>
      </c>
      <c r="I8">
        <v>11</v>
      </c>
      <c r="J8">
        <v>2886</v>
      </c>
      <c r="K8">
        <v>84</v>
      </c>
      <c r="L8" t="s">
        <v>135</v>
      </c>
      <c r="M8" t="s">
        <v>137</v>
      </c>
      <c r="N8" t="s">
        <v>140</v>
      </c>
      <c r="O8">
        <v>127000</v>
      </c>
      <c r="P8" t="s">
        <v>177</v>
      </c>
      <c r="Q8">
        <v>70000</v>
      </c>
      <c r="R8">
        <v>57000</v>
      </c>
      <c r="S8" s="2">
        <v>0.55118110236220474</v>
      </c>
      <c r="AA8" t="s">
        <v>198</v>
      </c>
    </row>
    <row r="9" spans="1:27" x14ac:dyDescent="0.3">
      <c r="A9" s="3">
        <v>7</v>
      </c>
      <c r="B9">
        <v>107579</v>
      </c>
      <c r="C9" t="s">
        <v>26</v>
      </c>
      <c r="D9" t="s">
        <v>27</v>
      </c>
      <c r="E9" t="s">
        <v>29</v>
      </c>
      <c r="F9" t="s">
        <v>33</v>
      </c>
      <c r="G9" s="1" t="str">
        <f>HYPERLINK("https://new.land.naver.com/complexes/107579", "클릭")</f>
        <v>클릭</v>
      </c>
      <c r="H9">
        <v>2016</v>
      </c>
      <c r="I9">
        <v>6</v>
      </c>
      <c r="J9">
        <v>1459</v>
      </c>
      <c r="K9">
        <v>84</v>
      </c>
      <c r="L9" t="s">
        <v>135</v>
      </c>
      <c r="M9" t="s">
        <v>137</v>
      </c>
      <c r="N9" t="s">
        <v>141</v>
      </c>
      <c r="O9">
        <v>125000</v>
      </c>
      <c r="P9" t="s">
        <v>145</v>
      </c>
      <c r="Q9">
        <v>80000</v>
      </c>
      <c r="R9">
        <v>45000</v>
      </c>
      <c r="S9" s="2">
        <v>0.64</v>
      </c>
      <c r="T9">
        <v>154000</v>
      </c>
      <c r="U9" s="2">
        <v>-0.18831168831168829</v>
      </c>
      <c r="V9">
        <v>72900</v>
      </c>
      <c r="W9" s="2">
        <v>1.714677640603566</v>
      </c>
      <c r="AA9" t="s">
        <v>198</v>
      </c>
    </row>
    <row r="10" spans="1:27" x14ac:dyDescent="0.3">
      <c r="A10" s="3">
        <v>8</v>
      </c>
      <c r="B10">
        <v>142558</v>
      </c>
      <c r="C10" t="s">
        <v>26</v>
      </c>
      <c r="D10" t="s">
        <v>27</v>
      </c>
      <c r="E10" t="s">
        <v>28</v>
      </c>
      <c r="F10" t="s">
        <v>34</v>
      </c>
      <c r="G10" s="1" t="str">
        <f>HYPERLINK("https://new.land.naver.com/complexes/142558", "클릭")</f>
        <v>클릭</v>
      </c>
      <c r="H10">
        <v>2024</v>
      </c>
      <c r="I10">
        <v>8</v>
      </c>
      <c r="J10">
        <v>2417</v>
      </c>
      <c r="K10">
        <v>84</v>
      </c>
      <c r="L10" t="s">
        <v>135</v>
      </c>
      <c r="M10" t="s">
        <v>137</v>
      </c>
      <c r="N10" t="s">
        <v>142</v>
      </c>
      <c r="O10">
        <v>120000</v>
      </c>
      <c r="P10" t="s">
        <v>142</v>
      </c>
      <c r="Q10">
        <v>70000</v>
      </c>
      <c r="R10">
        <v>50000</v>
      </c>
      <c r="S10" s="2">
        <v>0.58333333333333337</v>
      </c>
      <c r="AA10" t="s">
        <v>198</v>
      </c>
    </row>
    <row r="11" spans="1:27" x14ac:dyDescent="0.3">
      <c r="A11" s="3">
        <v>9</v>
      </c>
      <c r="B11">
        <v>124780</v>
      </c>
      <c r="C11" t="s">
        <v>26</v>
      </c>
      <c r="D11" t="s">
        <v>27</v>
      </c>
      <c r="E11" t="s">
        <v>31</v>
      </c>
      <c r="F11" t="s">
        <v>45</v>
      </c>
      <c r="G11" s="1" t="str">
        <f>HYPERLINK("https://new.land.naver.com/complexes/124780", "클릭")</f>
        <v>클릭</v>
      </c>
      <c r="H11">
        <v>2021</v>
      </c>
      <c r="I11">
        <v>12</v>
      </c>
      <c r="J11">
        <v>2737</v>
      </c>
      <c r="K11">
        <v>102</v>
      </c>
      <c r="L11" t="s">
        <v>135</v>
      </c>
      <c r="M11" t="s">
        <v>139</v>
      </c>
      <c r="N11" t="s">
        <v>597</v>
      </c>
      <c r="O11">
        <v>120000</v>
      </c>
      <c r="P11" t="s">
        <v>597</v>
      </c>
      <c r="Q11">
        <v>65000</v>
      </c>
      <c r="R11">
        <v>55000</v>
      </c>
      <c r="S11" s="2">
        <v>0.54166666666666663</v>
      </c>
      <c r="V11">
        <v>65100</v>
      </c>
      <c r="W11" s="2">
        <v>1.84331797235023</v>
      </c>
      <c r="AA11" t="s">
        <v>198</v>
      </c>
    </row>
    <row r="12" spans="1:27" x14ac:dyDescent="0.3">
      <c r="A12" s="3">
        <v>10</v>
      </c>
      <c r="B12">
        <v>171438</v>
      </c>
      <c r="C12" t="s">
        <v>26</v>
      </c>
      <c r="D12" t="s">
        <v>27</v>
      </c>
      <c r="E12" t="s">
        <v>30</v>
      </c>
      <c r="F12" t="s">
        <v>35</v>
      </c>
      <c r="G12" s="1" t="str">
        <f>HYPERLINK("https://new.land.naver.com/complexes/171438", "클릭")</f>
        <v>클릭</v>
      </c>
      <c r="H12">
        <v>2024</v>
      </c>
      <c r="I12">
        <v>11</v>
      </c>
      <c r="J12">
        <v>472</v>
      </c>
      <c r="K12">
        <v>84</v>
      </c>
      <c r="L12" t="s">
        <v>135</v>
      </c>
      <c r="M12" t="s">
        <v>137</v>
      </c>
      <c r="N12" t="s">
        <v>143</v>
      </c>
      <c r="O12">
        <v>119684</v>
      </c>
      <c r="P12" t="s">
        <v>143</v>
      </c>
      <c r="Q12">
        <v>55000</v>
      </c>
      <c r="R12">
        <v>64684</v>
      </c>
      <c r="S12" s="2">
        <v>0.45954346445640187</v>
      </c>
      <c r="AA12" t="s">
        <v>199</v>
      </c>
    </row>
    <row r="13" spans="1:27" x14ac:dyDescent="0.3">
      <c r="A13" s="3">
        <v>11</v>
      </c>
      <c r="B13">
        <v>113297</v>
      </c>
      <c r="C13" t="s">
        <v>26</v>
      </c>
      <c r="D13" t="s">
        <v>27</v>
      </c>
      <c r="E13" t="s">
        <v>28</v>
      </c>
      <c r="F13" t="s">
        <v>37</v>
      </c>
      <c r="G13" s="1" t="str">
        <f>HYPERLINK("https://new.land.naver.com/complexes/113297", "클릭")</f>
        <v>클릭</v>
      </c>
      <c r="H13">
        <v>2019</v>
      </c>
      <c r="I13">
        <v>3</v>
      </c>
      <c r="J13">
        <v>1174</v>
      </c>
      <c r="K13">
        <v>84</v>
      </c>
      <c r="L13" t="s">
        <v>135</v>
      </c>
      <c r="M13" t="s">
        <v>137</v>
      </c>
      <c r="N13" t="s">
        <v>145</v>
      </c>
      <c r="O13">
        <v>115000</v>
      </c>
      <c r="P13" t="s">
        <v>145</v>
      </c>
      <c r="Q13">
        <v>66000</v>
      </c>
      <c r="R13">
        <v>49000</v>
      </c>
      <c r="S13" s="2">
        <v>0.57391304347826089</v>
      </c>
      <c r="T13">
        <v>138500</v>
      </c>
      <c r="U13" s="2">
        <v>-0.16967509025270761</v>
      </c>
      <c r="V13">
        <v>63500</v>
      </c>
      <c r="W13" s="2">
        <v>1.811023622047244</v>
      </c>
      <c r="AA13" t="s">
        <v>198</v>
      </c>
    </row>
    <row r="14" spans="1:27" x14ac:dyDescent="0.3">
      <c r="A14" s="3">
        <v>12</v>
      </c>
      <c r="B14">
        <v>148980</v>
      </c>
      <c r="C14" t="s">
        <v>26</v>
      </c>
      <c r="D14" t="s">
        <v>27</v>
      </c>
      <c r="E14" t="s">
        <v>28</v>
      </c>
      <c r="F14" t="s">
        <v>211</v>
      </c>
      <c r="G14" s="1" t="str">
        <f>HYPERLINK("https://new.land.naver.com/complexes/148980", "클릭")</f>
        <v>클릭</v>
      </c>
      <c r="H14">
        <v>2024</v>
      </c>
      <c r="I14">
        <v>9</v>
      </c>
      <c r="J14">
        <v>304</v>
      </c>
      <c r="K14">
        <v>103</v>
      </c>
      <c r="L14" t="s">
        <v>135</v>
      </c>
      <c r="M14" t="s">
        <v>137</v>
      </c>
      <c r="N14" t="s">
        <v>600</v>
      </c>
      <c r="O14">
        <v>114571</v>
      </c>
      <c r="P14" t="s">
        <v>600</v>
      </c>
      <c r="Q14">
        <v>65000</v>
      </c>
      <c r="R14">
        <v>49571</v>
      </c>
      <c r="S14" s="2">
        <v>0.56733379301917586</v>
      </c>
      <c r="AA14" t="s">
        <v>287</v>
      </c>
    </row>
    <row r="15" spans="1:27" x14ac:dyDescent="0.3">
      <c r="A15" s="3">
        <v>13</v>
      </c>
      <c r="B15">
        <v>126060</v>
      </c>
      <c r="C15" t="s">
        <v>26</v>
      </c>
      <c r="D15" t="s">
        <v>27</v>
      </c>
      <c r="E15" t="s">
        <v>31</v>
      </c>
      <c r="F15" t="s">
        <v>38</v>
      </c>
      <c r="G15" s="1" t="str">
        <f>HYPERLINK("https://new.land.naver.com/complexes/126060", "클릭")</f>
        <v>클릭</v>
      </c>
      <c r="H15">
        <v>2022</v>
      </c>
      <c r="I15">
        <v>3</v>
      </c>
      <c r="J15">
        <v>1199</v>
      </c>
      <c r="K15">
        <v>84</v>
      </c>
      <c r="L15" t="s">
        <v>135</v>
      </c>
      <c r="M15" t="s">
        <v>137</v>
      </c>
      <c r="N15" t="s">
        <v>146</v>
      </c>
      <c r="O15">
        <v>111000</v>
      </c>
      <c r="P15" t="s">
        <v>191</v>
      </c>
      <c r="Q15">
        <v>64900</v>
      </c>
      <c r="R15">
        <v>46100</v>
      </c>
      <c r="S15" s="2">
        <v>0.58468468468468471</v>
      </c>
      <c r="T15">
        <v>137291</v>
      </c>
      <c r="U15" s="2">
        <v>-0.19149835021960651</v>
      </c>
      <c r="V15">
        <v>63600</v>
      </c>
      <c r="W15" s="2">
        <v>1.745283018867924</v>
      </c>
      <c r="AA15" t="s">
        <v>198</v>
      </c>
    </row>
    <row r="16" spans="1:27" x14ac:dyDescent="0.3">
      <c r="A16" s="3">
        <v>14</v>
      </c>
      <c r="B16">
        <v>144023</v>
      </c>
      <c r="C16" t="s">
        <v>26</v>
      </c>
      <c r="D16" t="s">
        <v>27</v>
      </c>
      <c r="E16" t="s">
        <v>31</v>
      </c>
      <c r="F16" t="s">
        <v>40</v>
      </c>
      <c r="G16" s="1" t="str">
        <f>HYPERLINK("https://new.land.naver.com/complexes/144023", "클릭")</f>
        <v>클릭</v>
      </c>
      <c r="H16">
        <v>2024</v>
      </c>
      <c r="I16">
        <v>6</v>
      </c>
      <c r="J16">
        <v>2739</v>
      </c>
      <c r="K16">
        <v>84</v>
      </c>
      <c r="L16" t="s">
        <v>135</v>
      </c>
      <c r="M16" t="s">
        <v>137</v>
      </c>
      <c r="N16" t="s">
        <v>140</v>
      </c>
      <c r="O16">
        <v>110000</v>
      </c>
      <c r="P16" t="s">
        <v>140</v>
      </c>
      <c r="Q16">
        <v>55000</v>
      </c>
      <c r="R16">
        <v>55000</v>
      </c>
      <c r="S16" s="2">
        <v>0.5</v>
      </c>
      <c r="AA16" t="s">
        <v>198</v>
      </c>
    </row>
    <row r="17" spans="1:27" x14ac:dyDescent="0.3">
      <c r="A17" s="3">
        <v>15</v>
      </c>
      <c r="B17">
        <v>142558</v>
      </c>
      <c r="C17" t="s">
        <v>26</v>
      </c>
      <c r="D17" t="s">
        <v>27</v>
      </c>
      <c r="E17" t="s">
        <v>28</v>
      </c>
      <c r="F17" t="s">
        <v>34</v>
      </c>
      <c r="G17" s="1" t="str">
        <f>HYPERLINK("https://new.land.naver.com/complexes/142558", "클릭")</f>
        <v>클릭</v>
      </c>
      <c r="H17">
        <v>2024</v>
      </c>
      <c r="I17">
        <v>8</v>
      </c>
      <c r="J17">
        <v>2417</v>
      </c>
      <c r="K17">
        <v>74</v>
      </c>
      <c r="L17" t="s">
        <v>135</v>
      </c>
      <c r="M17" t="s">
        <v>137</v>
      </c>
      <c r="N17" t="s">
        <v>171</v>
      </c>
      <c r="O17">
        <v>110000</v>
      </c>
      <c r="P17" t="s">
        <v>171</v>
      </c>
      <c r="Q17">
        <v>58000</v>
      </c>
      <c r="R17">
        <v>52000</v>
      </c>
      <c r="S17" s="2">
        <v>0.52727272727272723</v>
      </c>
      <c r="AA17" t="s">
        <v>198</v>
      </c>
    </row>
    <row r="18" spans="1:27" x14ac:dyDescent="0.3">
      <c r="A18" s="3">
        <v>16</v>
      </c>
      <c r="B18">
        <v>144023</v>
      </c>
      <c r="C18" t="s">
        <v>26</v>
      </c>
      <c r="D18" t="s">
        <v>27</v>
      </c>
      <c r="E18" t="s">
        <v>31</v>
      </c>
      <c r="F18" t="s">
        <v>40</v>
      </c>
      <c r="G18" s="1" t="str">
        <f>HYPERLINK("https://new.land.naver.com/complexes/144023", "클릭")</f>
        <v>클릭</v>
      </c>
      <c r="H18">
        <v>2024</v>
      </c>
      <c r="I18">
        <v>6</v>
      </c>
      <c r="J18">
        <v>2739</v>
      </c>
      <c r="K18">
        <v>74</v>
      </c>
      <c r="L18" t="s">
        <v>135</v>
      </c>
      <c r="M18" t="s">
        <v>137</v>
      </c>
      <c r="N18" t="s">
        <v>169</v>
      </c>
      <c r="O18">
        <v>105000</v>
      </c>
      <c r="P18" t="s">
        <v>169</v>
      </c>
      <c r="Q18">
        <v>51000</v>
      </c>
      <c r="R18">
        <v>54000</v>
      </c>
      <c r="S18" s="2">
        <v>0.48571428571428571</v>
      </c>
      <c r="AA18" t="s">
        <v>204</v>
      </c>
    </row>
    <row r="19" spans="1:27" x14ac:dyDescent="0.3">
      <c r="A19" s="3">
        <v>17</v>
      </c>
      <c r="B19">
        <v>154917</v>
      </c>
      <c r="C19" t="s">
        <v>26</v>
      </c>
      <c r="D19" t="s">
        <v>27</v>
      </c>
      <c r="E19" t="s">
        <v>28</v>
      </c>
      <c r="F19" t="s">
        <v>32</v>
      </c>
      <c r="G19" s="1" t="str">
        <f>HYPERLINK("https://new.land.naver.com/complexes/154917", "클릭")</f>
        <v>클릭</v>
      </c>
      <c r="H19">
        <v>2023</v>
      </c>
      <c r="I19">
        <v>11</v>
      </c>
      <c r="J19">
        <v>2886</v>
      </c>
      <c r="K19">
        <v>72</v>
      </c>
      <c r="L19" t="s">
        <v>135</v>
      </c>
      <c r="M19" t="s">
        <v>137</v>
      </c>
      <c r="N19" t="s">
        <v>342</v>
      </c>
      <c r="O19">
        <v>105000</v>
      </c>
      <c r="P19" t="s">
        <v>342</v>
      </c>
      <c r="Q19">
        <v>66000</v>
      </c>
      <c r="R19">
        <v>39000</v>
      </c>
      <c r="S19" s="2">
        <v>0.62857142857142856</v>
      </c>
      <c r="AA19" t="s">
        <v>205</v>
      </c>
    </row>
    <row r="20" spans="1:27" x14ac:dyDescent="0.3">
      <c r="A20" s="3">
        <v>18</v>
      </c>
      <c r="B20">
        <v>113297</v>
      </c>
      <c r="C20" t="s">
        <v>26</v>
      </c>
      <c r="D20" t="s">
        <v>27</v>
      </c>
      <c r="E20" t="s">
        <v>28</v>
      </c>
      <c r="F20" t="s">
        <v>37</v>
      </c>
      <c r="G20" s="1" t="str">
        <f>HYPERLINK("https://new.land.naver.com/complexes/113297", "클릭")</f>
        <v>클릭</v>
      </c>
      <c r="H20">
        <v>2019</v>
      </c>
      <c r="I20">
        <v>3</v>
      </c>
      <c r="J20">
        <v>1174</v>
      </c>
      <c r="K20">
        <v>74</v>
      </c>
      <c r="L20" t="s">
        <v>135</v>
      </c>
      <c r="M20" t="s">
        <v>137</v>
      </c>
      <c r="N20" t="s">
        <v>181</v>
      </c>
      <c r="O20">
        <v>104000</v>
      </c>
      <c r="P20" t="s">
        <v>181</v>
      </c>
      <c r="Q20">
        <v>58000</v>
      </c>
      <c r="R20">
        <v>46000</v>
      </c>
      <c r="S20" s="2">
        <v>0.55769230769230771</v>
      </c>
      <c r="V20">
        <v>55200</v>
      </c>
      <c r="W20" s="2">
        <v>1.8840579710144929</v>
      </c>
      <c r="AA20" t="s">
        <v>198</v>
      </c>
    </row>
    <row r="21" spans="1:27" x14ac:dyDescent="0.3">
      <c r="A21" s="3">
        <v>19</v>
      </c>
      <c r="B21">
        <v>111921</v>
      </c>
      <c r="C21" t="s">
        <v>26</v>
      </c>
      <c r="D21" t="s">
        <v>27</v>
      </c>
      <c r="E21" t="s">
        <v>28</v>
      </c>
      <c r="F21" t="s">
        <v>213</v>
      </c>
      <c r="G21" s="1" t="str">
        <f>HYPERLINK("https://new.land.naver.com/complexes/111921", "클릭")</f>
        <v>클릭</v>
      </c>
      <c r="H21">
        <v>2018</v>
      </c>
      <c r="I21">
        <v>3</v>
      </c>
      <c r="J21">
        <v>200</v>
      </c>
      <c r="K21">
        <v>73</v>
      </c>
      <c r="L21" t="s">
        <v>135</v>
      </c>
      <c r="M21" t="s">
        <v>137</v>
      </c>
      <c r="N21" t="s">
        <v>343</v>
      </c>
      <c r="O21">
        <v>100000</v>
      </c>
      <c r="P21" t="s">
        <v>343</v>
      </c>
      <c r="Q21">
        <v>53000</v>
      </c>
      <c r="R21">
        <v>47000</v>
      </c>
      <c r="S21" s="2">
        <v>0.53</v>
      </c>
      <c r="V21">
        <v>49100</v>
      </c>
      <c r="W21" s="2">
        <v>2.0366598778004068</v>
      </c>
      <c r="AA21" t="s">
        <v>387</v>
      </c>
    </row>
    <row r="22" spans="1:27" x14ac:dyDescent="0.3">
      <c r="A22" s="3">
        <v>20</v>
      </c>
      <c r="B22">
        <v>124780</v>
      </c>
      <c r="C22" t="s">
        <v>26</v>
      </c>
      <c r="D22" t="s">
        <v>27</v>
      </c>
      <c r="E22" t="s">
        <v>31</v>
      </c>
      <c r="F22" t="s">
        <v>45</v>
      </c>
      <c r="G22" s="1" t="str">
        <f>HYPERLINK("https://new.land.naver.com/complexes/124780", "클릭")</f>
        <v>클릭</v>
      </c>
      <c r="H22">
        <v>2021</v>
      </c>
      <c r="I22">
        <v>12</v>
      </c>
      <c r="J22">
        <v>2737</v>
      </c>
      <c r="K22">
        <v>84</v>
      </c>
      <c r="L22" t="s">
        <v>135</v>
      </c>
      <c r="M22" t="s">
        <v>137</v>
      </c>
      <c r="N22" t="s">
        <v>151</v>
      </c>
      <c r="O22">
        <v>99000</v>
      </c>
      <c r="P22" t="s">
        <v>151</v>
      </c>
      <c r="Q22">
        <v>60000</v>
      </c>
      <c r="R22">
        <v>39000</v>
      </c>
      <c r="S22" s="2">
        <v>0.60606060606060608</v>
      </c>
      <c r="T22">
        <v>120000</v>
      </c>
      <c r="U22" s="2">
        <v>-0.17499999999999999</v>
      </c>
      <c r="V22">
        <v>56100</v>
      </c>
      <c r="W22" s="2">
        <v>1.7647058823529409</v>
      </c>
      <c r="AA22" t="s">
        <v>198</v>
      </c>
    </row>
    <row r="23" spans="1:27" x14ac:dyDescent="0.3">
      <c r="A23" s="3">
        <v>21</v>
      </c>
      <c r="B23">
        <v>122682</v>
      </c>
      <c r="C23" t="s">
        <v>26</v>
      </c>
      <c r="D23" t="s">
        <v>27</v>
      </c>
      <c r="E23" t="s">
        <v>28</v>
      </c>
      <c r="F23" t="s">
        <v>46</v>
      </c>
      <c r="G23" s="1" t="str">
        <f>HYPERLINK("https://new.land.naver.com/complexes/122682", "클릭")</f>
        <v>클릭</v>
      </c>
      <c r="H23">
        <v>2021</v>
      </c>
      <c r="I23">
        <v>4</v>
      </c>
      <c r="J23">
        <v>3850</v>
      </c>
      <c r="K23">
        <v>84</v>
      </c>
      <c r="L23" t="s">
        <v>135</v>
      </c>
      <c r="M23" t="s">
        <v>137</v>
      </c>
      <c r="N23" t="s">
        <v>152</v>
      </c>
      <c r="O23">
        <v>98000</v>
      </c>
      <c r="P23" t="s">
        <v>152</v>
      </c>
      <c r="Q23">
        <v>55000</v>
      </c>
      <c r="R23">
        <v>43000</v>
      </c>
      <c r="S23" s="2">
        <v>0.56122448979591832</v>
      </c>
      <c r="T23">
        <v>120000</v>
      </c>
      <c r="U23" s="2">
        <v>-0.18333333333333329</v>
      </c>
      <c r="V23">
        <v>63200</v>
      </c>
      <c r="W23" s="2">
        <v>1.5506329113924049</v>
      </c>
      <c r="AA23" t="s">
        <v>198</v>
      </c>
    </row>
    <row r="24" spans="1:27" x14ac:dyDescent="0.3">
      <c r="A24" s="3">
        <v>22</v>
      </c>
      <c r="B24">
        <v>107579</v>
      </c>
      <c r="C24" t="s">
        <v>26</v>
      </c>
      <c r="D24" t="s">
        <v>27</v>
      </c>
      <c r="E24" t="s">
        <v>29</v>
      </c>
      <c r="F24" t="s">
        <v>33</v>
      </c>
      <c r="G24" s="1" t="str">
        <f>HYPERLINK("https://new.land.naver.com/complexes/107579", "클릭")</f>
        <v>클릭</v>
      </c>
      <c r="H24">
        <v>2016</v>
      </c>
      <c r="I24">
        <v>6</v>
      </c>
      <c r="J24">
        <v>1459</v>
      </c>
      <c r="K24">
        <v>59</v>
      </c>
      <c r="L24" t="s">
        <v>135</v>
      </c>
      <c r="M24" t="s">
        <v>137</v>
      </c>
      <c r="N24" t="s">
        <v>239</v>
      </c>
      <c r="O24">
        <v>97000</v>
      </c>
      <c r="P24" t="s">
        <v>239</v>
      </c>
      <c r="Q24">
        <v>59000</v>
      </c>
      <c r="R24">
        <v>38000</v>
      </c>
      <c r="S24" s="2">
        <v>0.60824742268041232</v>
      </c>
      <c r="T24">
        <v>110000</v>
      </c>
      <c r="U24" s="2">
        <v>-0.11818181818181819</v>
      </c>
      <c r="V24">
        <v>59900</v>
      </c>
      <c r="W24" s="2">
        <v>1.619365609348915</v>
      </c>
      <c r="AA24" t="s">
        <v>198</v>
      </c>
    </row>
    <row r="25" spans="1:27" x14ac:dyDescent="0.3">
      <c r="A25" s="3">
        <v>23</v>
      </c>
      <c r="B25">
        <v>111921</v>
      </c>
      <c r="C25" t="s">
        <v>26</v>
      </c>
      <c r="D25" t="s">
        <v>27</v>
      </c>
      <c r="E25" t="s">
        <v>28</v>
      </c>
      <c r="F25" t="s">
        <v>213</v>
      </c>
      <c r="G25" s="1" t="str">
        <f>HYPERLINK("https://new.land.naver.com/complexes/111921", "클릭")</f>
        <v>클릭</v>
      </c>
      <c r="H25">
        <v>2018</v>
      </c>
      <c r="I25">
        <v>3</v>
      </c>
      <c r="J25">
        <v>200</v>
      </c>
      <c r="K25">
        <v>82</v>
      </c>
      <c r="L25" t="s">
        <v>135</v>
      </c>
      <c r="M25" t="s">
        <v>137</v>
      </c>
      <c r="N25" t="s">
        <v>168</v>
      </c>
      <c r="O25">
        <v>96000</v>
      </c>
      <c r="P25" t="s">
        <v>168</v>
      </c>
      <c r="Q25">
        <v>53000</v>
      </c>
      <c r="R25">
        <v>43000</v>
      </c>
      <c r="S25" s="2">
        <v>0.55208333333333337</v>
      </c>
      <c r="V25">
        <v>53800</v>
      </c>
      <c r="W25" s="2">
        <v>1.7843866171003719</v>
      </c>
      <c r="AA25" t="s">
        <v>198</v>
      </c>
    </row>
    <row r="26" spans="1:27" x14ac:dyDescent="0.3">
      <c r="A26" s="3">
        <v>24</v>
      </c>
      <c r="B26">
        <v>122682</v>
      </c>
      <c r="C26" t="s">
        <v>26</v>
      </c>
      <c r="D26" t="s">
        <v>27</v>
      </c>
      <c r="E26" t="s">
        <v>28</v>
      </c>
      <c r="F26" t="s">
        <v>46</v>
      </c>
      <c r="G26" s="1" t="str">
        <f>HYPERLINK("https://new.land.naver.com/complexes/122682", "클릭")</f>
        <v>클릭</v>
      </c>
      <c r="H26">
        <v>2021</v>
      </c>
      <c r="I26">
        <v>4</v>
      </c>
      <c r="J26">
        <v>3850</v>
      </c>
      <c r="K26">
        <v>74</v>
      </c>
      <c r="L26" t="s">
        <v>135</v>
      </c>
      <c r="M26" t="s">
        <v>137</v>
      </c>
      <c r="N26" t="s">
        <v>171</v>
      </c>
      <c r="O26">
        <v>93000</v>
      </c>
      <c r="P26" t="s">
        <v>171</v>
      </c>
      <c r="Q26">
        <v>53000</v>
      </c>
      <c r="R26">
        <v>40000</v>
      </c>
      <c r="S26" s="2">
        <v>0.56989247311827962</v>
      </c>
      <c r="V26">
        <v>56300</v>
      </c>
      <c r="W26" s="2">
        <v>1.651865008880995</v>
      </c>
      <c r="AA26" t="s">
        <v>198</v>
      </c>
    </row>
    <row r="27" spans="1:27" x14ac:dyDescent="0.3">
      <c r="A27" s="3">
        <v>25</v>
      </c>
      <c r="B27">
        <v>144023</v>
      </c>
      <c r="C27" t="s">
        <v>26</v>
      </c>
      <c r="D27" t="s">
        <v>27</v>
      </c>
      <c r="E27" t="s">
        <v>31</v>
      </c>
      <c r="F27" t="s">
        <v>40</v>
      </c>
      <c r="G27" s="1" t="str">
        <f>HYPERLINK("https://new.land.naver.com/complexes/144023", "클릭")</f>
        <v>클릭</v>
      </c>
      <c r="H27">
        <v>2024</v>
      </c>
      <c r="I27">
        <v>6</v>
      </c>
      <c r="J27">
        <v>2739</v>
      </c>
      <c r="K27">
        <v>59</v>
      </c>
      <c r="L27" t="s">
        <v>135</v>
      </c>
      <c r="M27" t="s">
        <v>137</v>
      </c>
      <c r="N27" t="s">
        <v>240</v>
      </c>
      <c r="O27">
        <v>93000</v>
      </c>
      <c r="P27" t="s">
        <v>240</v>
      </c>
      <c r="Q27">
        <v>43000</v>
      </c>
      <c r="R27">
        <v>50000</v>
      </c>
      <c r="S27" s="2">
        <v>0.46236559139784938</v>
      </c>
      <c r="AA27" t="s">
        <v>198</v>
      </c>
    </row>
    <row r="28" spans="1:27" x14ac:dyDescent="0.3">
      <c r="A28" s="3">
        <v>26</v>
      </c>
      <c r="B28">
        <v>126060</v>
      </c>
      <c r="C28" t="s">
        <v>26</v>
      </c>
      <c r="D28" t="s">
        <v>27</v>
      </c>
      <c r="E28" t="s">
        <v>31</v>
      </c>
      <c r="F28" t="s">
        <v>38</v>
      </c>
      <c r="G28" s="1" t="str">
        <f>HYPERLINK("https://new.land.naver.com/complexes/126060", "클릭")</f>
        <v>클릭</v>
      </c>
      <c r="H28">
        <v>2022</v>
      </c>
      <c r="I28">
        <v>3</v>
      </c>
      <c r="J28">
        <v>1199</v>
      </c>
      <c r="K28">
        <v>68</v>
      </c>
      <c r="L28" t="s">
        <v>135</v>
      </c>
      <c r="M28" t="s">
        <v>137</v>
      </c>
      <c r="N28" t="s">
        <v>346</v>
      </c>
      <c r="O28">
        <v>91000</v>
      </c>
      <c r="P28" t="s">
        <v>346</v>
      </c>
      <c r="Q28">
        <v>55000</v>
      </c>
      <c r="R28">
        <v>36000</v>
      </c>
      <c r="S28" s="2">
        <v>0.60439560439560436</v>
      </c>
      <c r="V28">
        <v>51800</v>
      </c>
      <c r="W28" s="2">
        <v>1.756756756756757</v>
      </c>
      <c r="AA28" t="s">
        <v>198</v>
      </c>
    </row>
    <row r="29" spans="1:27" x14ac:dyDescent="0.3">
      <c r="A29" s="3">
        <v>27</v>
      </c>
      <c r="B29">
        <v>113297</v>
      </c>
      <c r="C29" t="s">
        <v>26</v>
      </c>
      <c r="D29" t="s">
        <v>27</v>
      </c>
      <c r="E29" t="s">
        <v>28</v>
      </c>
      <c r="F29" t="s">
        <v>37</v>
      </c>
      <c r="G29" s="1" t="str">
        <f>HYPERLINK("https://new.land.naver.com/complexes/113297", "클릭")</f>
        <v>클릭</v>
      </c>
      <c r="H29">
        <v>2019</v>
      </c>
      <c r="I29">
        <v>3</v>
      </c>
      <c r="J29">
        <v>1174</v>
      </c>
      <c r="K29">
        <v>59</v>
      </c>
      <c r="L29" t="s">
        <v>135</v>
      </c>
      <c r="M29" t="s">
        <v>137</v>
      </c>
      <c r="N29" t="s">
        <v>240</v>
      </c>
      <c r="O29">
        <v>90000</v>
      </c>
      <c r="P29" t="s">
        <v>261</v>
      </c>
      <c r="Q29">
        <v>53000</v>
      </c>
      <c r="R29">
        <v>37000</v>
      </c>
      <c r="S29" s="2">
        <v>0.58888888888888891</v>
      </c>
      <c r="T29">
        <v>102800</v>
      </c>
      <c r="U29" s="2">
        <v>-0.1245136186770428</v>
      </c>
      <c r="V29">
        <v>47700</v>
      </c>
      <c r="W29" s="2">
        <v>1.8867924528301889</v>
      </c>
      <c r="AA29" t="s">
        <v>198</v>
      </c>
    </row>
    <row r="30" spans="1:27" x14ac:dyDescent="0.3">
      <c r="A30" s="3">
        <v>28</v>
      </c>
      <c r="B30">
        <v>144023</v>
      </c>
      <c r="C30" t="s">
        <v>26</v>
      </c>
      <c r="D30" t="s">
        <v>27</v>
      </c>
      <c r="E30" t="s">
        <v>31</v>
      </c>
      <c r="F30" t="s">
        <v>40</v>
      </c>
      <c r="G30" s="1" t="str">
        <f>HYPERLINK("https://new.land.naver.com/complexes/144023", "클릭")</f>
        <v>클릭</v>
      </c>
      <c r="H30">
        <v>2024</v>
      </c>
      <c r="I30">
        <v>6</v>
      </c>
      <c r="J30">
        <v>2739</v>
      </c>
      <c r="K30">
        <v>22</v>
      </c>
      <c r="L30" t="s">
        <v>135</v>
      </c>
      <c r="M30" t="s">
        <v>236</v>
      </c>
      <c r="N30" t="s">
        <v>458</v>
      </c>
      <c r="O30">
        <v>90000</v>
      </c>
      <c r="P30" t="s">
        <v>458</v>
      </c>
      <c r="Q30">
        <v>12000</v>
      </c>
      <c r="R30">
        <v>78000</v>
      </c>
      <c r="S30" s="2">
        <v>0.1333333333333333</v>
      </c>
      <c r="AA30" t="s">
        <v>201</v>
      </c>
    </row>
    <row r="31" spans="1:27" x14ac:dyDescent="0.3">
      <c r="A31" s="3">
        <v>29</v>
      </c>
      <c r="B31">
        <v>154917</v>
      </c>
      <c r="C31" t="s">
        <v>26</v>
      </c>
      <c r="D31" t="s">
        <v>27</v>
      </c>
      <c r="E31" t="s">
        <v>28</v>
      </c>
      <c r="F31" t="s">
        <v>32</v>
      </c>
      <c r="G31" s="1" t="str">
        <f>HYPERLINK("https://new.land.naver.com/complexes/154917", "클릭")</f>
        <v>클릭</v>
      </c>
      <c r="H31">
        <v>2023</v>
      </c>
      <c r="I31">
        <v>11</v>
      </c>
      <c r="J31">
        <v>2886</v>
      </c>
      <c r="K31">
        <v>59</v>
      </c>
      <c r="L31" t="s">
        <v>135</v>
      </c>
      <c r="M31" t="s">
        <v>137</v>
      </c>
      <c r="N31" t="s">
        <v>241</v>
      </c>
      <c r="O31">
        <v>90000</v>
      </c>
      <c r="P31" t="s">
        <v>241</v>
      </c>
      <c r="Q31">
        <v>50000</v>
      </c>
      <c r="R31">
        <v>40000</v>
      </c>
      <c r="S31" s="2">
        <v>0.55555555555555558</v>
      </c>
      <c r="AA31" t="s">
        <v>287</v>
      </c>
    </row>
    <row r="32" spans="1:27" x14ac:dyDescent="0.3">
      <c r="A32" s="3">
        <v>30</v>
      </c>
      <c r="B32">
        <v>111921</v>
      </c>
      <c r="C32" t="s">
        <v>26</v>
      </c>
      <c r="D32" t="s">
        <v>27</v>
      </c>
      <c r="E32" t="s">
        <v>28</v>
      </c>
      <c r="F32" t="s">
        <v>213</v>
      </c>
      <c r="G32" s="1" t="str">
        <f>HYPERLINK("https://new.land.naver.com/complexes/111921", "클릭")</f>
        <v>클릭</v>
      </c>
      <c r="H32">
        <v>2018</v>
      </c>
      <c r="I32">
        <v>3</v>
      </c>
      <c r="J32">
        <v>200</v>
      </c>
      <c r="K32">
        <v>81</v>
      </c>
      <c r="L32" t="s">
        <v>135</v>
      </c>
      <c r="M32" t="s">
        <v>137</v>
      </c>
      <c r="N32" t="s">
        <v>184</v>
      </c>
      <c r="O32">
        <v>89000</v>
      </c>
      <c r="P32" t="s">
        <v>184</v>
      </c>
      <c r="Q32">
        <v>50000</v>
      </c>
      <c r="R32">
        <v>39000</v>
      </c>
      <c r="S32" s="2">
        <v>0.5617977528089888</v>
      </c>
      <c r="V32">
        <v>53500</v>
      </c>
      <c r="W32" s="2">
        <v>1.6635514018691591</v>
      </c>
      <c r="AA32" t="s">
        <v>198</v>
      </c>
    </row>
    <row r="33" spans="1:27" x14ac:dyDescent="0.3">
      <c r="A33" s="3">
        <v>31</v>
      </c>
      <c r="B33">
        <v>124780</v>
      </c>
      <c r="C33" t="s">
        <v>26</v>
      </c>
      <c r="D33" t="s">
        <v>27</v>
      </c>
      <c r="E33" t="s">
        <v>31</v>
      </c>
      <c r="F33" t="s">
        <v>45</v>
      </c>
      <c r="G33" s="1" t="str">
        <f>HYPERLINK("https://new.land.naver.com/complexes/124780", "클릭")</f>
        <v>클릭</v>
      </c>
      <c r="H33">
        <v>2021</v>
      </c>
      <c r="I33">
        <v>12</v>
      </c>
      <c r="J33">
        <v>2737</v>
      </c>
      <c r="K33">
        <v>75</v>
      </c>
      <c r="L33" t="s">
        <v>135</v>
      </c>
      <c r="M33" t="s">
        <v>137</v>
      </c>
      <c r="N33" t="s">
        <v>349</v>
      </c>
      <c r="O33">
        <v>87000</v>
      </c>
      <c r="P33" t="s">
        <v>349</v>
      </c>
      <c r="Q33">
        <v>55000</v>
      </c>
      <c r="R33">
        <v>32000</v>
      </c>
      <c r="S33" s="2">
        <v>0.63218390804597702</v>
      </c>
      <c r="V33">
        <v>48700</v>
      </c>
      <c r="W33" s="2">
        <v>1.786447638603696</v>
      </c>
      <c r="AA33" t="s">
        <v>198</v>
      </c>
    </row>
    <row r="34" spans="1:27" x14ac:dyDescent="0.3">
      <c r="A34" s="3">
        <v>32</v>
      </c>
      <c r="B34">
        <v>142558</v>
      </c>
      <c r="C34" t="s">
        <v>26</v>
      </c>
      <c r="D34" t="s">
        <v>27</v>
      </c>
      <c r="E34" t="s">
        <v>28</v>
      </c>
      <c r="F34" t="s">
        <v>34</v>
      </c>
      <c r="G34" s="1" t="str">
        <f>HYPERLINK("https://new.land.naver.com/complexes/142558", "클릭")</f>
        <v>클릭</v>
      </c>
      <c r="H34">
        <v>2024</v>
      </c>
      <c r="I34">
        <v>8</v>
      </c>
      <c r="J34">
        <v>2417</v>
      </c>
      <c r="K34">
        <v>59</v>
      </c>
      <c r="L34" t="s">
        <v>135</v>
      </c>
      <c r="M34" t="s">
        <v>137</v>
      </c>
      <c r="N34" t="s">
        <v>243</v>
      </c>
      <c r="O34">
        <v>85000</v>
      </c>
      <c r="P34" t="s">
        <v>243</v>
      </c>
      <c r="Q34">
        <v>48000</v>
      </c>
      <c r="R34">
        <v>37000</v>
      </c>
      <c r="S34" s="2">
        <v>0.56470588235294117</v>
      </c>
      <c r="AA34" t="s">
        <v>198</v>
      </c>
    </row>
    <row r="35" spans="1:27" x14ac:dyDescent="0.3">
      <c r="A35" s="3">
        <v>33</v>
      </c>
      <c r="B35">
        <v>126060</v>
      </c>
      <c r="C35" t="s">
        <v>26</v>
      </c>
      <c r="D35" t="s">
        <v>27</v>
      </c>
      <c r="E35" t="s">
        <v>31</v>
      </c>
      <c r="F35" t="s">
        <v>38</v>
      </c>
      <c r="G35" s="1" t="str">
        <f>HYPERLINK("https://new.land.naver.com/complexes/126060", "클릭")</f>
        <v>클릭</v>
      </c>
      <c r="H35">
        <v>2022</v>
      </c>
      <c r="I35">
        <v>3</v>
      </c>
      <c r="J35">
        <v>1199</v>
      </c>
      <c r="K35">
        <v>59</v>
      </c>
      <c r="L35" t="s">
        <v>135</v>
      </c>
      <c r="M35" t="s">
        <v>137</v>
      </c>
      <c r="N35" t="s">
        <v>244</v>
      </c>
      <c r="O35">
        <v>83000</v>
      </c>
      <c r="P35" t="s">
        <v>244</v>
      </c>
      <c r="Q35">
        <v>47000</v>
      </c>
      <c r="R35">
        <v>36000</v>
      </c>
      <c r="S35" s="2">
        <v>0.5662650602409639</v>
      </c>
      <c r="T35">
        <v>89458</v>
      </c>
      <c r="U35" s="2">
        <v>-7.2190301594044132E-2</v>
      </c>
      <c r="V35">
        <v>48300</v>
      </c>
      <c r="W35" s="2">
        <v>1.7184265010351969</v>
      </c>
      <c r="AA35" t="s">
        <v>198</v>
      </c>
    </row>
    <row r="36" spans="1:27" x14ac:dyDescent="0.3">
      <c r="A36" s="3">
        <v>34</v>
      </c>
      <c r="B36">
        <v>122682</v>
      </c>
      <c r="C36" t="s">
        <v>26</v>
      </c>
      <c r="D36" t="s">
        <v>27</v>
      </c>
      <c r="E36" t="s">
        <v>28</v>
      </c>
      <c r="F36" t="s">
        <v>46</v>
      </c>
      <c r="G36" s="1" t="str">
        <f>HYPERLINK("https://new.land.naver.com/complexes/122682", "클릭")</f>
        <v>클릭</v>
      </c>
      <c r="H36">
        <v>2021</v>
      </c>
      <c r="I36">
        <v>4</v>
      </c>
      <c r="J36">
        <v>3850</v>
      </c>
      <c r="K36">
        <v>59</v>
      </c>
      <c r="L36" t="s">
        <v>135</v>
      </c>
      <c r="M36" t="s">
        <v>137</v>
      </c>
      <c r="N36" t="s">
        <v>249</v>
      </c>
      <c r="O36">
        <v>78000</v>
      </c>
      <c r="P36" t="s">
        <v>249</v>
      </c>
      <c r="Q36">
        <v>40000</v>
      </c>
      <c r="R36">
        <v>38000</v>
      </c>
      <c r="S36" s="2">
        <v>0.51282051282051277</v>
      </c>
      <c r="T36">
        <v>90000</v>
      </c>
      <c r="U36" s="2">
        <v>-0.1333333333333333</v>
      </c>
      <c r="V36">
        <v>46900</v>
      </c>
      <c r="W36" s="2">
        <v>1.663113006396588</v>
      </c>
      <c r="AA36" t="s">
        <v>198</v>
      </c>
    </row>
    <row r="37" spans="1:27" x14ac:dyDescent="0.3">
      <c r="A37" s="3">
        <v>35</v>
      </c>
      <c r="B37">
        <v>152005</v>
      </c>
      <c r="C37" t="s">
        <v>26</v>
      </c>
      <c r="D37" t="s">
        <v>27</v>
      </c>
      <c r="E37" t="s">
        <v>28</v>
      </c>
      <c r="F37" t="s">
        <v>68</v>
      </c>
      <c r="G37" s="1" t="str">
        <f>HYPERLINK("https://new.land.naver.com/complexes/152005", "클릭")</f>
        <v>클릭</v>
      </c>
      <c r="H37">
        <v>2025</v>
      </c>
      <c r="I37">
        <v>6</v>
      </c>
      <c r="J37">
        <v>456</v>
      </c>
      <c r="K37">
        <v>84</v>
      </c>
      <c r="L37" t="s">
        <v>135</v>
      </c>
      <c r="M37" t="s">
        <v>139</v>
      </c>
      <c r="N37" t="s">
        <v>163</v>
      </c>
      <c r="O37">
        <v>78000</v>
      </c>
      <c r="AA37" t="s">
        <v>198</v>
      </c>
    </row>
    <row r="38" spans="1:27" x14ac:dyDescent="0.3">
      <c r="A38" s="3">
        <v>36</v>
      </c>
      <c r="B38">
        <v>123900</v>
      </c>
      <c r="C38" t="s">
        <v>26</v>
      </c>
      <c r="D38" t="s">
        <v>27</v>
      </c>
      <c r="E38" t="s">
        <v>28</v>
      </c>
      <c r="F38" t="s">
        <v>69</v>
      </c>
      <c r="G38" s="1" t="str">
        <f>HYPERLINK("https://new.land.naver.com/complexes/123900", "클릭")</f>
        <v>클릭</v>
      </c>
      <c r="H38">
        <v>2022</v>
      </c>
      <c r="I38">
        <v>5</v>
      </c>
      <c r="J38">
        <v>855</v>
      </c>
      <c r="K38">
        <v>84</v>
      </c>
      <c r="L38" t="s">
        <v>135</v>
      </c>
      <c r="M38" t="s">
        <v>137</v>
      </c>
      <c r="N38" t="s">
        <v>164</v>
      </c>
      <c r="O38">
        <v>77000</v>
      </c>
      <c r="P38" t="s">
        <v>153</v>
      </c>
      <c r="Q38">
        <v>45000</v>
      </c>
      <c r="R38">
        <v>32000</v>
      </c>
      <c r="S38" s="2">
        <v>0.58441558441558439</v>
      </c>
      <c r="T38">
        <v>80820</v>
      </c>
      <c r="U38" s="2">
        <v>-4.726552833457065E-2</v>
      </c>
      <c r="V38">
        <v>52800</v>
      </c>
      <c r="W38" s="2">
        <v>1.458333333333333</v>
      </c>
      <c r="AA38" t="s">
        <v>198</v>
      </c>
    </row>
    <row r="39" spans="1:27" x14ac:dyDescent="0.3">
      <c r="A39" s="3">
        <v>37</v>
      </c>
      <c r="B39">
        <v>127903</v>
      </c>
      <c r="C39" t="s">
        <v>26</v>
      </c>
      <c r="D39" t="s">
        <v>27</v>
      </c>
      <c r="E39" t="s">
        <v>31</v>
      </c>
      <c r="F39" t="s">
        <v>215</v>
      </c>
      <c r="G39" s="1" t="str">
        <f>HYPERLINK("https://new.land.naver.com/complexes/127903", "클릭")</f>
        <v>클릭</v>
      </c>
      <c r="H39">
        <v>2022</v>
      </c>
      <c r="I39">
        <v>4</v>
      </c>
      <c r="J39">
        <v>303</v>
      </c>
      <c r="K39">
        <v>76</v>
      </c>
      <c r="L39" t="s">
        <v>135</v>
      </c>
      <c r="M39" t="s">
        <v>137</v>
      </c>
      <c r="N39" t="s">
        <v>149</v>
      </c>
      <c r="O39">
        <v>77000</v>
      </c>
      <c r="P39" t="s">
        <v>149</v>
      </c>
      <c r="Q39">
        <v>51000</v>
      </c>
      <c r="R39">
        <v>26000</v>
      </c>
      <c r="S39" s="2">
        <v>0.66233766233766234</v>
      </c>
      <c r="V39">
        <v>45000</v>
      </c>
      <c r="W39" s="2">
        <v>1.711111111111111</v>
      </c>
      <c r="AA39" t="s">
        <v>198</v>
      </c>
    </row>
    <row r="40" spans="1:27" x14ac:dyDescent="0.3">
      <c r="A40" s="3">
        <v>38</v>
      </c>
      <c r="B40">
        <v>124780</v>
      </c>
      <c r="C40" t="s">
        <v>26</v>
      </c>
      <c r="D40" t="s">
        <v>27</v>
      </c>
      <c r="E40" t="s">
        <v>31</v>
      </c>
      <c r="F40" t="s">
        <v>45</v>
      </c>
      <c r="G40" s="1" t="str">
        <f>HYPERLINK("https://new.land.naver.com/complexes/124780", "클릭")</f>
        <v>클릭</v>
      </c>
      <c r="H40">
        <v>2021</v>
      </c>
      <c r="I40">
        <v>12</v>
      </c>
      <c r="J40">
        <v>2737</v>
      </c>
      <c r="K40">
        <v>59</v>
      </c>
      <c r="L40" t="s">
        <v>135</v>
      </c>
      <c r="M40" t="s">
        <v>137</v>
      </c>
      <c r="N40" t="s">
        <v>251</v>
      </c>
      <c r="O40">
        <v>76000</v>
      </c>
      <c r="P40" t="s">
        <v>243</v>
      </c>
      <c r="Q40">
        <v>44000</v>
      </c>
      <c r="R40">
        <v>32000</v>
      </c>
      <c r="S40" s="2">
        <v>0.57894736842105265</v>
      </c>
      <c r="T40">
        <v>92500</v>
      </c>
      <c r="U40" s="2">
        <v>-0.17837837837837839</v>
      </c>
      <c r="V40">
        <v>43500</v>
      </c>
      <c r="W40" s="2">
        <v>1.7471264367816091</v>
      </c>
      <c r="AA40" t="s">
        <v>198</v>
      </c>
    </row>
    <row r="41" spans="1:27" x14ac:dyDescent="0.3">
      <c r="A41" s="3">
        <v>39</v>
      </c>
      <c r="B41">
        <v>148980</v>
      </c>
      <c r="C41" t="s">
        <v>26</v>
      </c>
      <c r="D41" t="s">
        <v>27</v>
      </c>
      <c r="E41" t="s">
        <v>28</v>
      </c>
      <c r="F41" t="s">
        <v>211</v>
      </c>
      <c r="G41" s="1" t="str">
        <f>HYPERLINK("https://new.land.naver.com/complexes/148980", "클릭")</f>
        <v>클릭</v>
      </c>
      <c r="H41">
        <v>2024</v>
      </c>
      <c r="I41">
        <v>9</v>
      </c>
      <c r="J41">
        <v>304</v>
      </c>
      <c r="K41">
        <v>59</v>
      </c>
      <c r="L41" t="s">
        <v>135</v>
      </c>
      <c r="M41" t="s">
        <v>137</v>
      </c>
      <c r="N41" t="s">
        <v>253</v>
      </c>
      <c r="O41">
        <v>73700</v>
      </c>
      <c r="P41" t="s">
        <v>253</v>
      </c>
      <c r="Q41">
        <v>41000</v>
      </c>
      <c r="R41">
        <v>32700</v>
      </c>
      <c r="S41" s="2">
        <v>0.55630936227951155</v>
      </c>
      <c r="AA41" t="s">
        <v>199</v>
      </c>
    </row>
    <row r="42" spans="1:27" x14ac:dyDescent="0.3">
      <c r="A42" s="3">
        <v>40</v>
      </c>
      <c r="B42">
        <v>141825</v>
      </c>
      <c r="C42" t="s">
        <v>26</v>
      </c>
      <c r="D42" t="s">
        <v>27</v>
      </c>
      <c r="E42" t="s">
        <v>31</v>
      </c>
      <c r="F42" t="s">
        <v>296</v>
      </c>
      <c r="G42" s="1" t="str">
        <f>HYPERLINK("https://new.land.naver.com/complexes/141825", "클릭")</f>
        <v>클릭</v>
      </c>
      <c r="H42">
        <v>2023</v>
      </c>
      <c r="I42">
        <v>5</v>
      </c>
      <c r="J42">
        <v>230</v>
      </c>
      <c r="K42">
        <v>71</v>
      </c>
      <c r="L42" t="s">
        <v>135</v>
      </c>
      <c r="M42" t="s">
        <v>137</v>
      </c>
      <c r="N42" t="s">
        <v>341</v>
      </c>
      <c r="O42">
        <v>72000</v>
      </c>
      <c r="P42" t="s">
        <v>341</v>
      </c>
      <c r="Q42">
        <v>44000</v>
      </c>
      <c r="R42">
        <v>28000</v>
      </c>
      <c r="S42" s="2">
        <v>0.61111111111111116</v>
      </c>
      <c r="AA42" t="s">
        <v>198</v>
      </c>
    </row>
    <row r="43" spans="1:27" x14ac:dyDescent="0.3">
      <c r="A43" s="3">
        <v>41</v>
      </c>
      <c r="B43">
        <v>111921</v>
      </c>
      <c r="C43" t="s">
        <v>26</v>
      </c>
      <c r="D43" t="s">
        <v>27</v>
      </c>
      <c r="E43" t="s">
        <v>28</v>
      </c>
      <c r="F43" t="s">
        <v>213</v>
      </c>
      <c r="G43" s="1" t="str">
        <f>HYPERLINK("https://new.land.naver.com/complexes/111921", "클릭")</f>
        <v>클릭</v>
      </c>
      <c r="H43">
        <v>2018</v>
      </c>
      <c r="I43">
        <v>3</v>
      </c>
      <c r="J43">
        <v>200</v>
      </c>
      <c r="K43">
        <v>59</v>
      </c>
      <c r="L43" t="s">
        <v>135</v>
      </c>
      <c r="M43" t="s">
        <v>137</v>
      </c>
      <c r="N43" t="s">
        <v>256</v>
      </c>
      <c r="O43">
        <v>71000</v>
      </c>
      <c r="P43" t="s">
        <v>256</v>
      </c>
      <c r="Q43">
        <v>43000</v>
      </c>
      <c r="R43">
        <v>28000</v>
      </c>
      <c r="S43" s="2">
        <v>0.60563380281690138</v>
      </c>
      <c r="T43">
        <v>89700</v>
      </c>
      <c r="U43" s="2">
        <v>-0.20847268673355629</v>
      </c>
      <c r="V43">
        <v>39700</v>
      </c>
      <c r="W43" s="2">
        <v>1.7884130982367761</v>
      </c>
      <c r="AA43" t="s">
        <v>198</v>
      </c>
    </row>
    <row r="44" spans="1:27" x14ac:dyDescent="0.3">
      <c r="A44" s="3">
        <v>42</v>
      </c>
      <c r="B44">
        <v>123900</v>
      </c>
      <c r="C44" t="s">
        <v>26</v>
      </c>
      <c r="D44" t="s">
        <v>27</v>
      </c>
      <c r="E44" t="s">
        <v>28</v>
      </c>
      <c r="F44" t="s">
        <v>69</v>
      </c>
      <c r="G44" s="1" t="str">
        <f>HYPERLINK("https://new.land.naver.com/complexes/123900", "클릭")</f>
        <v>클릭</v>
      </c>
      <c r="H44">
        <v>2022</v>
      </c>
      <c r="I44">
        <v>5</v>
      </c>
      <c r="J44">
        <v>855</v>
      </c>
      <c r="K44">
        <v>70</v>
      </c>
      <c r="L44" t="s">
        <v>135</v>
      </c>
      <c r="M44" t="s">
        <v>337</v>
      </c>
      <c r="N44" t="s">
        <v>357</v>
      </c>
      <c r="O44">
        <v>70000</v>
      </c>
      <c r="P44" t="s">
        <v>377</v>
      </c>
      <c r="Q44">
        <v>41000</v>
      </c>
      <c r="R44">
        <v>29000</v>
      </c>
      <c r="S44" s="2">
        <v>0.58571428571428574</v>
      </c>
      <c r="V44">
        <v>45900</v>
      </c>
      <c r="W44" s="2">
        <v>1.5250544662309371</v>
      </c>
      <c r="AA44" t="s">
        <v>198</v>
      </c>
    </row>
    <row r="45" spans="1:27" x14ac:dyDescent="0.3">
      <c r="A45" s="3">
        <v>43</v>
      </c>
      <c r="B45">
        <v>118693</v>
      </c>
      <c r="C45" t="s">
        <v>26</v>
      </c>
      <c r="D45" t="s">
        <v>27</v>
      </c>
      <c r="E45" t="s">
        <v>29</v>
      </c>
      <c r="F45" t="s">
        <v>312</v>
      </c>
      <c r="G45" s="1" t="str">
        <f>HYPERLINK("https://new.land.naver.com/complexes/118693", "클릭")</f>
        <v>클릭</v>
      </c>
      <c r="H45">
        <v>2017</v>
      </c>
      <c r="I45">
        <v>11</v>
      </c>
      <c r="J45">
        <v>29</v>
      </c>
      <c r="K45">
        <v>129</v>
      </c>
      <c r="L45" t="s">
        <v>135</v>
      </c>
      <c r="M45" t="s">
        <v>554</v>
      </c>
      <c r="N45" t="s">
        <v>623</v>
      </c>
      <c r="O45">
        <v>69000</v>
      </c>
      <c r="P45" t="s">
        <v>623</v>
      </c>
      <c r="Q45">
        <v>36000</v>
      </c>
      <c r="R45">
        <v>33000</v>
      </c>
      <c r="S45" s="2">
        <v>0.52173913043478259</v>
      </c>
      <c r="V45">
        <v>44700</v>
      </c>
      <c r="W45" s="2">
        <v>1.5436241610738251</v>
      </c>
      <c r="AA45" t="s">
        <v>198</v>
      </c>
    </row>
    <row r="46" spans="1:27" x14ac:dyDescent="0.3">
      <c r="A46" s="3">
        <v>44</v>
      </c>
      <c r="B46">
        <v>153038</v>
      </c>
      <c r="C46" t="s">
        <v>26</v>
      </c>
      <c r="D46" t="s">
        <v>27</v>
      </c>
      <c r="E46" t="s">
        <v>29</v>
      </c>
      <c r="F46" t="s">
        <v>218</v>
      </c>
      <c r="G46" s="1" t="str">
        <f>HYPERLINK("https://new.land.naver.com/complexes/153038", "클릭")</f>
        <v>클릭</v>
      </c>
      <c r="H46">
        <v>2022</v>
      </c>
      <c r="I46">
        <v>10</v>
      </c>
      <c r="J46">
        <v>15</v>
      </c>
      <c r="K46">
        <v>61</v>
      </c>
      <c r="L46" t="s">
        <v>135</v>
      </c>
      <c r="M46" t="s">
        <v>137</v>
      </c>
      <c r="N46" t="s">
        <v>340</v>
      </c>
      <c r="O46">
        <v>67900</v>
      </c>
      <c r="P46" t="s">
        <v>340</v>
      </c>
      <c r="Q46">
        <v>42000</v>
      </c>
      <c r="R46">
        <v>25900</v>
      </c>
      <c r="S46" s="2">
        <v>0.61855670103092786</v>
      </c>
      <c r="AA46" t="s">
        <v>198</v>
      </c>
    </row>
    <row r="47" spans="1:27" x14ac:dyDescent="0.3">
      <c r="A47" s="3">
        <v>45</v>
      </c>
      <c r="B47">
        <v>153342</v>
      </c>
      <c r="C47" t="s">
        <v>26</v>
      </c>
      <c r="D47" t="s">
        <v>27</v>
      </c>
      <c r="E47" t="s">
        <v>29</v>
      </c>
      <c r="F47" t="s">
        <v>299</v>
      </c>
      <c r="G47" s="1" t="str">
        <f>HYPERLINK("https://new.land.naver.com/complexes/153342", "클릭")</f>
        <v>클릭</v>
      </c>
      <c r="H47">
        <v>2022</v>
      </c>
      <c r="I47">
        <v>10</v>
      </c>
      <c r="J47">
        <v>18</v>
      </c>
      <c r="K47">
        <v>81</v>
      </c>
      <c r="L47" t="s">
        <v>135</v>
      </c>
      <c r="M47" t="s">
        <v>137</v>
      </c>
      <c r="N47" t="s">
        <v>360</v>
      </c>
      <c r="O47">
        <v>66000</v>
      </c>
      <c r="P47" t="s">
        <v>360</v>
      </c>
      <c r="Q47">
        <v>38000</v>
      </c>
      <c r="R47">
        <v>28000</v>
      </c>
      <c r="S47" s="2">
        <v>0.5757575757575758</v>
      </c>
      <c r="V47">
        <v>32000</v>
      </c>
      <c r="W47" s="2">
        <v>2.0625</v>
      </c>
      <c r="AA47" t="s">
        <v>393</v>
      </c>
    </row>
    <row r="48" spans="1:27" x14ac:dyDescent="0.3">
      <c r="A48" s="3">
        <v>46</v>
      </c>
      <c r="B48">
        <v>127903</v>
      </c>
      <c r="C48" t="s">
        <v>26</v>
      </c>
      <c r="D48" t="s">
        <v>27</v>
      </c>
      <c r="E48" t="s">
        <v>31</v>
      </c>
      <c r="F48" t="s">
        <v>215</v>
      </c>
      <c r="G48" s="1" t="str">
        <f>HYPERLINK("https://new.land.naver.com/complexes/127903", "클릭")</f>
        <v>클릭</v>
      </c>
      <c r="H48">
        <v>2022</v>
      </c>
      <c r="I48">
        <v>4</v>
      </c>
      <c r="J48">
        <v>303</v>
      </c>
      <c r="K48">
        <v>59</v>
      </c>
      <c r="L48" t="s">
        <v>135</v>
      </c>
      <c r="M48" t="s">
        <v>137</v>
      </c>
      <c r="N48" t="s">
        <v>260</v>
      </c>
      <c r="O48">
        <v>66000</v>
      </c>
      <c r="P48" t="s">
        <v>260</v>
      </c>
      <c r="Q48">
        <v>42000</v>
      </c>
      <c r="R48">
        <v>24000</v>
      </c>
      <c r="S48" s="2">
        <v>0.63636363636363635</v>
      </c>
      <c r="T48">
        <v>59500</v>
      </c>
      <c r="U48" s="2">
        <v>0.1092436974789916</v>
      </c>
      <c r="V48">
        <v>38400</v>
      </c>
      <c r="W48" s="2">
        <v>1.71875</v>
      </c>
      <c r="AA48" t="s">
        <v>198</v>
      </c>
    </row>
    <row r="49" spans="1:27" x14ac:dyDescent="0.3">
      <c r="A49" s="3">
        <v>47</v>
      </c>
      <c r="B49">
        <v>132626</v>
      </c>
      <c r="C49" t="s">
        <v>26</v>
      </c>
      <c r="D49" t="s">
        <v>27</v>
      </c>
      <c r="E49" t="s">
        <v>29</v>
      </c>
      <c r="F49" t="s">
        <v>418</v>
      </c>
      <c r="G49" s="1" t="str">
        <f>HYPERLINK("https://new.land.naver.com/complexes/132626", "클릭")</f>
        <v>클릭</v>
      </c>
      <c r="H49">
        <v>2020</v>
      </c>
      <c r="I49">
        <v>6</v>
      </c>
      <c r="J49">
        <v>9</v>
      </c>
      <c r="K49">
        <v>53</v>
      </c>
      <c r="L49" t="s">
        <v>135</v>
      </c>
      <c r="M49" t="s">
        <v>138</v>
      </c>
      <c r="N49" t="s">
        <v>464</v>
      </c>
      <c r="O49">
        <v>65000</v>
      </c>
      <c r="P49" t="s">
        <v>464</v>
      </c>
      <c r="Q49">
        <v>44500</v>
      </c>
      <c r="R49">
        <v>20500</v>
      </c>
      <c r="S49" s="2">
        <v>0.68461538461538463</v>
      </c>
      <c r="AA49" t="s">
        <v>204</v>
      </c>
    </row>
    <row r="50" spans="1:27" x14ac:dyDescent="0.3">
      <c r="A50" s="3">
        <v>48</v>
      </c>
      <c r="B50">
        <v>144023</v>
      </c>
      <c r="C50" t="s">
        <v>26</v>
      </c>
      <c r="D50" t="s">
        <v>27</v>
      </c>
      <c r="E50" t="s">
        <v>31</v>
      </c>
      <c r="F50" t="s">
        <v>40</v>
      </c>
      <c r="G50" s="1" t="str">
        <f>HYPERLINK("https://new.land.naver.com/complexes/144023", "클릭")</f>
        <v>클릭</v>
      </c>
      <c r="H50">
        <v>2024</v>
      </c>
      <c r="I50">
        <v>6</v>
      </c>
      <c r="J50">
        <v>2739</v>
      </c>
      <c r="K50">
        <v>49</v>
      </c>
      <c r="L50" t="s">
        <v>135</v>
      </c>
      <c r="M50" t="s">
        <v>138</v>
      </c>
      <c r="N50" t="s">
        <v>465</v>
      </c>
      <c r="O50">
        <v>65000</v>
      </c>
      <c r="P50" t="s">
        <v>278</v>
      </c>
      <c r="Q50">
        <v>38000</v>
      </c>
      <c r="R50">
        <v>27000</v>
      </c>
      <c r="S50" s="2">
        <v>0.58461538461538465</v>
      </c>
      <c r="AA50" t="s">
        <v>198</v>
      </c>
    </row>
    <row r="51" spans="1:27" x14ac:dyDescent="0.3">
      <c r="A51" s="3">
        <v>49</v>
      </c>
      <c r="B51">
        <v>123900</v>
      </c>
      <c r="C51" t="s">
        <v>26</v>
      </c>
      <c r="D51" t="s">
        <v>27</v>
      </c>
      <c r="E51" t="s">
        <v>28</v>
      </c>
      <c r="F51" t="s">
        <v>69</v>
      </c>
      <c r="G51" s="1" t="str">
        <f>HYPERLINK("https://new.land.naver.com/complexes/123900", "클릭")</f>
        <v>클릭</v>
      </c>
      <c r="H51">
        <v>2022</v>
      </c>
      <c r="I51">
        <v>5</v>
      </c>
      <c r="J51">
        <v>855</v>
      </c>
      <c r="K51">
        <v>59</v>
      </c>
      <c r="L51" t="s">
        <v>135</v>
      </c>
      <c r="M51" t="s">
        <v>137</v>
      </c>
      <c r="N51" t="s">
        <v>262</v>
      </c>
      <c r="O51">
        <v>65000</v>
      </c>
      <c r="P51" t="s">
        <v>281</v>
      </c>
      <c r="Q51">
        <v>39000</v>
      </c>
      <c r="R51">
        <v>26000</v>
      </c>
      <c r="S51" s="2">
        <v>0.6</v>
      </c>
      <c r="T51">
        <v>84760</v>
      </c>
      <c r="U51" s="2">
        <v>-0.23312883435582821</v>
      </c>
      <c r="V51">
        <v>38900</v>
      </c>
      <c r="W51" s="2">
        <v>1.670951156812339</v>
      </c>
      <c r="AA51" t="s">
        <v>198</v>
      </c>
    </row>
    <row r="52" spans="1:27" x14ac:dyDescent="0.3">
      <c r="A52" s="3">
        <v>50</v>
      </c>
      <c r="B52">
        <v>126337</v>
      </c>
      <c r="C52" t="s">
        <v>26</v>
      </c>
      <c r="D52" t="s">
        <v>27</v>
      </c>
      <c r="E52" t="s">
        <v>31</v>
      </c>
      <c r="F52" t="s">
        <v>217</v>
      </c>
      <c r="G52" s="1" t="str">
        <f>HYPERLINK("https://new.land.naver.com/complexes/126337", "클릭")</f>
        <v>클릭</v>
      </c>
      <c r="H52">
        <v>2021</v>
      </c>
      <c r="I52">
        <v>11</v>
      </c>
      <c r="J52">
        <v>304</v>
      </c>
      <c r="K52">
        <v>59</v>
      </c>
      <c r="L52" t="s">
        <v>135</v>
      </c>
      <c r="M52" t="s">
        <v>137</v>
      </c>
      <c r="N52" t="s">
        <v>240</v>
      </c>
      <c r="O52">
        <v>63000</v>
      </c>
      <c r="P52" t="s">
        <v>240</v>
      </c>
      <c r="Q52">
        <v>38000</v>
      </c>
      <c r="R52">
        <v>25000</v>
      </c>
      <c r="S52" s="2">
        <v>0.60317460317460314</v>
      </c>
      <c r="T52">
        <v>53600</v>
      </c>
      <c r="U52" s="2">
        <v>0.17537313432835819</v>
      </c>
      <c r="AA52" t="s">
        <v>198</v>
      </c>
    </row>
    <row r="53" spans="1:27" x14ac:dyDescent="0.3">
      <c r="A53" s="3">
        <v>51</v>
      </c>
      <c r="B53">
        <v>153038</v>
      </c>
      <c r="C53" t="s">
        <v>26</v>
      </c>
      <c r="D53" t="s">
        <v>27</v>
      </c>
      <c r="E53" t="s">
        <v>29</v>
      </c>
      <c r="F53" t="s">
        <v>218</v>
      </c>
      <c r="G53" s="1" t="str">
        <f>HYPERLINK("https://new.land.naver.com/complexes/153038", "클릭")</f>
        <v>클릭</v>
      </c>
      <c r="H53">
        <v>2022</v>
      </c>
      <c r="I53">
        <v>10</v>
      </c>
      <c r="J53">
        <v>15</v>
      </c>
      <c r="K53">
        <v>59</v>
      </c>
      <c r="L53" t="s">
        <v>135</v>
      </c>
      <c r="M53" t="s">
        <v>137</v>
      </c>
      <c r="N53" t="s">
        <v>264</v>
      </c>
      <c r="O53">
        <v>63000</v>
      </c>
      <c r="P53" t="s">
        <v>264</v>
      </c>
      <c r="Q53">
        <v>42000</v>
      </c>
      <c r="R53">
        <v>21000</v>
      </c>
      <c r="S53" s="2">
        <v>0.66666666666666663</v>
      </c>
      <c r="AA53" t="s">
        <v>198</v>
      </c>
    </row>
    <row r="54" spans="1:27" x14ac:dyDescent="0.3">
      <c r="A54" s="3">
        <v>52</v>
      </c>
      <c r="B54">
        <v>153038</v>
      </c>
      <c r="C54" t="s">
        <v>26</v>
      </c>
      <c r="D54" t="s">
        <v>27</v>
      </c>
      <c r="E54" t="s">
        <v>29</v>
      </c>
      <c r="F54" t="s">
        <v>218</v>
      </c>
      <c r="G54" s="1" t="str">
        <f>HYPERLINK("https://new.land.naver.com/complexes/153038", "클릭")</f>
        <v>클릭</v>
      </c>
      <c r="H54">
        <v>2022</v>
      </c>
      <c r="I54">
        <v>10</v>
      </c>
      <c r="J54">
        <v>15</v>
      </c>
      <c r="K54">
        <v>56</v>
      </c>
      <c r="L54" t="s">
        <v>135</v>
      </c>
      <c r="M54" t="s">
        <v>137</v>
      </c>
      <c r="N54" t="s">
        <v>384</v>
      </c>
      <c r="O54">
        <v>63000</v>
      </c>
      <c r="P54" t="s">
        <v>384</v>
      </c>
      <c r="Q54">
        <v>42000</v>
      </c>
      <c r="R54">
        <v>21000</v>
      </c>
      <c r="S54" s="2">
        <v>0.66666666666666663</v>
      </c>
      <c r="AA54" t="s">
        <v>198</v>
      </c>
    </row>
    <row r="55" spans="1:27" x14ac:dyDescent="0.3">
      <c r="A55" s="3">
        <v>53</v>
      </c>
      <c r="B55">
        <v>154917</v>
      </c>
      <c r="C55" t="s">
        <v>26</v>
      </c>
      <c r="D55" t="s">
        <v>27</v>
      </c>
      <c r="E55" t="s">
        <v>28</v>
      </c>
      <c r="F55" t="s">
        <v>32</v>
      </c>
      <c r="G55" s="1" t="str">
        <f>HYPERLINK("https://new.land.naver.com/complexes/154917", "클릭")</f>
        <v>클릭</v>
      </c>
      <c r="H55">
        <v>2023</v>
      </c>
      <c r="I55">
        <v>11</v>
      </c>
      <c r="J55">
        <v>2886</v>
      </c>
      <c r="K55">
        <v>46</v>
      </c>
      <c r="L55" t="s">
        <v>135</v>
      </c>
      <c r="M55" t="s">
        <v>235</v>
      </c>
      <c r="N55" t="s">
        <v>466</v>
      </c>
      <c r="O55">
        <v>61500</v>
      </c>
      <c r="P55" t="s">
        <v>466</v>
      </c>
      <c r="Q55">
        <v>36000</v>
      </c>
      <c r="R55">
        <v>25500</v>
      </c>
      <c r="S55" s="2">
        <v>0.58536585365853655</v>
      </c>
      <c r="AA55" t="s">
        <v>198</v>
      </c>
    </row>
    <row r="56" spans="1:27" x14ac:dyDescent="0.3">
      <c r="A56" s="3">
        <v>54</v>
      </c>
      <c r="B56">
        <v>152005</v>
      </c>
      <c r="C56" t="s">
        <v>26</v>
      </c>
      <c r="D56" t="s">
        <v>27</v>
      </c>
      <c r="E56" t="s">
        <v>28</v>
      </c>
      <c r="F56" t="s">
        <v>68</v>
      </c>
      <c r="G56" s="1" t="str">
        <f>HYPERLINK("https://new.land.naver.com/complexes/152005", "클릭")</f>
        <v>클릭</v>
      </c>
      <c r="H56">
        <v>2025</v>
      </c>
      <c r="I56">
        <v>6</v>
      </c>
      <c r="J56">
        <v>456</v>
      </c>
      <c r="K56">
        <v>59</v>
      </c>
      <c r="L56" t="s">
        <v>135</v>
      </c>
      <c r="M56" t="s">
        <v>137</v>
      </c>
      <c r="N56" t="s">
        <v>267</v>
      </c>
      <c r="O56">
        <v>61050</v>
      </c>
      <c r="P56" t="s">
        <v>267</v>
      </c>
      <c r="Q56">
        <v>40000</v>
      </c>
      <c r="R56">
        <v>21050</v>
      </c>
      <c r="S56" s="2">
        <v>0.65520065520065518</v>
      </c>
      <c r="AA56" t="s">
        <v>198</v>
      </c>
    </row>
    <row r="57" spans="1:27" x14ac:dyDescent="0.3">
      <c r="A57" s="3">
        <v>55</v>
      </c>
      <c r="B57">
        <v>124780</v>
      </c>
      <c r="C57" t="s">
        <v>26</v>
      </c>
      <c r="D57" t="s">
        <v>27</v>
      </c>
      <c r="E57" t="s">
        <v>31</v>
      </c>
      <c r="F57" t="s">
        <v>45</v>
      </c>
      <c r="G57" s="1" t="str">
        <f>HYPERLINK("https://new.land.naver.com/complexes/124780", "클릭")</f>
        <v>클릭</v>
      </c>
      <c r="H57">
        <v>2021</v>
      </c>
      <c r="I57">
        <v>12</v>
      </c>
      <c r="J57">
        <v>2737</v>
      </c>
      <c r="K57">
        <v>49</v>
      </c>
      <c r="L57" t="s">
        <v>135</v>
      </c>
      <c r="M57" t="s">
        <v>235</v>
      </c>
      <c r="N57" t="s">
        <v>278</v>
      </c>
      <c r="O57">
        <v>61000</v>
      </c>
      <c r="P57" t="s">
        <v>460</v>
      </c>
      <c r="Q57">
        <v>38000</v>
      </c>
      <c r="R57">
        <v>23000</v>
      </c>
      <c r="S57" s="2">
        <v>0.62295081967213117</v>
      </c>
      <c r="V57">
        <v>37600</v>
      </c>
      <c r="W57" s="2">
        <v>1.6223404255319149</v>
      </c>
      <c r="AA57" t="s">
        <v>198</v>
      </c>
    </row>
    <row r="58" spans="1:27" x14ac:dyDescent="0.3">
      <c r="A58" s="3">
        <v>56</v>
      </c>
      <c r="B58">
        <v>115703</v>
      </c>
      <c r="C58" t="s">
        <v>26</v>
      </c>
      <c r="D58" t="s">
        <v>27</v>
      </c>
      <c r="E58" t="s">
        <v>28</v>
      </c>
      <c r="F58" t="s">
        <v>221</v>
      </c>
      <c r="G58" s="1" t="str">
        <f>HYPERLINK("https://new.land.naver.com/complexes/115703", "클릭")</f>
        <v>클릭</v>
      </c>
      <c r="H58">
        <v>2019</v>
      </c>
      <c r="I58">
        <v>4</v>
      </c>
      <c r="J58">
        <v>203</v>
      </c>
      <c r="K58">
        <v>59</v>
      </c>
      <c r="L58" t="s">
        <v>135</v>
      </c>
      <c r="M58" t="s">
        <v>137</v>
      </c>
      <c r="N58" t="s">
        <v>253</v>
      </c>
      <c r="O58">
        <v>60000</v>
      </c>
      <c r="P58" t="s">
        <v>282</v>
      </c>
      <c r="Q58">
        <v>42000</v>
      </c>
      <c r="R58">
        <v>18000</v>
      </c>
      <c r="S58" s="2">
        <v>0.7</v>
      </c>
      <c r="T58">
        <v>70000</v>
      </c>
      <c r="U58" s="2">
        <v>-0.14285714285714279</v>
      </c>
      <c r="V58">
        <v>39300</v>
      </c>
      <c r="W58" s="2">
        <v>1.5267175572519081</v>
      </c>
      <c r="AA58" t="s">
        <v>198</v>
      </c>
    </row>
    <row r="59" spans="1:27" x14ac:dyDescent="0.3">
      <c r="A59" s="3">
        <v>57</v>
      </c>
      <c r="B59">
        <v>122682</v>
      </c>
      <c r="C59" t="s">
        <v>26</v>
      </c>
      <c r="D59" t="s">
        <v>27</v>
      </c>
      <c r="E59" t="s">
        <v>28</v>
      </c>
      <c r="F59" t="s">
        <v>46</v>
      </c>
      <c r="G59" s="1" t="str">
        <f>HYPERLINK("https://new.land.naver.com/complexes/122682", "클릭")</f>
        <v>클릭</v>
      </c>
      <c r="H59">
        <v>2021</v>
      </c>
      <c r="I59">
        <v>4</v>
      </c>
      <c r="J59">
        <v>3850</v>
      </c>
      <c r="K59">
        <v>46</v>
      </c>
      <c r="L59" t="s">
        <v>135</v>
      </c>
      <c r="M59" t="s">
        <v>235</v>
      </c>
      <c r="N59" t="s">
        <v>467</v>
      </c>
      <c r="O59">
        <v>60000</v>
      </c>
      <c r="P59" t="s">
        <v>513</v>
      </c>
      <c r="Q59">
        <v>35000</v>
      </c>
      <c r="R59">
        <v>25000</v>
      </c>
      <c r="S59" s="2">
        <v>0.58333333333333337</v>
      </c>
      <c r="V59">
        <v>34400</v>
      </c>
      <c r="W59" s="2">
        <v>1.7441860465116279</v>
      </c>
      <c r="AA59" t="s">
        <v>198</v>
      </c>
    </row>
    <row r="60" spans="1:27" x14ac:dyDescent="0.3">
      <c r="A60" s="3">
        <v>58</v>
      </c>
      <c r="B60">
        <v>139912</v>
      </c>
      <c r="C60" t="s">
        <v>26</v>
      </c>
      <c r="D60" t="s">
        <v>27</v>
      </c>
      <c r="E60" t="s">
        <v>28</v>
      </c>
      <c r="F60" t="s">
        <v>303</v>
      </c>
      <c r="G60" s="1" t="str">
        <f>HYPERLINK("https://new.land.naver.com/complexes/139912", "클릭")</f>
        <v>클릭</v>
      </c>
      <c r="H60">
        <v>2022</v>
      </c>
      <c r="I60">
        <v>7</v>
      </c>
      <c r="J60">
        <v>25</v>
      </c>
      <c r="K60">
        <v>60</v>
      </c>
      <c r="L60" t="s">
        <v>135</v>
      </c>
      <c r="M60" t="s">
        <v>137</v>
      </c>
      <c r="N60" t="s">
        <v>240</v>
      </c>
      <c r="O60">
        <v>60000</v>
      </c>
      <c r="P60" t="s">
        <v>240</v>
      </c>
      <c r="Q60">
        <v>37000</v>
      </c>
      <c r="R60">
        <v>23000</v>
      </c>
      <c r="S60" s="2">
        <v>0.6166666666666667</v>
      </c>
      <c r="AA60" t="s">
        <v>198</v>
      </c>
    </row>
    <row r="61" spans="1:27" x14ac:dyDescent="0.3">
      <c r="A61" s="3">
        <v>59</v>
      </c>
      <c r="B61">
        <v>139912</v>
      </c>
      <c r="C61" t="s">
        <v>26</v>
      </c>
      <c r="D61" t="s">
        <v>27</v>
      </c>
      <c r="E61" t="s">
        <v>28</v>
      </c>
      <c r="F61" t="s">
        <v>303</v>
      </c>
      <c r="G61" s="1" t="str">
        <f>HYPERLINK("https://new.land.naver.com/complexes/139912", "클릭")</f>
        <v>클릭</v>
      </c>
      <c r="H61">
        <v>2022</v>
      </c>
      <c r="I61">
        <v>7</v>
      </c>
      <c r="J61">
        <v>25</v>
      </c>
      <c r="K61">
        <v>62</v>
      </c>
      <c r="L61" t="s">
        <v>135</v>
      </c>
      <c r="M61" t="s">
        <v>137</v>
      </c>
      <c r="N61" t="s">
        <v>256</v>
      </c>
      <c r="O61">
        <v>60000</v>
      </c>
      <c r="P61" t="s">
        <v>256</v>
      </c>
      <c r="Q61">
        <v>37000</v>
      </c>
      <c r="R61">
        <v>23000</v>
      </c>
      <c r="S61" s="2">
        <v>0.6166666666666667</v>
      </c>
      <c r="AA61" t="s">
        <v>198</v>
      </c>
    </row>
    <row r="62" spans="1:27" x14ac:dyDescent="0.3">
      <c r="A62" s="3">
        <v>60</v>
      </c>
      <c r="B62">
        <v>139912</v>
      </c>
      <c r="C62" t="s">
        <v>26</v>
      </c>
      <c r="D62" t="s">
        <v>27</v>
      </c>
      <c r="E62" t="s">
        <v>28</v>
      </c>
      <c r="F62" t="s">
        <v>303</v>
      </c>
      <c r="G62" s="1" t="str">
        <f>HYPERLINK("https://new.land.naver.com/complexes/139912", "클릭")</f>
        <v>클릭</v>
      </c>
      <c r="H62">
        <v>2022</v>
      </c>
      <c r="I62">
        <v>7</v>
      </c>
      <c r="J62">
        <v>25</v>
      </c>
      <c r="K62">
        <v>63</v>
      </c>
      <c r="L62" t="s">
        <v>135</v>
      </c>
      <c r="M62" t="s">
        <v>137</v>
      </c>
      <c r="N62" t="s">
        <v>363</v>
      </c>
      <c r="O62">
        <v>60000</v>
      </c>
      <c r="P62" t="s">
        <v>378</v>
      </c>
      <c r="Q62">
        <v>37000</v>
      </c>
      <c r="R62">
        <v>23000</v>
      </c>
      <c r="S62" s="2">
        <v>0.6166666666666667</v>
      </c>
      <c r="AA62" t="s">
        <v>198</v>
      </c>
    </row>
    <row r="63" spans="1:27" x14ac:dyDescent="0.3">
      <c r="A63" s="3">
        <v>61</v>
      </c>
      <c r="B63">
        <v>141825</v>
      </c>
      <c r="C63" t="s">
        <v>26</v>
      </c>
      <c r="D63" t="s">
        <v>27</v>
      </c>
      <c r="E63" t="s">
        <v>31</v>
      </c>
      <c r="F63" t="s">
        <v>296</v>
      </c>
      <c r="G63" s="1" t="str">
        <f>HYPERLINK("https://new.land.naver.com/complexes/141825", "클릭")</f>
        <v>클릭</v>
      </c>
      <c r="H63">
        <v>2023</v>
      </c>
      <c r="I63">
        <v>5</v>
      </c>
      <c r="J63">
        <v>230</v>
      </c>
      <c r="K63">
        <v>62</v>
      </c>
      <c r="L63" t="s">
        <v>135</v>
      </c>
      <c r="M63" t="s">
        <v>137</v>
      </c>
      <c r="N63" t="s">
        <v>364</v>
      </c>
      <c r="O63">
        <v>59000</v>
      </c>
      <c r="P63" t="s">
        <v>364</v>
      </c>
      <c r="Q63">
        <v>40000</v>
      </c>
      <c r="R63">
        <v>19000</v>
      </c>
      <c r="S63" s="2">
        <v>0.67796610169491522</v>
      </c>
      <c r="AA63" t="s">
        <v>198</v>
      </c>
    </row>
    <row r="64" spans="1:27" x14ac:dyDescent="0.3">
      <c r="A64" s="3">
        <v>62</v>
      </c>
      <c r="B64">
        <v>153721</v>
      </c>
      <c r="C64" t="s">
        <v>26</v>
      </c>
      <c r="D64" t="s">
        <v>27</v>
      </c>
      <c r="E64" t="s">
        <v>29</v>
      </c>
      <c r="F64" t="s">
        <v>305</v>
      </c>
      <c r="G64" s="1" t="str">
        <f>HYPERLINK("https://new.land.naver.com/complexes/153721", "클릭")</f>
        <v>클릭</v>
      </c>
      <c r="H64">
        <v>2022</v>
      </c>
      <c r="I64">
        <v>10</v>
      </c>
      <c r="J64">
        <v>18</v>
      </c>
      <c r="K64">
        <v>69</v>
      </c>
      <c r="L64" t="s">
        <v>135</v>
      </c>
      <c r="M64" t="s">
        <v>137</v>
      </c>
      <c r="N64" t="s">
        <v>266</v>
      </c>
      <c r="O64">
        <v>58200</v>
      </c>
      <c r="P64" t="s">
        <v>266</v>
      </c>
      <c r="Q64">
        <v>36000</v>
      </c>
      <c r="R64">
        <v>22200</v>
      </c>
      <c r="S64" s="2">
        <v>0.61855670103092786</v>
      </c>
      <c r="AA64" t="s">
        <v>395</v>
      </c>
    </row>
    <row r="65" spans="1:27" x14ac:dyDescent="0.3">
      <c r="A65" s="3">
        <v>63</v>
      </c>
      <c r="B65">
        <v>152005</v>
      </c>
      <c r="C65" t="s">
        <v>26</v>
      </c>
      <c r="D65" t="s">
        <v>27</v>
      </c>
      <c r="E65" t="s">
        <v>28</v>
      </c>
      <c r="F65" t="s">
        <v>68</v>
      </c>
      <c r="G65" s="1" t="str">
        <f>HYPERLINK("https://new.land.naver.com/complexes/152005", "클릭")</f>
        <v>클릭</v>
      </c>
      <c r="H65">
        <v>2025</v>
      </c>
      <c r="I65">
        <v>6</v>
      </c>
      <c r="J65">
        <v>456</v>
      </c>
      <c r="K65">
        <v>49</v>
      </c>
      <c r="L65" t="s">
        <v>135</v>
      </c>
      <c r="M65" t="s">
        <v>338</v>
      </c>
      <c r="N65" t="s">
        <v>468</v>
      </c>
      <c r="O65">
        <v>58100</v>
      </c>
      <c r="P65" t="s">
        <v>468</v>
      </c>
      <c r="Q65">
        <v>41000</v>
      </c>
      <c r="R65">
        <v>17100</v>
      </c>
      <c r="S65" s="2">
        <v>0.70567986230636837</v>
      </c>
      <c r="AA65" t="s">
        <v>198</v>
      </c>
    </row>
    <row r="66" spans="1:27" x14ac:dyDescent="0.3">
      <c r="A66" s="3">
        <v>64</v>
      </c>
      <c r="B66">
        <v>123203</v>
      </c>
      <c r="C66" t="s">
        <v>26</v>
      </c>
      <c r="D66" t="s">
        <v>27</v>
      </c>
      <c r="E66" t="s">
        <v>29</v>
      </c>
      <c r="F66" t="s">
        <v>306</v>
      </c>
      <c r="G66" s="1" t="str">
        <f>HYPERLINK("https://new.land.naver.com/complexes/123203", "클릭")</f>
        <v>클릭</v>
      </c>
      <c r="H66">
        <v>2018</v>
      </c>
      <c r="I66">
        <v>12</v>
      </c>
      <c r="J66">
        <v>9</v>
      </c>
      <c r="K66">
        <v>70</v>
      </c>
      <c r="L66" t="s">
        <v>135</v>
      </c>
      <c r="M66" t="s">
        <v>137</v>
      </c>
      <c r="N66" t="s">
        <v>251</v>
      </c>
      <c r="O66">
        <v>58000</v>
      </c>
      <c r="P66" t="s">
        <v>251</v>
      </c>
      <c r="Q66">
        <v>37000</v>
      </c>
      <c r="R66">
        <v>21000</v>
      </c>
      <c r="S66" s="2">
        <v>0.63793103448275867</v>
      </c>
      <c r="AA66" t="s">
        <v>198</v>
      </c>
    </row>
    <row r="67" spans="1:27" x14ac:dyDescent="0.3">
      <c r="A67" s="3">
        <v>65</v>
      </c>
      <c r="B67">
        <v>132112</v>
      </c>
      <c r="C67" t="s">
        <v>26</v>
      </c>
      <c r="D67" t="s">
        <v>27</v>
      </c>
      <c r="E67" t="s">
        <v>28</v>
      </c>
      <c r="F67" t="s">
        <v>307</v>
      </c>
      <c r="G67" s="1" t="str">
        <f>HYPERLINK("https://new.land.naver.com/complexes/132112", "클릭")</f>
        <v>클릭</v>
      </c>
      <c r="H67">
        <v>2022</v>
      </c>
      <c r="I67">
        <v>3</v>
      </c>
      <c r="J67">
        <v>144</v>
      </c>
      <c r="K67">
        <v>75</v>
      </c>
      <c r="L67" t="s">
        <v>135</v>
      </c>
      <c r="M67" t="s">
        <v>137</v>
      </c>
      <c r="N67" t="s">
        <v>366</v>
      </c>
      <c r="O67">
        <v>58000</v>
      </c>
      <c r="P67" t="s">
        <v>366</v>
      </c>
      <c r="Q67">
        <v>40000</v>
      </c>
      <c r="R67">
        <v>18000</v>
      </c>
      <c r="S67" s="2">
        <v>0.68965517241379315</v>
      </c>
      <c r="AA67" t="s">
        <v>198</v>
      </c>
    </row>
    <row r="68" spans="1:27" x14ac:dyDescent="0.3">
      <c r="A68" s="3">
        <v>66</v>
      </c>
      <c r="B68">
        <v>135882</v>
      </c>
      <c r="C68" t="s">
        <v>26</v>
      </c>
      <c r="D68" t="s">
        <v>27</v>
      </c>
      <c r="E68" t="s">
        <v>29</v>
      </c>
      <c r="F68" t="s">
        <v>308</v>
      </c>
      <c r="G68" s="1" t="str">
        <f>HYPERLINK("https://new.land.naver.com/complexes/135882", "클릭")</f>
        <v>클릭</v>
      </c>
      <c r="H68">
        <v>2020</v>
      </c>
      <c r="I68">
        <v>10</v>
      </c>
      <c r="J68">
        <v>12</v>
      </c>
      <c r="K68">
        <v>68</v>
      </c>
      <c r="N68" t="s">
        <v>258</v>
      </c>
      <c r="O68">
        <v>58000</v>
      </c>
      <c r="P68" t="s">
        <v>258</v>
      </c>
      <c r="Q68">
        <v>36000</v>
      </c>
      <c r="R68">
        <v>22000</v>
      </c>
      <c r="S68" s="2">
        <v>0.62068965517241381</v>
      </c>
      <c r="AA68" t="s">
        <v>396</v>
      </c>
    </row>
    <row r="69" spans="1:27" x14ac:dyDescent="0.3">
      <c r="A69" s="3">
        <v>67</v>
      </c>
      <c r="B69">
        <v>126337</v>
      </c>
      <c r="C69" t="s">
        <v>26</v>
      </c>
      <c r="D69" t="s">
        <v>27</v>
      </c>
      <c r="E69" t="s">
        <v>31</v>
      </c>
      <c r="F69" t="s">
        <v>217</v>
      </c>
      <c r="G69" s="1" t="str">
        <f>HYPERLINK("https://new.land.naver.com/complexes/126337", "클릭")</f>
        <v>클릭</v>
      </c>
      <c r="H69">
        <v>2021</v>
      </c>
      <c r="I69">
        <v>11</v>
      </c>
      <c r="J69">
        <v>304</v>
      </c>
      <c r="K69">
        <v>51</v>
      </c>
      <c r="L69" t="s">
        <v>135</v>
      </c>
      <c r="M69" t="s">
        <v>338</v>
      </c>
      <c r="N69" t="s">
        <v>370</v>
      </c>
      <c r="O69">
        <v>57000</v>
      </c>
      <c r="P69" t="s">
        <v>370</v>
      </c>
      <c r="Q69">
        <v>38000</v>
      </c>
      <c r="R69">
        <v>19000</v>
      </c>
      <c r="S69" s="2">
        <v>0.66666666666666663</v>
      </c>
      <c r="AA69" t="s">
        <v>198</v>
      </c>
    </row>
    <row r="70" spans="1:27" x14ac:dyDescent="0.3">
      <c r="A70" s="3">
        <v>68</v>
      </c>
      <c r="B70">
        <v>110631</v>
      </c>
      <c r="C70" t="s">
        <v>26</v>
      </c>
      <c r="D70" t="s">
        <v>27</v>
      </c>
      <c r="E70" t="s">
        <v>31</v>
      </c>
      <c r="F70" t="s">
        <v>99</v>
      </c>
      <c r="G70" s="1" t="str">
        <f>HYPERLINK("https://new.land.naver.com/complexes/110631", "클릭")</f>
        <v>클릭</v>
      </c>
      <c r="H70">
        <v>2017</v>
      </c>
      <c r="I70">
        <v>1</v>
      </c>
      <c r="J70">
        <v>219</v>
      </c>
      <c r="K70">
        <v>84</v>
      </c>
      <c r="L70" t="s">
        <v>135</v>
      </c>
      <c r="M70" t="s">
        <v>137</v>
      </c>
      <c r="N70" t="s">
        <v>176</v>
      </c>
      <c r="O70">
        <v>55000</v>
      </c>
      <c r="P70" t="s">
        <v>176</v>
      </c>
      <c r="Q70">
        <v>41000</v>
      </c>
      <c r="R70">
        <v>14000</v>
      </c>
      <c r="S70" s="2">
        <v>0.74545454545454548</v>
      </c>
      <c r="T70">
        <v>67700</v>
      </c>
      <c r="U70" s="2">
        <v>-0.1875923190546529</v>
      </c>
      <c r="V70">
        <v>39200</v>
      </c>
      <c r="W70" s="2">
        <v>1.403061224489796</v>
      </c>
      <c r="AA70" t="s">
        <v>198</v>
      </c>
    </row>
    <row r="71" spans="1:27" x14ac:dyDescent="0.3">
      <c r="A71" s="3">
        <v>69</v>
      </c>
      <c r="B71">
        <v>153342</v>
      </c>
      <c r="C71" t="s">
        <v>26</v>
      </c>
      <c r="D71" t="s">
        <v>27</v>
      </c>
      <c r="E71" t="s">
        <v>29</v>
      </c>
      <c r="F71" t="s">
        <v>299</v>
      </c>
      <c r="G71" s="1" t="str">
        <f>HYPERLINK("https://new.land.naver.com/complexes/153342", "클릭")</f>
        <v>클릭</v>
      </c>
      <c r="H71">
        <v>2022</v>
      </c>
      <c r="I71">
        <v>10</v>
      </c>
      <c r="J71">
        <v>18</v>
      </c>
      <c r="K71">
        <v>79</v>
      </c>
      <c r="M71" t="s">
        <v>137</v>
      </c>
      <c r="N71" t="s">
        <v>367</v>
      </c>
      <c r="O71">
        <v>55000</v>
      </c>
      <c r="P71" t="s">
        <v>367</v>
      </c>
      <c r="Q71">
        <v>35000</v>
      </c>
      <c r="R71">
        <v>20000</v>
      </c>
      <c r="S71" s="2">
        <v>0.63636363636363635</v>
      </c>
      <c r="AA71" t="s">
        <v>397</v>
      </c>
    </row>
    <row r="72" spans="1:27" x14ac:dyDescent="0.3">
      <c r="A72" s="3">
        <v>70</v>
      </c>
      <c r="B72">
        <v>135882</v>
      </c>
      <c r="C72" t="s">
        <v>26</v>
      </c>
      <c r="D72" t="s">
        <v>27</v>
      </c>
      <c r="E72" t="s">
        <v>29</v>
      </c>
      <c r="F72" t="s">
        <v>308</v>
      </c>
      <c r="G72" s="1" t="str">
        <f>HYPERLINK("https://new.land.naver.com/complexes/135882", "클릭")</f>
        <v>클릭</v>
      </c>
      <c r="H72">
        <v>2020</v>
      </c>
      <c r="I72">
        <v>10</v>
      </c>
      <c r="J72">
        <v>12</v>
      </c>
      <c r="K72">
        <v>66</v>
      </c>
      <c r="N72" t="s">
        <v>340</v>
      </c>
      <c r="O72">
        <v>55000</v>
      </c>
      <c r="P72" t="s">
        <v>340</v>
      </c>
      <c r="Q72">
        <v>35000</v>
      </c>
      <c r="R72">
        <v>20000</v>
      </c>
      <c r="S72" s="2">
        <v>0.63636363636363635</v>
      </c>
      <c r="AA72" t="s">
        <v>291</v>
      </c>
    </row>
    <row r="73" spans="1:27" x14ac:dyDescent="0.3">
      <c r="A73" s="3">
        <v>71</v>
      </c>
      <c r="B73">
        <v>124780</v>
      </c>
      <c r="C73" t="s">
        <v>26</v>
      </c>
      <c r="D73" t="s">
        <v>27</v>
      </c>
      <c r="E73" t="s">
        <v>31</v>
      </c>
      <c r="F73" t="s">
        <v>45</v>
      </c>
      <c r="G73" s="1" t="str">
        <f>HYPERLINK("https://new.land.naver.com/complexes/124780", "클릭")</f>
        <v>클릭</v>
      </c>
      <c r="H73">
        <v>2021</v>
      </c>
      <c r="I73">
        <v>12</v>
      </c>
      <c r="J73">
        <v>2737</v>
      </c>
      <c r="K73">
        <v>45</v>
      </c>
      <c r="L73" t="s">
        <v>136</v>
      </c>
      <c r="M73" t="s">
        <v>235</v>
      </c>
      <c r="N73" t="s">
        <v>339</v>
      </c>
      <c r="O73">
        <v>54000</v>
      </c>
      <c r="P73" t="s">
        <v>339</v>
      </c>
      <c r="Q73">
        <v>40000</v>
      </c>
      <c r="R73">
        <v>14000</v>
      </c>
      <c r="S73" s="2">
        <v>0.7407407407407407</v>
      </c>
      <c r="V73">
        <v>32400</v>
      </c>
      <c r="W73" s="2">
        <v>1.666666666666667</v>
      </c>
      <c r="AA73" t="s">
        <v>198</v>
      </c>
    </row>
    <row r="74" spans="1:27" x14ac:dyDescent="0.3">
      <c r="A74" s="3">
        <v>72</v>
      </c>
      <c r="B74">
        <v>110631</v>
      </c>
      <c r="C74" t="s">
        <v>26</v>
      </c>
      <c r="D74" t="s">
        <v>27</v>
      </c>
      <c r="E74" t="s">
        <v>31</v>
      </c>
      <c r="F74" t="s">
        <v>99</v>
      </c>
      <c r="G74" s="1" t="str">
        <f>HYPERLINK("https://new.land.naver.com/complexes/110631", "클릭")</f>
        <v>클릭</v>
      </c>
      <c r="H74">
        <v>2017</v>
      </c>
      <c r="I74">
        <v>1</v>
      </c>
      <c r="J74">
        <v>219</v>
      </c>
      <c r="K74">
        <v>74</v>
      </c>
      <c r="L74" t="s">
        <v>135</v>
      </c>
      <c r="M74" t="s">
        <v>137</v>
      </c>
      <c r="N74" t="s">
        <v>181</v>
      </c>
      <c r="O74">
        <v>53000</v>
      </c>
      <c r="P74" t="s">
        <v>181</v>
      </c>
      <c r="Q74">
        <v>39000</v>
      </c>
      <c r="R74">
        <v>14000</v>
      </c>
      <c r="S74" s="2">
        <v>0.73584905660377353</v>
      </c>
      <c r="V74">
        <v>34700</v>
      </c>
      <c r="W74" s="2">
        <v>1.527377521613833</v>
      </c>
      <c r="AA74" t="s">
        <v>198</v>
      </c>
    </row>
    <row r="75" spans="1:27" x14ac:dyDescent="0.3">
      <c r="A75" s="3">
        <v>73</v>
      </c>
      <c r="B75">
        <v>153721</v>
      </c>
      <c r="C75" t="s">
        <v>26</v>
      </c>
      <c r="D75" t="s">
        <v>27</v>
      </c>
      <c r="E75" t="s">
        <v>29</v>
      </c>
      <c r="F75" t="s">
        <v>305</v>
      </c>
      <c r="G75" s="1" t="str">
        <f>HYPERLINK("https://new.land.naver.com/complexes/153721", "클릭")</f>
        <v>클릭</v>
      </c>
      <c r="H75">
        <v>2022</v>
      </c>
      <c r="I75">
        <v>10</v>
      </c>
      <c r="J75">
        <v>18</v>
      </c>
      <c r="K75">
        <v>62</v>
      </c>
      <c r="L75" t="s">
        <v>135</v>
      </c>
      <c r="M75" t="s">
        <v>138</v>
      </c>
      <c r="N75" t="s">
        <v>368</v>
      </c>
      <c r="O75">
        <v>53000</v>
      </c>
      <c r="AA75" t="s">
        <v>198</v>
      </c>
    </row>
    <row r="76" spans="1:27" x14ac:dyDescent="0.3">
      <c r="A76" s="3">
        <v>74</v>
      </c>
      <c r="B76">
        <v>153721</v>
      </c>
      <c r="C76" t="s">
        <v>26</v>
      </c>
      <c r="D76" t="s">
        <v>27</v>
      </c>
      <c r="E76" t="s">
        <v>29</v>
      </c>
      <c r="F76" t="s">
        <v>305</v>
      </c>
      <c r="G76" s="1" t="str">
        <f>HYPERLINK("https://new.land.naver.com/complexes/153721", "클릭")</f>
        <v>클릭</v>
      </c>
      <c r="H76">
        <v>2022</v>
      </c>
      <c r="I76">
        <v>10</v>
      </c>
      <c r="J76">
        <v>18</v>
      </c>
      <c r="K76">
        <v>65</v>
      </c>
      <c r="L76" t="s">
        <v>135</v>
      </c>
      <c r="M76" t="s">
        <v>138</v>
      </c>
      <c r="N76" t="s">
        <v>258</v>
      </c>
      <c r="O76">
        <v>53000</v>
      </c>
      <c r="P76" t="s">
        <v>258</v>
      </c>
      <c r="Q76">
        <v>38000</v>
      </c>
      <c r="R76">
        <v>15000</v>
      </c>
      <c r="S76" s="2">
        <v>0.71698113207547165</v>
      </c>
      <c r="AA76" t="s">
        <v>198</v>
      </c>
    </row>
    <row r="77" spans="1:27" x14ac:dyDescent="0.3">
      <c r="A77" s="3">
        <v>75</v>
      </c>
      <c r="B77">
        <v>118693</v>
      </c>
      <c r="C77" t="s">
        <v>26</v>
      </c>
      <c r="D77" t="s">
        <v>27</v>
      </c>
      <c r="E77" t="s">
        <v>29</v>
      </c>
      <c r="F77" t="s">
        <v>312</v>
      </c>
      <c r="G77" s="1" t="str">
        <f>HYPERLINK("https://new.land.naver.com/complexes/118693", "클릭")</f>
        <v>클릭</v>
      </c>
      <c r="H77">
        <v>2017</v>
      </c>
      <c r="I77">
        <v>11</v>
      </c>
      <c r="J77">
        <v>29</v>
      </c>
      <c r="K77">
        <v>68</v>
      </c>
      <c r="L77" t="s">
        <v>135</v>
      </c>
      <c r="M77" t="s">
        <v>137</v>
      </c>
      <c r="N77" t="s">
        <v>367</v>
      </c>
      <c r="O77">
        <v>53000</v>
      </c>
      <c r="P77" t="s">
        <v>367</v>
      </c>
      <c r="Q77">
        <v>30000</v>
      </c>
      <c r="R77">
        <v>23000</v>
      </c>
      <c r="S77" s="2">
        <v>0.56603773584905659</v>
      </c>
      <c r="V77">
        <v>27100</v>
      </c>
      <c r="W77" s="2">
        <v>1.9557195571955719</v>
      </c>
      <c r="AA77" t="s">
        <v>198</v>
      </c>
    </row>
    <row r="78" spans="1:27" x14ac:dyDescent="0.3">
      <c r="A78" s="3">
        <v>76</v>
      </c>
      <c r="B78">
        <v>153721</v>
      </c>
      <c r="C78" t="s">
        <v>26</v>
      </c>
      <c r="D78" t="s">
        <v>27</v>
      </c>
      <c r="E78" t="s">
        <v>29</v>
      </c>
      <c r="F78" t="s">
        <v>305</v>
      </c>
      <c r="G78" s="1" t="str">
        <f>HYPERLINK("https://new.land.naver.com/complexes/153721", "클릭")</f>
        <v>클릭</v>
      </c>
      <c r="H78">
        <v>2022</v>
      </c>
      <c r="I78">
        <v>10</v>
      </c>
      <c r="J78">
        <v>18</v>
      </c>
      <c r="K78">
        <v>60</v>
      </c>
      <c r="L78" t="s">
        <v>135</v>
      </c>
      <c r="M78" t="s">
        <v>138</v>
      </c>
      <c r="N78" t="s">
        <v>370</v>
      </c>
      <c r="O78">
        <v>52000</v>
      </c>
      <c r="AA78" t="s">
        <v>198</v>
      </c>
    </row>
    <row r="79" spans="1:27" x14ac:dyDescent="0.3">
      <c r="A79" s="3">
        <v>77</v>
      </c>
      <c r="B79">
        <v>141825</v>
      </c>
      <c r="C79" t="s">
        <v>26</v>
      </c>
      <c r="D79" t="s">
        <v>27</v>
      </c>
      <c r="E79" t="s">
        <v>31</v>
      </c>
      <c r="F79" t="s">
        <v>296</v>
      </c>
      <c r="G79" s="1" t="str">
        <f>HYPERLINK("https://new.land.naver.com/complexes/141825", "클릭")</f>
        <v>클릭</v>
      </c>
      <c r="H79">
        <v>2023</v>
      </c>
      <c r="I79">
        <v>5</v>
      </c>
      <c r="J79">
        <v>230</v>
      </c>
      <c r="K79">
        <v>48</v>
      </c>
      <c r="L79" t="s">
        <v>135</v>
      </c>
      <c r="M79" t="s">
        <v>235</v>
      </c>
      <c r="N79" t="s">
        <v>466</v>
      </c>
      <c r="O79">
        <v>50000</v>
      </c>
      <c r="P79" t="s">
        <v>466</v>
      </c>
      <c r="Q79">
        <v>35000</v>
      </c>
      <c r="R79">
        <v>15000</v>
      </c>
      <c r="S79" s="2">
        <v>0.7</v>
      </c>
      <c r="AA79" t="s">
        <v>198</v>
      </c>
    </row>
    <row r="80" spans="1:27" x14ac:dyDescent="0.3">
      <c r="A80" s="3">
        <v>78</v>
      </c>
      <c r="B80">
        <v>126337</v>
      </c>
      <c r="C80" t="s">
        <v>26</v>
      </c>
      <c r="D80" t="s">
        <v>27</v>
      </c>
      <c r="E80" t="s">
        <v>31</v>
      </c>
      <c r="F80" t="s">
        <v>217</v>
      </c>
      <c r="G80" s="1" t="str">
        <f>HYPERLINK("https://new.land.naver.com/complexes/126337", "클릭")</f>
        <v>클릭</v>
      </c>
      <c r="H80">
        <v>2021</v>
      </c>
      <c r="I80">
        <v>11</v>
      </c>
      <c r="J80">
        <v>304</v>
      </c>
      <c r="K80">
        <v>47</v>
      </c>
      <c r="L80" t="s">
        <v>135</v>
      </c>
      <c r="M80" t="s">
        <v>235</v>
      </c>
      <c r="N80" t="s">
        <v>238</v>
      </c>
      <c r="O80">
        <v>50000</v>
      </c>
      <c r="P80" t="s">
        <v>238</v>
      </c>
      <c r="Q80">
        <v>36000</v>
      </c>
      <c r="R80">
        <v>14000</v>
      </c>
      <c r="S80" s="2">
        <v>0.72</v>
      </c>
      <c r="AA80" t="s">
        <v>198</v>
      </c>
    </row>
    <row r="81" spans="1:27" x14ac:dyDescent="0.3">
      <c r="A81" s="3">
        <v>79</v>
      </c>
      <c r="B81">
        <v>154917</v>
      </c>
      <c r="C81" t="s">
        <v>26</v>
      </c>
      <c r="D81" t="s">
        <v>27</v>
      </c>
      <c r="E81" t="s">
        <v>28</v>
      </c>
      <c r="F81" t="s">
        <v>32</v>
      </c>
      <c r="G81" s="1" t="str">
        <f>HYPERLINK("https://new.land.naver.com/complexes/154917", "클릭")</f>
        <v>클릭</v>
      </c>
      <c r="H81">
        <v>2023</v>
      </c>
      <c r="I81">
        <v>11</v>
      </c>
      <c r="J81">
        <v>2886</v>
      </c>
      <c r="K81">
        <v>36</v>
      </c>
      <c r="L81" t="s">
        <v>135</v>
      </c>
      <c r="M81" t="s">
        <v>236</v>
      </c>
      <c r="N81" t="s">
        <v>474</v>
      </c>
      <c r="O81">
        <v>49500</v>
      </c>
      <c r="P81" t="s">
        <v>474</v>
      </c>
      <c r="Q81">
        <v>25000</v>
      </c>
      <c r="R81">
        <v>24500</v>
      </c>
      <c r="S81" s="2">
        <v>0.50505050505050508</v>
      </c>
      <c r="AA81" t="s">
        <v>198</v>
      </c>
    </row>
    <row r="82" spans="1:27" x14ac:dyDescent="0.3">
      <c r="A82" s="3">
        <v>80</v>
      </c>
      <c r="B82">
        <v>123203</v>
      </c>
      <c r="C82" t="s">
        <v>26</v>
      </c>
      <c r="D82" t="s">
        <v>27</v>
      </c>
      <c r="E82" t="s">
        <v>29</v>
      </c>
      <c r="F82" t="s">
        <v>306</v>
      </c>
      <c r="G82" s="1" t="str">
        <f>HYPERLINK("https://new.land.naver.com/complexes/123203", "클릭")</f>
        <v>클릭</v>
      </c>
      <c r="H82">
        <v>2018</v>
      </c>
      <c r="I82">
        <v>12</v>
      </c>
      <c r="J82">
        <v>9</v>
      </c>
      <c r="K82">
        <v>42</v>
      </c>
      <c r="L82" t="s">
        <v>135</v>
      </c>
      <c r="M82" t="s">
        <v>235</v>
      </c>
      <c r="N82" t="s">
        <v>476</v>
      </c>
      <c r="O82">
        <v>49000</v>
      </c>
      <c r="P82" t="s">
        <v>476</v>
      </c>
      <c r="Q82">
        <v>30000</v>
      </c>
      <c r="R82">
        <v>19000</v>
      </c>
      <c r="S82" s="2">
        <v>0.61224489795918369</v>
      </c>
      <c r="AA82" t="s">
        <v>387</v>
      </c>
    </row>
    <row r="83" spans="1:27" x14ac:dyDescent="0.3">
      <c r="A83" s="3">
        <v>81</v>
      </c>
      <c r="B83">
        <v>132112</v>
      </c>
      <c r="C83" t="s">
        <v>26</v>
      </c>
      <c r="D83" t="s">
        <v>27</v>
      </c>
      <c r="E83" t="s">
        <v>28</v>
      </c>
      <c r="F83" t="s">
        <v>307</v>
      </c>
      <c r="G83" s="1" t="str">
        <f>HYPERLINK("https://new.land.naver.com/complexes/132112", "클릭")</f>
        <v>클릭</v>
      </c>
      <c r="H83">
        <v>2022</v>
      </c>
      <c r="I83">
        <v>3</v>
      </c>
      <c r="J83">
        <v>144</v>
      </c>
      <c r="K83">
        <v>61</v>
      </c>
      <c r="L83" t="s">
        <v>135</v>
      </c>
      <c r="M83" t="s">
        <v>137</v>
      </c>
      <c r="N83" t="s">
        <v>269</v>
      </c>
      <c r="O83">
        <v>49000</v>
      </c>
      <c r="P83" t="s">
        <v>269</v>
      </c>
      <c r="Q83">
        <v>36000</v>
      </c>
      <c r="R83">
        <v>13000</v>
      </c>
      <c r="S83" s="2">
        <v>0.73469387755102045</v>
      </c>
      <c r="AA83" t="s">
        <v>198</v>
      </c>
    </row>
    <row r="84" spans="1:27" x14ac:dyDescent="0.3">
      <c r="A84" s="3">
        <v>82</v>
      </c>
      <c r="B84">
        <v>123900</v>
      </c>
      <c r="C84" t="s">
        <v>26</v>
      </c>
      <c r="D84" t="s">
        <v>27</v>
      </c>
      <c r="E84" t="s">
        <v>28</v>
      </c>
      <c r="F84" t="s">
        <v>69</v>
      </c>
      <c r="G84" s="1" t="str">
        <f>HYPERLINK("https://new.land.naver.com/complexes/123900", "클릭")</f>
        <v>클릭</v>
      </c>
      <c r="H84">
        <v>2022</v>
      </c>
      <c r="I84">
        <v>5</v>
      </c>
      <c r="J84">
        <v>855</v>
      </c>
      <c r="K84">
        <v>43</v>
      </c>
      <c r="L84" t="s">
        <v>135</v>
      </c>
      <c r="M84" t="s">
        <v>235</v>
      </c>
      <c r="N84" t="s">
        <v>352</v>
      </c>
      <c r="O84">
        <v>47000</v>
      </c>
      <c r="P84" t="s">
        <v>352</v>
      </c>
      <c r="Q84">
        <v>30000</v>
      </c>
      <c r="R84">
        <v>17000</v>
      </c>
      <c r="S84" s="2">
        <v>0.63829787234042556</v>
      </c>
      <c r="V84">
        <v>25400</v>
      </c>
      <c r="W84" s="2">
        <v>1.8503937007874021</v>
      </c>
      <c r="AA84" t="s">
        <v>198</v>
      </c>
    </row>
    <row r="85" spans="1:27" x14ac:dyDescent="0.3">
      <c r="A85" s="3">
        <v>83</v>
      </c>
      <c r="B85">
        <v>128987</v>
      </c>
      <c r="C85" t="s">
        <v>26</v>
      </c>
      <c r="D85" t="s">
        <v>27</v>
      </c>
      <c r="E85" t="s">
        <v>29</v>
      </c>
      <c r="F85" t="s">
        <v>316</v>
      </c>
      <c r="G85" s="1" t="str">
        <f>HYPERLINK("https://new.land.naver.com/complexes/128987", "클릭")</f>
        <v>클릭</v>
      </c>
      <c r="H85">
        <v>2019</v>
      </c>
      <c r="I85">
        <v>8</v>
      </c>
      <c r="J85">
        <v>6</v>
      </c>
      <c r="K85">
        <v>67</v>
      </c>
      <c r="L85" t="s">
        <v>135</v>
      </c>
      <c r="M85" t="s">
        <v>137</v>
      </c>
      <c r="N85" t="s">
        <v>271</v>
      </c>
      <c r="O85">
        <v>47000</v>
      </c>
      <c r="AA85" t="s">
        <v>198</v>
      </c>
    </row>
    <row r="86" spans="1:27" x14ac:dyDescent="0.3">
      <c r="A86" s="3">
        <v>84</v>
      </c>
      <c r="B86">
        <v>122827</v>
      </c>
      <c r="C86" t="s">
        <v>26</v>
      </c>
      <c r="D86" t="s">
        <v>27</v>
      </c>
      <c r="E86" t="s">
        <v>31</v>
      </c>
      <c r="F86" t="s">
        <v>320</v>
      </c>
      <c r="G86" s="1" t="str">
        <f>HYPERLINK("https://new.land.naver.com/complexes/122827", "클릭")</f>
        <v>클릭</v>
      </c>
      <c r="H86">
        <v>2018</v>
      </c>
      <c r="I86">
        <v>6</v>
      </c>
      <c r="J86">
        <v>27</v>
      </c>
      <c r="K86">
        <v>67</v>
      </c>
      <c r="L86" t="s">
        <v>135</v>
      </c>
      <c r="M86" t="s">
        <v>137</v>
      </c>
      <c r="N86" t="s">
        <v>359</v>
      </c>
      <c r="O86">
        <v>45000</v>
      </c>
      <c r="AA86" t="s">
        <v>198</v>
      </c>
    </row>
    <row r="87" spans="1:27" x14ac:dyDescent="0.3">
      <c r="A87" s="3">
        <v>85</v>
      </c>
      <c r="B87">
        <v>115703</v>
      </c>
      <c r="C87" t="s">
        <v>26</v>
      </c>
      <c r="D87" t="s">
        <v>27</v>
      </c>
      <c r="E87" t="s">
        <v>28</v>
      </c>
      <c r="F87" t="s">
        <v>221</v>
      </c>
      <c r="G87" s="1" t="str">
        <f>HYPERLINK("https://new.land.naver.com/complexes/115703", "클릭")</f>
        <v>클릭</v>
      </c>
      <c r="H87">
        <v>2019</v>
      </c>
      <c r="I87">
        <v>4</v>
      </c>
      <c r="J87">
        <v>203</v>
      </c>
      <c r="K87">
        <v>45</v>
      </c>
      <c r="L87" t="s">
        <v>135</v>
      </c>
      <c r="M87" t="s">
        <v>235</v>
      </c>
      <c r="N87" t="s">
        <v>478</v>
      </c>
      <c r="O87">
        <v>45000</v>
      </c>
      <c r="P87" t="s">
        <v>478</v>
      </c>
      <c r="Q87">
        <v>30000</v>
      </c>
      <c r="R87">
        <v>15000</v>
      </c>
      <c r="S87" s="2">
        <v>0.66666666666666663</v>
      </c>
      <c r="V87">
        <v>27500</v>
      </c>
      <c r="W87" s="2">
        <v>1.636363636363636</v>
      </c>
      <c r="AA87" t="s">
        <v>198</v>
      </c>
    </row>
    <row r="88" spans="1:27" x14ac:dyDescent="0.3">
      <c r="A88" s="3">
        <v>86</v>
      </c>
      <c r="B88">
        <v>114535</v>
      </c>
      <c r="C88" t="s">
        <v>26</v>
      </c>
      <c r="D88" t="s">
        <v>27</v>
      </c>
      <c r="E88" t="s">
        <v>28</v>
      </c>
      <c r="F88" t="s">
        <v>321</v>
      </c>
      <c r="G88" s="1" t="str">
        <f>HYPERLINK("https://new.land.naver.com/complexes/114535", "클릭")</f>
        <v>클릭</v>
      </c>
      <c r="H88">
        <v>2016</v>
      </c>
      <c r="I88">
        <v>6</v>
      </c>
      <c r="J88">
        <v>36</v>
      </c>
      <c r="K88">
        <v>71</v>
      </c>
      <c r="L88" t="s">
        <v>135</v>
      </c>
      <c r="M88" t="s">
        <v>137</v>
      </c>
      <c r="N88" t="s">
        <v>237</v>
      </c>
      <c r="O88">
        <v>45000</v>
      </c>
      <c r="P88" t="s">
        <v>237</v>
      </c>
      <c r="Q88">
        <v>31000</v>
      </c>
      <c r="R88">
        <v>14000</v>
      </c>
      <c r="S88" s="2">
        <v>0.68888888888888888</v>
      </c>
      <c r="V88">
        <v>31300</v>
      </c>
      <c r="W88" s="2">
        <v>1.4376996805111819</v>
      </c>
      <c r="AA88" t="s">
        <v>198</v>
      </c>
    </row>
    <row r="89" spans="1:27" x14ac:dyDescent="0.3">
      <c r="A89" s="3">
        <v>87</v>
      </c>
      <c r="B89">
        <v>132626</v>
      </c>
      <c r="C89" t="s">
        <v>26</v>
      </c>
      <c r="D89" t="s">
        <v>27</v>
      </c>
      <c r="E89" t="s">
        <v>29</v>
      </c>
      <c r="F89" t="s">
        <v>418</v>
      </c>
      <c r="G89" s="1" t="str">
        <f>HYPERLINK("https://new.land.naver.com/complexes/132626", "클릭")</f>
        <v>클릭</v>
      </c>
      <c r="H89">
        <v>2020</v>
      </c>
      <c r="I89">
        <v>6</v>
      </c>
      <c r="J89">
        <v>9</v>
      </c>
      <c r="K89">
        <v>52</v>
      </c>
      <c r="N89" t="s">
        <v>475</v>
      </c>
      <c r="O89">
        <v>45000</v>
      </c>
      <c r="AA89" t="s">
        <v>525</v>
      </c>
    </row>
    <row r="90" spans="1:27" x14ac:dyDescent="0.3">
      <c r="A90" s="3">
        <v>88</v>
      </c>
      <c r="B90">
        <v>128689</v>
      </c>
      <c r="C90" t="s">
        <v>26</v>
      </c>
      <c r="D90" t="s">
        <v>27</v>
      </c>
      <c r="E90" t="s">
        <v>28</v>
      </c>
      <c r="F90" t="s">
        <v>230</v>
      </c>
      <c r="G90" s="1" t="str">
        <f>HYPERLINK("https://new.land.naver.com/complexes/128689", "클릭")</f>
        <v>클릭</v>
      </c>
      <c r="H90">
        <v>2019</v>
      </c>
      <c r="I90">
        <v>7</v>
      </c>
      <c r="J90">
        <v>42</v>
      </c>
      <c r="K90">
        <v>55</v>
      </c>
      <c r="L90" t="s">
        <v>135</v>
      </c>
      <c r="M90" t="s">
        <v>137</v>
      </c>
      <c r="N90" t="s">
        <v>482</v>
      </c>
      <c r="O90">
        <v>42000</v>
      </c>
      <c r="P90" t="s">
        <v>482</v>
      </c>
      <c r="Q90">
        <v>29000</v>
      </c>
      <c r="R90">
        <v>13000</v>
      </c>
      <c r="S90" s="2">
        <v>0.69047619047619047</v>
      </c>
      <c r="V90">
        <v>25000</v>
      </c>
      <c r="W90" s="2">
        <v>1.68</v>
      </c>
      <c r="AA90" t="s">
        <v>198</v>
      </c>
    </row>
    <row r="91" spans="1:27" x14ac:dyDescent="0.3">
      <c r="A91" s="3">
        <v>89</v>
      </c>
      <c r="B91">
        <v>128689</v>
      </c>
      <c r="C91" t="s">
        <v>26</v>
      </c>
      <c r="D91" t="s">
        <v>27</v>
      </c>
      <c r="E91" t="s">
        <v>28</v>
      </c>
      <c r="F91" t="s">
        <v>230</v>
      </c>
      <c r="G91" s="1" t="str">
        <f>HYPERLINK("https://new.land.naver.com/complexes/128689", "클릭")</f>
        <v>클릭</v>
      </c>
      <c r="H91">
        <v>2019</v>
      </c>
      <c r="I91">
        <v>7</v>
      </c>
      <c r="J91">
        <v>42</v>
      </c>
      <c r="K91">
        <v>56</v>
      </c>
      <c r="L91" t="s">
        <v>135</v>
      </c>
      <c r="M91" t="s">
        <v>137</v>
      </c>
      <c r="N91" t="s">
        <v>257</v>
      </c>
      <c r="O91">
        <v>42000</v>
      </c>
      <c r="P91" t="s">
        <v>257</v>
      </c>
      <c r="Q91">
        <v>32000</v>
      </c>
      <c r="R91">
        <v>10000</v>
      </c>
      <c r="S91" s="2">
        <v>0.76190476190476186</v>
      </c>
      <c r="T91">
        <v>35500</v>
      </c>
      <c r="U91" s="2">
        <v>0.18309859154929581</v>
      </c>
      <c r="V91">
        <v>25000</v>
      </c>
      <c r="W91" s="2">
        <v>1.68</v>
      </c>
      <c r="AA91" t="s">
        <v>388</v>
      </c>
    </row>
    <row r="92" spans="1:27" x14ac:dyDescent="0.3">
      <c r="A92" s="3">
        <v>90</v>
      </c>
      <c r="B92">
        <v>123900</v>
      </c>
      <c r="C92" t="s">
        <v>26</v>
      </c>
      <c r="D92" t="s">
        <v>27</v>
      </c>
      <c r="E92" t="s">
        <v>28</v>
      </c>
      <c r="F92" t="s">
        <v>69</v>
      </c>
      <c r="G92" s="1" t="str">
        <f>HYPERLINK("https://new.land.naver.com/complexes/123900", "클릭")</f>
        <v>클릭</v>
      </c>
      <c r="H92">
        <v>2022</v>
      </c>
      <c r="I92">
        <v>5</v>
      </c>
      <c r="J92">
        <v>855</v>
      </c>
      <c r="K92">
        <v>36</v>
      </c>
      <c r="L92" t="s">
        <v>135</v>
      </c>
      <c r="M92" t="s">
        <v>235</v>
      </c>
      <c r="N92" t="s">
        <v>483</v>
      </c>
      <c r="O92">
        <v>41000</v>
      </c>
      <c r="P92" t="s">
        <v>483</v>
      </c>
      <c r="Q92">
        <v>28000</v>
      </c>
      <c r="R92">
        <v>13000</v>
      </c>
      <c r="S92" s="2">
        <v>0.68292682926829273</v>
      </c>
      <c r="V92">
        <v>21100</v>
      </c>
      <c r="W92" s="2">
        <v>1.9431279620853079</v>
      </c>
      <c r="AA92" t="s">
        <v>198</v>
      </c>
    </row>
    <row r="93" spans="1:27" x14ac:dyDescent="0.3">
      <c r="A93" s="3">
        <v>91</v>
      </c>
      <c r="B93">
        <v>122682</v>
      </c>
      <c r="C93" t="s">
        <v>26</v>
      </c>
      <c r="D93" t="s">
        <v>27</v>
      </c>
      <c r="E93" t="s">
        <v>28</v>
      </c>
      <c r="F93" t="s">
        <v>46</v>
      </c>
      <c r="G93" s="1" t="str">
        <f>HYPERLINK("https://new.land.naver.com/complexes/122682", "클릭")</f>
        <v>클릭</v>
      </c>
      <c r="H93">
        <v>2021</v>
      </c>
      <c r="I93">
        <v>4</v>
      </c>
      <c r="J93">
        <v>3850</v>
      </c>
      <c r="K93">
        <v>39</v>
      </c>
      <c r="L93" t="s">
        <v>135</v>
      </c>
      <c r="M93" t="s">
        <v>236</v>
      </c>
      <c r="N93" t="s">
        <v>484</v>
      </c>
      <c r="O93">
        <v>40400</v>
      </c>
      <c r="P93" t="s">
        <v>484</v>
      </c>
      <c r="Q93">
        <v>26313</v>
      </c>
      <c r="R93">
        <v>14087</v>
      </c>
      <c r="S93" s="2">
        <v>0.65131188118811878</v>
      </c>
      <c r="V93">
        <v>25600</v>
      </c>
      <c r="W93" s="2">
        <v>1.578125</v>
      </c>
      <c r="AA93" t="s">
        <v>198</v>
      </c>
    </row>
    <row r="94" spans="1:27" x14ac:dyDescent="0.3">
      <c r="A94" s="3">
        <v>92</v>
      </c>
      <c r="B94">
        <v>120224</v>
      </c>
      <c r="C94" t="s">
        <v>26</v>
      </c>
      <c r="D94" t="s">
        <v>27</v>
      </c>
      <c r="E94" t="s">
        <v>28</v>
      </c>
      <c r="F94" t="s">
        <v>229</v>
      </c>
      <c r="G94" s="1" t="str">
        <f>HYPERLINK("https://new.land.naver.com/complexes/120224", "클릭")</f>
        <v>클릭</v>
      </c>
      <c r="H94">
        <v>2017</v>
      </c>
      <c r="I94">
        <v>1</v>
      </c>
      <c r="J94">
        <v>24</v>
      </c>
      <c r="K94">
        <v>59</v>
      </c>
      <c r="L94" t="s">
        <v>135</v>
      </c>
      <c r="M94" t="s">
        <v>137</v>
      </c>
      <c r="N94" t="s">
        <v>276</v>
      </c>
      <c r="O94">
        <v>40000</v>
      </c>
      <c r="P94" t="s">
        <v>285</v>
      </c>
      <c r="Q94">
        <v>28000</v>
      </c>
      <c r="R94">
        <v>12000</v>
      </c>
      <c r="S94" s="2">
        <v>0.7</v>
      </c>
      <c r="T94">
        <v>38000</v>
      </c>
      <c r="U94" s="2">
        <v>5.2631578947368418E-2</v>
      </c>
      <c r="AA94" t="s">
        <v>198</v>
      </c>
    </row>
    <row r="95" spans="1:27" x14ac:dyDescent="0.3">
      <c r="A95" s="3">
        <v>93</v>
      </c>
      <c r="B95">
        <v>124780</v>
      </c>
      <c r="C95" t="s">
        <v>26</v>
      </c>
      <c r="D95" t="s">
        <v>27</v>
      </c>
      <c r="E95" t="s">
        <v>31</v>
      </c>
      <c r="F95" t="s">
        <v>45</v>
      </c>
      <c r="G95" s="1" t="str">
        <f>HYPERLINK("https://new.land.naver.com/complexes/124780", "클릭")</f>
        <v>클릭</v>
      </c>
      <c r="H95">
        <v>2021</v>
      </c>
      <c r="I95">
        <v>12</v>
      </c>
      <c r="J95">
        <v>2737</v>
      </c>
      <c r="K95">
        <v>39</v>
      </c>
      <c r="L95" t="s">
        <v>136</v>
      </c>
      <c r="M95" t="s">
        <v>236</v>
      </c>
      <c r="N95" t="s">
        <v>485</v>
      </c>
      <c r="O95">
        <v>40000</v>
      </c>
      <c r="P95" t="s">
        <v>485</v>
      </c>
      <c r="Q95">
        <v>27946</v>
      </c>
      <c r="R95">
        <v>12054</v>
      </c>
      <c r="S95" s="2">
        <v>0.69864999999999999</v>
      </c>
      <c r="V95">
        <v>23600</v>
      </c>
      <c r="W95" s="2">
        <v>1.6949152542372881</v>
      </c>
      <c r="AA95" t="s">
        <v>198</v>
      </c>
    </row>
    <row r="96" spans="1:27" x14ac:dyDescent="0.3">
      <c r="A96" s="3">
        <v>94</v>
      </c>
      <c r="B96">
        <v>116798</v>
      </c>
      <c r="C96" t="s">
        <v>26</v>
      </c>
      <c r="D96" t="s">
        <v>27</v>
      </c>
      <c r="E96" t="s">
        <v>31</v>
      </c>
      <c r="F96" t="s">
        <v>328</v>
      </c>
      <c r="G96" s="1" t="str">
        <f>HYPERLINK("https://new.land.naver.com/complexes/116798", "클릭")</f>
        <v>클릭</v>
      </c>
      <c r="H96">
        <v>2016</v>
      </c>
      <c r="I96">
        <v>12</v>
      </c>
      <c r="J96">
        <v>34</v>
      </c>
      <c r="K96">
        <v>69</v>
      </c>
      <c r="L96" t="s">
        <v>135</v>
      </c>
      <c r="M96" t="s">
        <v>137</v>
      </c>
      <c r="N96" t="s">
        <v>271</v>
      </c>
      <c r="O96">
        <v>37000</v>
      </c>
      <c r="P96" t="s">
        <v>271</v>
      </c>
      <c r="Q96">
        <v>30000</v>
      </c>
      <c r="R96">
        <v>7000</v>
      </c>
      <c r="S96" s="2">
        <v>0.81081081081081086</v>
      </c>
      <c r="AA96" t="s">
        <v>198</v>
      </c>
    </row>
    <row r="97" spans="1:27" x14ac:dyDescent="0.3">
      <c r="A97" s="3">
        <v>95</v>
      </c>
      <c r="B97">
        <v>128689</v>
      </c>
      <c r="C97" t="s">
        <v>26</v>
      </c>
      <c r="D97" t="s">
        <v>27</v>
      </c>
      <c r="E97" t="s">
        <v>28</v>
      </c>
      <c r="F97" t="s">
        <v>230</v>
      </c>
      <c r="G97" s="1" t="str">
        <f>HYPERLINK("https://new.land.naver.com/complexes/128689", "클릭")</f>
        <v>클릭</v>
      </c>
      <c r="H97">
        <v>2019</v>
      </c>
      <c r="I97">
        <v>7</v>
      </c>
      <c r="J97">
        <v>42</v>
      </c>
      <c r="K97">
        <v>58</v>
      </c>
      <c r="L97" t="s">
        <v>135</v>
      </c>
      <c r="M97" t="s">
        <v>137</v>
      </c>
      <c r="N97" t="s">
        <v>277</v>
      </c>
      <c r="O97">
        <v>36000</v>
      </c>
      <c r="P97" t="s">
        <v>277</v>
      </c>
      <c r="Q97">
        <v>25000</v>
      </c>
      <c r="R97">
        <v>11000</v>
      </c>
      <c r="S97" s="2">
        <v>0.69444444444444442</v>
      </c>
      <c r="T97">
        <v>35500</v>
      </c>
      <c r="U97" s="2">
        <v>1.408450704225352E-2</v>
      </c>
      <c r="AA97" t="s">
        <v>291</v>
      </c>
    </row>
    <row r="98" spans="1:27" x14ac:dyDescent="0.3">
      <c r="A98" s="3">
        <v>96</v>
      </c>
      <c r="B98">
        <v>120224</v>
      </c>
      <c r="C98" t="s">
        <v>26</v>
      </c>
      <c r="D98" t="s">
        <v>27</v>
      </c>
      <c r="E98" t="s">
        <v>28</v>
      </c>
      <c r="F98" t="s">
        <v>229</v>
      </c>
      <c r="G98" s="1" t="str">
        <f>HYPERLINK("https://new.land.naver.com/complexes/120224", "클릭")</f>
        <v>클릭</v>
      </c>
      <c r="H98">
        <v>2017</v>
      </c>
      <c r="I98">
        <v>1</v>
      </c>
      <c r="J98">
        <v>24</v>
      </c>
      <c r="K98">
        <v>58</v>
      </c>
      <c r="L98" t="s">
        <v>135</v>
      </c>
      <c r="M98" t="s">
        <v>137</v>
      </c>
      <c r="N98" t="s">
        <v>278</v>
      </c>
      <c r="O98">
        <v>35000</v>
      </c>
      <c r="P98" t="s">
        <v>278</v>
      </c>
      <c r="Q98">
        <v>26000</v>
      </c>
      <c r="R98">
        <v>9000</v>
      </c>
      <c r="S98" s="2">
        <v>0.74285714285714288</v>
      </c>
      <c r="T98">
        <v>38000</v>
      </c>
      <c r="U98" s="2">
        <v>-7.8947368421052627E-2</v>
      </c>
      <c r="AA98" t="s">
        <v>198</v>
      </c>
    </row>
    <row r="99" spans="1:27" x14ac:dyDescent="0.3">
      <c r="A99" s="3">
        <v>97</v>
      </c>
      <c r="B99">
        <v>125237</v>
      </c>
      <c r="C99" t="s">
        <v>26</v>
      </c>
      <c r="D99" t="s">
        <v>27</v>
      </c>
      <c r="E99" t="s">
        <v>28</v>
      </c>
      <c r="F99" t="s">
        <v>234</v>
      </c>
      <c r="G99" s="1" t="str">
        <f>HYPERLINK("https://new.land.naver.com/complexes/125237", "클릭")</f>
        <v>클릭</v>
      </c>
      <c r="H99">
        <v>2019</v>
      </c>
      <c r="I99">
        <v>2</v>
      </c>
      <c r="J99">
        <v>41</v>
      </c>
      <c r="K99">
        <v>66</v>
      </c>
      <c r="M99" t="s">
        <v>137</v>
      </c>
      <c r="N99" t="s">
        <v>376</v>
      </c>
      <c r="O99">
        <v>35000</v>
      </c>
      <c r="AA99" t="s">
        <v>410</v>
      </c>
    </row>
    <row r="100" spans="1:27" x14ac:dyDescent="0.3">
      <c r="A100" s="3">
        <v>98</v>
      </c>
      <c r="B100">
        <v>122827</v>
      </c>
      <c r="C100" t="s">
        <v>26</v>
      </c>
      <c r="D100" t="s">
        <v>27</v>
      </c>
      <c r="E100" t="s">
        <v>31</v>
      </c>
      <c r="F100" t="s">
        <v>320</v>
      </c>
      <c r="G100" s="1" t="str">
        <f>HYPERLINK("https://new.land.naver.com/complexes/122827", "클릭")</f>
        <v>클릭</v>
      </c>
      <c r="H100">
        <v>2018</v>
      </c>
      <c r="I100">
        <v>6</v>
      </c>
      <c r="J100">
        <v>27</v>
      </c>
      <c r="K100">
        <v>60</v>
      </c>
      <c r="L100" t="s">
        <v>135</v>
      </c>
      <c r="M100" t="s">
        <v>137</v>
      </c>
      <c r="N100" t="s">
        <v>267</v>
      </c>
      <c r="O100">
        <v>34000</v>
      </c>
      <c r="AA100" t="s">
        <v>198</v>
      </c>
    </row>
    <row r="101" spans="1:27" x14ac:dyDescent="0.3">
      <c r="A101" s="3">
        <v>99</v>
      </c>
      <c r="B101">
        <v>122547</v>
      </c>
      <c r="C101" t="s">
        <v>26</v>
      </c>
      <c r="D101" t="s">
        <v>27</v>
      </c>
      <c r="E101" t="s">
        <v>28</v>
      </c>
      <c r="F101" t="s">
        <v>330</v>
      </c>
      <c r="G101" s="1" t="str">
        <f>HYPERLINK("https://new.land.naver.com/complexes/122547", "클릭")</f>
        <v>클릭</v>
      </c>
      <c r="H101">
        <v>2018</v>
      </c>
      <c r="I101">
        <v>1</v>
      </c>
      <c r="J101">
        <v>34</v>
      </c>
      <c r="K101">
        <v>61</v>
      </c>
      <c r="N101" t="s">
        <v>169</v>
      </c>
      <c r="O101">
        <v>33000</v>
      </c>
      <c r="AA101" t="s">
        <v>413</v>
      </c>
    </row>
    <row r="102" spans="1:27" x14ac:dyDescent="0.3">
      <c r="A102" s="3">
        <v>100</v>
      </c>
      <c r="B102">
        <v>125237</v>
      </c>
      <c r="C102" t="s">
        <v>26</v>
      </c>
      <c r="D102" t="s">
        <v>27</v>
      </c>
      <c r="E102" t="s">
        <v>28</v>
      </c>
      <c r="F102" t="s">
        <v>234</v>
      </c>
      <c r="G102" s="1" t="str">
        <f>HYPERLINK("https://new.land.naver.com/complexes/125237", "클릭")</f>
        <v>클릭</v>
      </c>
      <c r="H102">
        <v>2019</v>
      </c>
      <c r="I102">
        <v>2</v>
      </c>
      <c r="J102">
        <v>41</v>
      </c>
      <c r="K102">
        <v>56</v>
      </c>
      <c r="L102" t="s">
        <v>135</v>
      </c>
      <c r="M102" t="s">
        <v>137</v>
      </c>
      <c r="N102" t="s">
        <v>478</v>
      </c>
      <c r="O102">
        <v>33000</v>
      </c>
      <c r="P102" t="s">
        <v>478</v>
      </c>
      <c r="Q102">
        <v>29000</v>
      </c>
      <c r="R102">
        <v>4000</v>
      </c>
      <c r="S102" s="2">
        <v>0.87878787878787878</v>
      </c>
      <c r="AA102" t="s">
        <v>198</v>
      </c>
    </row>
    <row r="103" spans="1:27" x14ac:dyDescent="0.3">
      <c r="A103" s="3">
        <v>101</v>
      </c>
      <c r="B103">
        <v>122827</v>
      </c>
      <c r="C103" t="s">
        <v>26</v>
      </c>
      <c r="D103" t="s">
        <v>27</v>
      </c>
      <c r="E103" t="s">
        <v>31</v>
      </c>
      <c r="F103" t="s">
        <v>320</v>
      </c>
      <c r="G103" s="1" t="str">
        <f>HYPERLINK("https://new.land.naver.com/complexes/122827", "클릭")</f>
        <v>클릭</v>
      </c>
      <c r="H103">
        <v>2018</v>
      </c>
      <c r="I103">
        <v>6</v>
      </c>
      <c r="J103">
        <v>27</v>
      </c>
      <c r="K103">
        <v>79</v>
      </c>
      <c r="L103" t="s">
        <v>135</v>
      </c>
      <c r="M103" t="s">
        <v>137</v>
      </c>
      <c r="N103" t="s">
        <v>163</v>
      </c>
      <c r="O103">
        <v>32500</v>
      </c>
      <c r="AA103" t="s">
        <v>205</v>
      </c>
    </row>
    <row r="104" spans="1:27" x14ac:dyDescent="0.3">
      <c r="A104" s="3">
        <v>102</v>
      </c>
      <c r="B104">
        <v>125237</v>
      </c>
      <c r="C104" t="s">
        <v>26</v>
      </c>
      <c r="D104" t="s">
        <v>27</v>
      </c>
      <c r="E104" t="s">
        <v>28</v>
      </c>
      <c r="F104" t="s">
        <v>234</v>
      </c>
      <c r="G104" s="1" t="str">
        <f>HYPERLINK("https://new.land.naver.com/complexes/125237", "클릭")</f>
        <v>클릭</v>
      </c>
      <c r="H104">
        <v>2019</v>
      </c>
      <c r="I104">
        <v>2</v>
      </c>
      <c r="J104">
        <v>41</v>
      </c>
      <c r="K104">
        <v>58</v>
      </c>
      <c r="L104" t="s">
        <v>135</v>
      </c>
      <c r="M104" t="s">
        <v>137</v>
      </c>
      <c r="N104" t="s">
        <v>280</v>
      </c>
      <c r="O104">
        <v>32000</v>
      </c>
      <c r="P104" t="s">
        <v>280</v>
      </c>
      <c r="Q104">
        <v>22000</v>
      </c>
      <c r="R104">
        <v>10000</v>
      </c>
      <c r="S104" s="2">
        <v>0.6875</v>
      </c>
      <c r="AA104" t="s">
        <v>198</v>
      </c>
    </row>
    <row r="105" spans="1:27" x14ac:dyDescent="0.3">
      <c r="A105" s="3">
        <v>103</v>
      </c>
      <c r="B105">
        <v>122827</v>
      </c>
      <c r="C105" t="s">
        <v>26</v>
      </c>
      <c r="D105" t="s">
        <v>27</v>
      </c>
      <c r="E105" t="s">
        <v>31</v>
      </c>
      <c r="F105" t="s">
        <v>320</v>
      </c>
      <c r="G105" s="1" t="str">
        <f>HYPERLINK("https://new.land.naver.com/complexes/122827", "클릭")</f>
        <v>클릭</v>
      </c>
      <c r="H105">
        <v>2018</v>
      </c>
      <c r="I105">
        <v>6</v>
      </c>
      <c r="J105">
        <v>27</v>
      </c>
      <c r="K105">
        <v>49</v>
      </c>
      <c r="L105" t="s">
        <v>135</v>
      </c>
      <c r="M105" t="s">
        <v>138</v>
      </c>
      <c r="N105" t="s">
        <v>466</v>
      </c>
      <c r="O105">
        <v>28000</v>
      </c>
      <c r="AA105" t="s">
        <v>198</v>
      </c>
    </row>
    <row r="106" spans="1:27" x14ac:dyDescent="0.3">
      <c r="A106" s="3">
        <v>104</v>
      </c>
      <c r="B106">
        <v>113140</v>
      </c>
      <c r="C106" t="s">
        <v>26</v>
      </c>
      <c r="D106" t="s">
        <v>27</v>
      </c>
      <c r="E106" t="s">
        <v>28</v>
      </c>
      <c r="F106" t="s">
        <v>444</v>
      </c>
      <c r="G106" s="1" t="str">
        <f>HYPERLINK("https://new.land.naver.com/complexes/113140", "클릭")</f>
        <v>클릭</v>
      </c>
      <c r="H106">
        <v>2016</v>
      </c>
      <c r="I106">
        <v>4</v>
      </c>
      <c r="J106">
        <v>16</v>
      </c>
      <c r="K106">
        <v>49</v>
      </c>
      <c r="L106" t="s">
        <v>135</v>
      </c>
      <c r="M106" t="s">
        <v>236</v>
      </c>
      <c r="N106" t="s">
        <v>384</v>
      </c>
      <c r="O106">
        <v>27500</v>
      </c>
      <c r="P106" t="s">
        <v>384</v>
      </c>
      <c r="Q106">
        <v>25000</v>
      </c>
      <c r="R106">
        <v>2500</v>
      </c>
      <c r="S106" s="2">
        <v>0.90909090909090906</v>
      </c>
      <c r="AA106" t="s">
        <v>198</v>
      </c>
    </row>
    <row r="107" spans="1:27" x14ac:dyDescent="0.3">
      <c r="A107" s="3">
        <v>105</v>
      </c>
      <c r="B107">
        <v>112875</v>
      </c>
      <c r="C107" t="s">
        <v>26</v>
      </c>
      <c r="D107" t="s">
        <v>27</v>
      </c>
      <c r="E107" t="s">
        <v>29</v>
      </c>
      <c r="F107" t="s">
        <v>446</v>
      </c>
      <c r="G107" s="1" t="str">
        <f>HYPERLINK("https://new.land.naver.com/complexes/112875", "클릭")</f>
        <v>클릭</v>
      </c>
      <c r="H107">
        <v>2016</v>
      </c>
      <c r="I107">
        <v>6</v>
      </c>
      <c r="J107">
        <v>28</v>
      </c>
      <c r="K107">
        <v>25</v>
      </c>
      <c r="N107" t="s">
        <v>504</v>
      </c>
      <c r="O107">
        <v>16500</v>
      </c>
      <c r="AA107" t="s">
        <v>291</v>
      </c>
    </row>
    <row r="108" spans="1:27" x14ac:dyDescent="0.3">
      <c r="A108" s="3">
        <v>106</v>
      </c>
      <c r="B108">
        <v>112875</v>
      </c>
      <c r="C108" t="s">
        <v>26</v>
      </c>
      <c r="D108" t="s">
        <v>27</v>
      </c>
      <c r="E108" t="s">
        <v>29</v>
      </c>
      <c r="F108" t="s">
        <v>446</v>
      </c>
      <c r="G108" s="1" t="str">
        <f>HYPERLINK("https://new.land.naver.com/complexes/112875", "클릭")</f>
        <v>클릭</v>
      </c>
      <c r="H108">
        <v>2016</v>
      </c>
      <c r="I108">
        <v>6</v>
      </c>
      <c r="J108">
        <v>28</v>
      </c>
      <c r="K108">
        <v>27</v>
      </c>
      <c r="N108" t="s">
        <v>505</v>
      </c>
      <c r="O108">
        <v>15000</v>
      </c>
      <c r="AA108" t="s">
        <v>527</v>
      </c>
    </row>
    <row r="109" spans="1:27" x14ac:dyDescent="0.3">
      <c r="A109" s="3">
        <v>107</v>
      </c>
      <c r="B109">
        <v>115416</v>
      </c>
      <c r="C109" t="s">
        <v>26</v>
      </c>
      <c r="D109" t="s">
        <v>27</v>
      </c>
      <c r="E109" t="s">
        <v>28</v>
      </c>
      <c r="F109" t="s">
        <v>447</v>
      </c>
      <c r="G109" s="1" t="str">
        <f>HYPERLINK("https://new.land.naver.com/complexes/115416", "클릭")</f>
        <v>클릭</v>
      </c>
      <c r="H109">
        <v>2018</v>
      </c>
      <c r="I109">
        <v>2</v>
      </c>
      <c r="J109">
        <v>122</v>
      </c>
      <c r="K109">
        <v>16</v>
      </c>
      <c r="L109" t="s">
        <v>136</v>
      </c>
      <c r="M109" t="s">
        <v>236</v>
      </c>
      <c r="N109" t="s">
        <v>506</v>
      </c>
      <c r="O109">
        <v>14500</v>
      </c>
      <c r="P109" t="s">
        <v>506</v>
      </c>
      <c r="Q109">
        <v>12500</v>
      </c>
      <c r="R109">
        <v>2000</v>
      </c>
      <c r="S109" s="2">
        <v>0.86206896551724133</v>
      </c>
      <c r="V109">
        <v>9190</v>
      </c>
      <c r="W109" s="2">
        <v>1.577801958650707</v>
      </c>
      <c r="AA109" t="s">
        <v>198</v>
      </c>
    </row>
    <row r="110" spans="1:27" x14ac:dyDescent="0.3">
      <c r="A110" s="3">
        <v>108</v>
      </c>
      <c r="B110">
        <v>122827</v>
      </c>
      <c r="C110" t="s">
        <v>26</v>
      </c>
      <c r="D110" t="s">
        <v>27</v>
      </c>
      <c r="E110" t="s">
        <v>31</v>
      </c>
      <c r="F110" t="s">
        <v>320</v>
      </c>
      <c r="G110" s="1" t="str">
        <f>HYPERLINK("https://new.land.naver.com/complexes/122827", "클릭")</f>
        <v>클릭</v>
      </c>
      <c r="H110">
        <v>2018</v>
      </c>
      <c r="I110">
        <v>6</v>
      </c>
      <c r="J110">
        <v>27</v>
      </c>
      <c r="K110">
        <v>56</v>
      </c>
      <c r="P110" t="s">
        <v>254</v>
      </c>
      <c r="Q110">
        <v>25500</v>
      </c>
    </row>
    <row r="111" spans="1:27" x14ac:dyDescent="0.3">
      <c r="A111" s="3">
        <v>109</v>
      </c>
      <c r="B111">
        <v>123203</v>
      </c>
      <c r="C111" t="s">
        <v>26</v>
      </c>
      <c r="D111" t="s">
        <v>27</v>
      </c>
      <c r="E111" t="s">
        <v>29</v>
      </c>
      <c r="F111" t="s">
        <v>306</v>
      </c>
      <c r="G111" s="1" t="str">
        <f>HYPERLINK("https://new.land.naver.com/complexes/123203", "클릭")</f>
        <v>클릭</v>
      </c>
      <c r="H111">
        <v>2018</v>
      </c>
      <c r="I111">
        <v>12</v>
      </c>
      <c r="J111">
        <v>9</v>
      </c>
      <c r="K111">
        <v>64</v>
      </c>
      <c r="L111" t="s">
        <v>135</v>
      </c>
      <c r="M111" t="s">
        <v>137</v>
      </c>
      <c r="P111" t="s">
        <v>382</v>
      </c>
      <c r="Q111">
        <v>35000</v>
      </c>
    </row>
    <row r="112" spans="1:27" x14ac:dyDescent="0.3">
      <c r="A112" s="3">
        <v>110</v>
      </c>
      <c r="B112">
        <v>134034</v>
      </c>
      <c r="C112" t="s">
        <v>26</v>
      </c>
      <c r="D112" t="s">
        <v>27</v>
      </c>
      <c r="E112" t="s">
        <v>29</v>
      </c>
      <c r="F112" t="s">
        <v>333</v>
      </c>
      <c r="G112" s="1" t="str">
        <f>HYPERLINK("https://new.land.naver.com/complexes/134034", "클릭")</f>
        <v>클릭</v>
      </c>
      <c r="H112">
        <v>2020</v>
      </c>
      <c r="I112">
        <v>7</v>
      </c>
      <c r="J112">
        <v>10</v>
      </c>
      <c r="K112">
        <v>48</v>
      </c>
      <c r="P112" t="s">
        <v>516</v>
      </c>
      <c r="Q112">
        <v>30000</v>
      </c>
    </row>
    <row r="113" spans="1:20" x14ac:dyDescent="0.3">
      <c r="A113" s="3">
        <v>111</v>
      </c>
      <c r="B113">
        <v>134034</v>
      </c>
      <c r="C113" t="s">
        <v>26</v>
      </c>
      <c r="D113" t="s">
        <v>27</v>
      </c>
      <c r="E113" t="s">
        <v>29</v>
      </c>
      <c r="F113" t="s">
        <v>333</v>
      </c>
      <c r="G113" s="1" t="str">
        <f>HYPERLINK("https://new.land.naver.com/complexes/134034", "클릭")</f>
        <v>클릭</v>
      </c>
      <c r="H113">
        <v>2020</v>
      </c>
      <c r="I113">
        <v>7</v>
      </c>
      <c r="J113">
        <v>10</v>
      </c>
      <c r="K113">
        <v>79</v>
      </c>
      <c r="P113" t="s">
        <v>383</v>
      </c>
      <c r="Q113">
        <v>30000</v>
      </c>
    </row>
    <row r="114" spans="1:20" x14ac:dyDescent="0.3">
      <c r="A114" s="3">
        <v>112</v>
      </c>
      <c r="B114">
        <v>120224</v>
      </c>
      <c r="C114" t="s">
        <v>26</v>
      </c>
      <c r="D114" t="s">
        <v>27</v>
      </c>
      <c r="E114" t="s">
        <v>28</v>
      </c>
      <c r="F114" t="s">
        <v>229</v>
      </c>
      <c r="G114" s="1" t="str">
        <f>HYPERLINK("https://new.land.naver.com/complexes/120224", "클릭")</f>
        <v>클릭</v>
      </c>
      <c r="H114">
        <v>2017</v>
      </c>
      <c r="I114">
        <v>1</v>
      </c>
      <c r="J114">
        <v>24</v>
      </c>
      <c r="K114">
        <v>57</v>
      </c>
      <c r="P114" t="s">
        <v>279</v>
      </c>
      <c r="Q114">
        <v>28000</v>
      </c>
      <c r="T114">
        <v>38000</v>
      </c>
    </row>
    <row r="115" spans="1:20" x14ac:dyDescent="0.3">
      <c r="A115" s="3">
        <v>113</v>
      </c>
      <c r="B115">
        <v>144023</v>
      </c>
      <c r="C115" t="s">
        <v>26</v>
      </c>
      <c r="D115" t="s">
        <v>27</v>
      </c>
      <c r="E115" t="s">
        <v>31</v>
      </c>
      <c r="F115" t="s">
        <v>40</v>
      </c>
      <c r="G115" s="1" t="str">
        <f>HYPERLINK("https://new.land.naver.com/complexes/144023", "클릭")</f>
        <v>클릭</v>
      </c>
      <c r="H115">
        <v>2024</v>
      </c>
      <c r="I115">
        <v>6</v>
      </c>
      <c r="J115">
        <v>2739</v>
      </c>
      <c r="K115">
        <v>39</v>
      </c>
      <c r="L115" t="s">
        <v>135</v>
      </c>
      <c r="M115" t="s">
        <v>235</v>
      </c>
      <c r="P115" t="s">
        <v>485</v>
      </c>
      <c r="Q115">
        <v>21000</v>
      </c>
    </row>
    <row r="116" spans="1:20" x14ac:dyDescent="0.3">
      <c r="A116" s="3">
        <v>114</v>
      </c>
      <c r="B116">
        <v>115416</v>
      </c>
      <c r="C116" t="s">
        <v>26</v>
      </c>
      <c r="D116" t="s">
        <v>27</v>
      </c>
      <c r="E116" t="s">
        <v>28</v>
      </c>
      <c r="F116" t="s">
        <v>447</v>
      </c>
      <c r="G116" s="1" t="str">
        <f>HYPERLINK("https://new.land.naver.com/complexes/115416", "클릭")</f>
        <v>클릭</v>
      </c>
      <c r="H116">
        <v>2018</v>
      </c>
      <c r="I116">
        <v>2</v>
      </c>
      <c r="J116">
        <v>122</v>
      </c>
      <c r="K116">
        <v>32</v>
      </c>
      <c r="P116" t="s">
        <v>520</v>
      </c>
      <c r="Q116">
        <v>24000</v>
      </c>
    </row>
    <row r="117" spans="1:20" x14ac:dyDescent="0.3">
      <c r="A117" s="3">
        <v>115</v>
      </c>
      <c r="B117">
        <v>135882</v>
      </c>
      <c r="C117" t="s">
        <v>26</v>
      </c>
      <c r="D117" t="s">
        <v>27</v>
      </c>
      <c r="E117" t="s">
        <v>29</v>
      </c>
      <c r="F117" t="s">
        <v>308</v>
      </c>
      <c r="G117" s="1" t="str">
        <f>HYPERLINK("https://new.land.naver.com/complexes/135882", "클릭")</f>
        <v>클릭</v>
      </c>
      <c r="H117">
        <v>2020</v>
      </c>
      <c r="I117">
        <v>10</v>
      </c>
      <c r="J117">
        <v>12</v>
      </c>
      <c r="K117">
        <v>60</v>
      </c>
      <c r="P117" t="s">
        <v>385</v>
      </c>
      <c r="Q117">
        <v>35000</v>
      </c>
    </row>
    <row r="118" spans="1:20" x14ac:dyDescent="0.3">
      <c r="A118" s="3">
        <v>116</v>
      </c>
      <c r="B118">
        <v>137583</v>
      </c>
      <c r="C118" t="s">
        <v>26</v>
      </c>
      <c r="D118" t="s">
        <v>27</v>
      </c>
      <c r="E118" t="s">
        <v>28</v>
      </c>
      <c r="F118" t="s">
        <v>453</v>
      </c>
      <c r="G118" s="1" t="str">
        <f>HYPERLINK("https://new.land.naver.com/complexes/137583", "클릭")</f>
        <v>클릭</v>
      </c>
      <c r="H118">
        <v>2017</v>
      </c>
      <c r="I118">
        <v>9</v>
      </c>
      <c r="J118">
        <v>7</v>
      </c>
      <c r="K118">
        <v>49</v>
      </c>
      <c r="P118" t="s">
        <v>280</v>
      </c>
      <c r="Q118">
        <v>22000</v>
      </c>
    </row>
    <row r="119" spans="1:20" x14ac:dyDescent="0.3">
      <c r="A119" s="3">
        <v>117</v>
      </c>
      <c r="B119">
        <v>125237</v>
      </c>
      <c r="C119" t="s">
        <v>26</v>
      </c>
      <c r="D119" t="s">
        <v>27</v>
      </c>
      <c r="E119" t="s">
        <v>28</v>
      </c>
      <c r="F119" t="s">
        <v>234</v>
      </c>
      <c r="G119" s="1" t="str">
        <f>HYPERLINK("https://new.land.naver.com/complexes/125237", "클릭")</f>
        <v>클릭</v>
      </c>
      <c r="H119">
        <v>2019</v>
      </c>
      <c r="I119">
        <v>2</v>
      </c>
      <c r="J119">
        <v>41</v>
      </c>
      <c r="K119">
        <v>61</v>
      </c>
      <c r="P119" t="s">
        <v>384</v>
      </c>
      <c r="Q119">
        <v>28000</v>
      </c>
    </row>
    <row r="120" spans="1:20" x14ac:dyDescent="0.3">
      <c r="A120" s="3">
        <v>118</v>
      </c>
      <c r="B120">
        <v>128689</v>
      </c>
      <c r="C120" t="s">
        <v>26</v>
      </c>
      <c r="D120" t="s">
        <v>27</v>
      </c>
      <c r="E120" t="s">
        <v>28</v>
      </c>
      <c r="F120" t="s">
        <v>230</v>
      </c>
      <c r="G120" s="1" t="str">
        <f>HYPERLINK("https://new.land.naver.com/complexes/128689", "클릭")</f>
        <v>클릭</v>
      </c>
      <c r="H120">
        <v>2019</v>
      </c>
      <c r="I120">
        <v>7</v>
      </c>
      <c r="J120">
        <v>42</v>
      </c>
      <c r="K120">
        <v>57</v>
      </c>
      <c r="P120" t="s">
        <v>286</v>
      </c>
      <c r="Q120">
        <v>30000</v>
      </c>
      <c r="T120">
        <v>35500</v>
      </c>
    </row>
    <row r="121" spans="1:20" x14ac:dyDescent="0.3">
      <c r="A121" s="3">
        <v>119</v>
      </c>
      <c r="B121">
        <v>128987</v>
      </c>
      <c r="C121" t="s">
        <v>26</v>
      </c>
      <c r="D121" t="s">
        <v>27</v>
      </c>
      <c r="E121" t="s">
        <v>29</v>
      </c>
      <c r="F121" t="s">
        <v>316</v>
      </c>
      <c r="G121" s="1" t="str">
        <f>HYPERLINK("https://new.land.naver.com/complexes/128987", "클릭")</f>
        <v>클릭</v>
      </c>
      <c r="H121">
        <v>2019</v>
      </c>
      <c r="I121">
        <v>8</v>
      </c>
      <c r="J121">
        <v>6</v>
      </c>
      <c r="K121">
        <v>64</v>
      </c>
      <c r="L121" t="s">
        <v>135</v>
      </c>
      <c r="M121" t="s">
        <v>137</v>
      </c>
      <c r="P121" t="s">
        <v>386</v>
      </c>
      <c r="Q121">
        <v>31000</v>
      </c>
    </row>
    <row r="122" spans="1:20" x14ac:dyDescent="0.3">
      <c r="A122" s="3">
        <v>120</v>
      </c>
      <c r="B122">
        <v>171438</v>
      </c>
      <c r="C122" t="s">
        <v>26</v>
      </c>
      <c r="D122" t="s">
        <v>27</v>
      </c>
      <c r="E122" t="s">
        <v>30</v>
      </c>
      <c r="F122" t="s">
        <v>35</v>
      </c>
      <c r="G122" s="1" t="str">
        <f>HYPERLINK("https://new.land.naver.com/complexes/171438", "클릭")</f>
        <v>클릭</v>
      </c>
      <c r="H122">
        <v>2024</v>
      </c>
      <c r="I122">
        <v>11</v>
      </c>
      <c r="J122">
        <v>472</v>
      </c>
      <c r="K122">
        <v>63</v>
      </c>
      <c r="L122" t="s">
        <v>135</v>
      </c>
      <c r="M122" t="s">
        <v>137</v>
      </c>
      <c r="P122" t="s">
        <v>272</v>
      </c>
      <c r="Q122">
        <v>44000</v>
      </c>
    </row>
  </sheetData>
  <phoneticPr fontId="4" type="noConversion"/>
  <conditionalFormatting sqref="H2:H1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22">
    <cfRule type="containsBlanks" dxfId="11" priority="4">
      <formula>LEN(TRIM(R2))=0</formula>
    </cfRule>
    <cfRule type="cellIs" dxfId="10" priority="5" operator="lessThanOrEqual">
      <formula>10000</formula>
    </cfRule>
  </conditionalFormatting>
  <conditionalFormatting sqref="S2:S122">
    <cfRule type="cellIs" dxfId="9" priority="1" operator="greaterThanOrEqual">
      <formula>0.7</formula>
    </cfRule>
  </conditionalFormatting>
  <conditionalFormatting sqref="U2:U1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3"/>
  <sheetViews>
    <sheetView workbookViewId="0"/>
  </sheetViews>
  <sheetFormatPr defaultRowHeight="16.5" x14ac:dyDescent="0.3"/>
  <cols>
    <col min="1" max="1" width="3" bestFit="1" customWidth="1"/>
    <col min="2" max="2" width="7" bestFit="1" customWidth="1"/>
    <col min="3" max="3" width="4.375" bestFit="1" customWidth="1"/>
    <col min="4" max="4" width="8.25" bestFit="1" customWidth="1"/>
    <col min="5" max="5" width="4.375" bestFit="1" customWidth="1"/>
    <col min="6" max="6" width="18.375" bestFit="1" customWidth="1"/>
    <col min="7" max="7" width="7.875" style="1" bestFit="1" customWidth="1"/>
    <col min="8" max="8" width="5.625" bestFit="1" customWidth="1"/>
    <col min="9" max="9" width="4.375" bestFit="1" customWidth="1"/>
    <col min="10" max="10" width="5" bestFit="1" customWidth="1"/>
    <col min="11" max="12" width="5.625" bestFit="1" customWidth="1"/>
    <col min="13" max="13" width="5.25" bestFit="1" customWidth="1"/>
    <col min="14" max="14" width="6.625" bestFit="1" customWidth="1"/>
    <col min="15" max="15" width="9" bestFit="1" customWidth="1"/>
    <col min="16" max="16" width="5.625" bestFit="1" customWidth="1"/>
    <col min="17" max="18" width="8" bestFit="1" customWidth="1"/>
    <col min="19" max="19" width="20" style="2" bestFit="1" customWidth="1"/>
    <col min="20" max="20" width="9" bestFit="1" customWidth="1"/>
    <col min="21" max="21" width="21" style="2" bestFit="1" customWidth="1"/>
    <col min="22" max="22" width="9" bestFit="1" customWidth="1"/>
    <col min="23" max="23" width="19" style="2" bestFit="1" customWidth="1"/>
    <col min="24" max="25" width="7.125" bestFit="1" customWidth="1"/>
    <col min="26" max="26" width="5.625" bestFit="1" customWidth="1"/>
    <col min="27" max="27" width="10.75" bestFit="1" customWidth="1"/>
  </cols>
  <sheetData>
    <row r="1" spans="1:27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3">
        <v>0</v>
      </c>
      <c r="B2">
        <v>26459</v>
      </c>
      <c r="C2" t="s">
        <v>26</v>
      </c>
      <c r="D2" t="s">
        <v>27</v>
      </c>
      <c r="E2" t="s">
        <v>30</v>
      </c>
      <c r="F2" t="s">
        <v>534</v>
      </c>
      <c r="G2" s="1" t="str">
        <f>HYPERLINK("https://new.land.naver.com/complexes/26459", "클릭")</f>
        <v>클릭</v>
      </c>
      <c r="H2">
        <v>2010</v>
      </c>
      <c r="I2">
        <v>6</v>
      </c>
      <c r="J2">
        <v>220</v>
      </c>
      <c r="K2">
        <v>157</v>
      </c>
      <c r="L2" t="s">
        <v>135</v>
      </c>
      <c r="M2" t="s">
        <v>139</v>
      </c>
      <c r="N2" t="s">
        <v>562</v>
      </c>
      <c r="O2">
        <v>170000</v>
      </c>
      <c r="P2" t="s">
        <v>562</v>
      </c>
      <c r="Q2">
        <v>95000</v>
      </c>
      <c r="R2">
        <v>75000</v>
      </c>
      <c r="S2" s="2">
        <v>0.55882352941176472</v>
      </c>
      <c r="V2">
        <v>96000</v>
      </c>
      <c r="W2" s="2">
        <v>1.770833333333333</v>
      </c>
      <c r="AA2" t="s">
        <v>198</v>
      </c>
    </row>
    <row r="3" spans="1:27" x14ac:dyDescent="0.3">
      <c r="A3" s="3">
        <v>1</v>
      </c>
      <c r="B3">
        <v>26459</v>
      </c>
      <c r="C3" t="s">
        <v>26</v>
      </c>
      <c r="D3" t="s">
        <v>27</v>
      </c>
      <c r="E3" t="s">
        <v>30</v>
      </c>
      <c r="F3" t="s">
        <v>534</v>
      </c>
      <c r="G3" s="1" t="str">
        <f>HYPERLINK("https://new.land.naver.com/complexes/26459", "클릭")</f>
        <v>클릭</v>
      </c>
      <c r="H3">
        <v>2010</v>
      </c>
      <c r="I3">
        <v>6</v>
      </c>
      <c r="J3">
        <v>220</v>
      </c>
      <c r="K3">
        <v>151</v>
      </c>
      <c r="L3" t="s">
        <v>135</v>
      </c>
      <c r="M3" t="s">
        <v>139</v>
      </c>
      <c r="N3" t="s">
        <v>565</v>
      </c>
      <c r="O3">
        <v>165000</v>
      </c>
      <c r="P3" t="s">
        <v>565</v>
      </c>
      <c r="Q3">
        <v>80000</v>
      </c>
      <c r="R3">
        <v>85000</v>
      </c>
      <c r="S3" s="2">
        <v>0.48484848484848492</v>
      </c>
      <c r="V3">
        <v>94000</v>
      </c>
      <c r="W3" s="2">
        <v>1.7553191489361699</v>
      </c>
      <c r="AA3" t="s">
        <v>198</v>
      </c>
    </row>
    <row r="4" spans="1:27" x14ac:dyDescent="0.3">
      <c r="A4" s="3">
        <v>2</v>
      </c>
      <c r="B4">
        <v>26459</v>
      </c>
      <c r="C4" t="s">
        <v>26</v>
      </c>
      <c r="D4" t="s">
        <v>27</v>
      </c>
      <c r="E4" t="s">
        <v>30</v>
      </c>
      <c r="F4" t="s">
        <v>534</v>
      </c>
      <c r="G4" s="1" t="str">
        <f>HYPERLINK("https://new.land.naver.com/complexes/26459", "클릭")</f>
        <v>클릭</v>
      </c>
      <c r="H4">
        <v>2010</v>
      </c>
      <c r="I4">
        <v>6</v>
      </c>
      <c r="J4">
        <v>220</v>
      </c>
      <c r="K4">
        <v>152</v>
      </c>
      <c r="L4" t="s">
        <v>135</v>
      </c>
      <c r="M4" t="s">
        <v>139</v>
      </c>
      <c r="N4" t="s">
        <v>566</v>
      </c>
      <c r="O4">
        <v>165000</v>
      </c>
      <c r="P4" t="s">
        <v>566</v>
      </c>
      <c r="Q4">
        <v>90000</v>
      </c>
      <c r="R4">
        <v>75000</v>
      </c>
      <c r="S4" s="2">
        <v>0.54545454545454541</v>
      </c>
      <c r="V4">
        <v>94000</v>
      </c>
      <c r="W4" s="2">
        <v>1.7553191489361699</v>
      </c>
      <c r="AA4" t="s">
        <v>198</v>
      </c>
    </row>
    <row r="5" spans="1:27" x14ac:dyDescent="0.3">
      <c r="A5" s="3">
        <v>3</v>
      </c>
      <c r="B5">
        <v>26459</v>
      </c>
      <c r="C5" t="s">
        <v>26</v>
      </c>
      <c r="D5" t="s">
        <v>27</v>
      </c>
      <c r="E5" t="s">
        <v>30</v>
      </c>
      <c r="F5" t="s">
        <v>534</v>
      </c>
      <c r="G5" s="1" t="str">
        <f>HYPERLINK("https://new.land.naver.com/complexes/26459", "클릭")</f>
        <v>클릭</v>
      </c>
      <c r="H5">
        <v>2010</v>
      </c>
      <c r="I5">
        <v>6</v>
      </c>
      <c r="J5">
        <v>220</v>
      </c>
      <c r="K5">
        <v>130</v>
      </c>
      <c r="L5" t="s">
        <v>135</v>
      </c>
      <c r="M5" t="s">
        <v>139</v>
      </c>
      <c r="N5" t="s">
        <v>560</v>
      </c>
      <c r="O5">
        <v>155000</v>
      </c>
      <c r="P5" t="s">
        <v>560</v>
      </c>
      <c r="Q5">
        <v>75000</v>
      </c>
      <c r="R5">
        <v>80000</v>
      </c>
      <c r="S5" s="2">
        <v>0.4838709677419355</v>
      </c>
      <c r="V5">
        <v>85800</v>
      </c>
      <c r="W5" s="2">
        <v>1.806526806526807</v>
      </c>
      <c r="AA5" t="s">
        <v>198</v>
      </c>
    </row>
    <row r="6" spans="1:27" x14ac:dyDescent="0.3">
      <c r="A6" s="3">
        <v>4</v>
      </c>
      <c r="B6">
        <v>102625</v>
      </c>
      <c r="C6" t="s">
        <v>26</v>
      </c>
      <c r="D6" t="s">
        <v>27</v>
      </c>
      <c r="E6" t="s">
        <v>29</v>
      </c>
      <c r="F6" t="s">
        <v>539</v>
      </c>
      <c r="G6" s="1" t="str">
        <f>HYPERLINK("https://new.land.naver.com/complexes/102625", "클릭")</f>
        <v>클릭</v>
      </c>
      <c r="H6">
        <v>2012</v>
      </c>
      <c r="I6">
        <v>3</v>
      </c>
      <c r="J6">
        <v>711</v>
      </c>
      <c r="K6">
        <v>135</v>
      </c>
      <c r="L6" t="s">
        <v>135</v>
      </c>
      <c r="M6" t="s">
        <v>139</v>
      </c>
      <c r="N6" t="s">
        <v>573</v>
      </c>
      <c r="O6">
        <v>155000</v>
      </c>
      <c r="P6" t="s">
        <v>638</v>
      </c>
      <c r="Q6">
        <v>85000</v>
      </c>
      <c r="R6">
        <v>70000</v>
      </c>
      <c r="S6" s="2">
        <v>0.54838709677419351</v>
      </c>
      <c r="V6">
        <v>104600</v>
      </c>
      <c r="W6" s="2">
        <v>1.481835564053537</v>
      </c>
      <c r="AA6" t="s">
        <v>198</v>
      </c>
    </row>
    <row r="7" spans="1:27" x14ac:dyDescent="0.3">
      <c r="A7" s="3">
        <v>5</v>
      </c>
      <c r="B7">
        <v>102625</v>
      </c>
      <c r="C7" t="s">
        <v>26</v>
      </c>
      <c r="D7" t="s">
        <v>27</v>
      </c>
      <c r="E7" t="s">
        <v>29</v>
      </c>
      <c r="F7" t="s">
        <v>539</v>
      </c>
      <c r="G7" s="1" t="str">
        <f>HYPERLINK("https://new.land.naver.com/complexes/102625", "클릭")</f>
        <v>클릭</v>
      </c>
      <c r="H7">
        <v>2012</v>
      </c>
      <c r="I7">
        <v>3</v>
      </c>
      <c r="J7">
        <v>711</v>
      </c>
      <c r="K7">
        <v>120</v>
      </c>
      <c r="L7" t="s">
        <v>135</v>
      </c>
      <c r="M7" t="s">
        <v>139</v>
      </c>
      <c r="N7" t="s">
        <v>579</v>
      </c>
      <c r="O7">
        <v>145000</v>
      </c>
      <c r="P7" t="s">
        <v>579</v>
      </c>
      <c r="Q7">
        <v>75000</v>
      </c>
      <c r="R7">
        <v>70000</v>
      </c>
      <c r="S7" s="2">
        <v>0.51724137931034486</v>
      </c>
      <c r="V7">
        <v>91700</v>
      </c>
      <c r="W7" s="2">
        <v>1.581243184296619</v>
      </c>
      <c r="AA7" t="s">
        <v>198</v>
      </c>
    </row>
    <row r="8" spans="1:27" x14ac:dyDescent="0.3">
      <c r="A8" s="3">
        <v>6</v>
      </c>
      <c r="B8">
        <v>102625</v>
      </c>
      <c r="C8" t="s">
        <v>26</v>
      </c>
      <c r="D8" t="s">
        <v>27</v>
      </c>
      <c r="E8" t="s">
        <v>29</v>
      </c>
      <c r="F8" t="s">
        <v>539</v>
      </c>
      <c r="G8" s="1" t="str">
        <f>HYPERLINK("https://new.land.naver.com/complexes/102625", "클릭")</f>
        <v>클릭</v>
      </c>
      <c r="H8">
        <v>2012</v>
      </c>
      <c r="I8">
        <v>3</v>
      </c>
      <c r="J8">
        <v>711</v>
      </c>
      <c r="K8">
        <v>100</v>
      </c>
      <c r="L8" t="s">
        <v>135</v>
      </c>
      <c r="M8" t="s">
        <v>137</v>
      </c>
      <c r="N8" t="s">
        <v>595</v>
      </c>
      <c r="O8">
        <v>125000</v>
      </c>
      <c r="P8" t="s">
        <v>639</v>
      </c>
      <c r="Q8">
        <v>60000</v>
      </c>
      <c r="R8">
        <v>65000</v>
      </c>
      <c r="S8" s="2">
        <v>0.48</v>
      </c>
      <c r="V8">
        <v>75300</v>
      </c>
      <c r="W8" s="2">
        <v>1.6600265604249671</v>
      </c>
      <c r="AA8" t="s">
        <v>198</v>
      </c>
    </row>
    <row r="9" spans="1:27" x14ac:dyDescent="0.3">
      <c r="A9" s="3">
        <v>7</v>
      </c>
      <c r="B9">
        <v>102312</v>
      </c>
      <c r="C9" t="s">
        <v>26</v>
      </c>
      <c r="D9" t="s">
        <v>27</v>
      </c>
      <c r="E9" t="s">
        <v>29</v>
      </c>
      <c r="F9" t="s">
        <v>47</v>
      </c>
      <c r="G9" s="1" t="str">
        <f>HYPERLINK("https://new.land.naver.com/complexes/102312", "클릭")</f>
        <v>클릭</v>
      </c>
      <c r="H9">
        <v>2012</v>
      </c>
      <c r="I9">
        <v>4</v>
      </c>
      <c r="J9">
        <v>1042</v>
      </c>
      <c r="K9">
        <v>84</v>
      </c>
      <c r="L9" t="s">
        <v>135</v>
      </c>
      <c r="M9" t="s">
        <v>137</v>
      </c>
      <c r="N9" t="s">
        <v>153</v>
      </c>
      <c r="O9">
        <v>95000</v>
      </c>
      <c r="P9" t="s">
        <v>192</v>
      </c>
      <c r="Q9">
        <v>48000</v>
      </c>
      <c r="R9">
        <v>47000</v>
      </c>
      <c r="S9" s="2">
        <v>0.50526315789473686</v>
      </c>
      <c r="T9">
        <v>132000</v>
      </c>
      <c r="U9" s="2">
        <v>-0.28030303030303028</v>
      </c>
      <c r="V9">
        <v>61200</v>
      </c>
      <c r="W9" s="2">
        <v>1.552287581699346</v>
      </c>
      <c r="AA9" t="s">
        <v>198</v>
      </c>
    </row>
    <row r="10" spans="1:27" x14ac:dyDescent="0.3">
      <c r="A10" s="3">
        <v>8</v>
      </c>
      <c r="B10">
        <v>26320</v>
      </c>
      <c r="C10" t="s">
        <v>26</v>
      </c>
      <c r="D10" t="s">
        <v>27</v>
      </c>
      <c r="E10" t="s">
        <v>31</v>
      </c>
      <c r="F10" t="s">
        <v>67</v>
      </c>
      <c r="G10" s="1" t="str">
        <f>HYPERLINK("https://new.land.naver.com/complexes/26320", "클릭")</f>
        <v>클릭</v>
      </c>
      <c r="H10">
        <v>2008</v>
      </c>
      <c r="I10">
        <v>10</v>
      </c>
      <c r="J10">
        <v>486</v>
      </c>
      <c r="K10">
        <v>125</v>
      </c>
      <c r="L10" t="s">
        <v>135</v>
      </c>
      <c r="M10" t="s">
        <v>137</v>
      </c>
      <c r="N10" t="s">
        <v>611</v>
      </c>
      <c r="O10">
        <v>95000</v>
      </c>
      <c r="P10" t="s">
        <v>611</v>
      </c>
      <c r="Q10">
        <v>55000</v>
      </c>
      <c r="R10">
        <v>40000</v>
      </c>
      <c r="S10" s="2">
        <v>0.57894736842105265</v>
      </c>
      <c r="V10">
        <v>62700</v>
      </c>
      <c r="W10" s="2">
        <v>1.5151515151515149</v>
      </c>
      <c r="AA10" t="s">
        <v>198</v>
      </c>
    </row>
    <row r="11" spans="1:27" x14ac:dyDescent="0.3">
      <c r="A11" s="3">
        <v>9</v>
      </c>
      <c r="B11">
        <v>26320</v>
      </c>
      <c r="C11" t="s">
        <v>26</v>
      </c>
      <c r="D11" t="s">
        <v>27</v>
      </c>
      <c r="E11" t="s">
        <v>31</v>
      </c>
      <c r="F11" t="s">
        <v>67</v>
      </c>
      <c r="G11" s="1" t="str">
        <f>HYPERLINK("https://new.land.naver.com/complexes/26320", "클릭")</f>
        <v>클릭</v>
      </c>
      <c r="H11">
        <v>2008</v>
      </c>
      <c r="I11">
        <v>10</v>
      </c>
      <c r="J11">
        <v>486</v>
      </c>
      <c r="K11">
        <v>126</v>
      </c>
      <c r="L11" t="s">
        <v>135</v>
      </c>
      <c r="M11" t="s">
        <v>139</v>
      </c>
      <c r="N11" t="s">
        <v>612</v>
      </c>
      <c r="O11">
        <v>95000</v>
      </c>
      <c r="P11" t="s">
        <v>612</v>
      </c>
      <c r="Q11">
        <v>55000</v>
      </c>
      <c r="R11">
        <v>40000</v>
      </c>
      <c r="S11" s="2">
        <v>0.57894736842105265</v>
      </c>
      <c r="V11">
        <v>62700</v>
      </c>
      <c r="W11" s="2">
        <v>1.5151515151515149</v>
      </c>
      <c r="AA11" t="s">
        <v>198</v>
      </c>
    </row>
    <row r="12" spans="1:27" x14ac:dyDescent="0.3">
      <c r="A12" s="3">
        <v>10</v>
      </c>
      <c r="B12">
        <v>102312</v>
      </c>
      <c r="C12" t="s">
        <v>26</v>
      </c>
      <c r="D12" t="s">
        <v>27</v>
      </c>
      <c r="E12" t="s">
        <v>29</v>
      </c>
      <c r="F12" t="s">
        <v>47</v>
      </c>
      <c r="G12" s="1" t="str">
        <f>HYPERLINK("https://new.land.naver.com/complexes/102312", "클릭")</f>
        <v>클릭</v>
      </c>
      <c r="H12">
        <v>2012</v>
      </c>
      <c r="I12">
        <v>4</v>
      </c>
      <c r="J12">
        <v>1042</v>
      </c>
      <c r="K12">
        <v>74</v>
      </c>
      <c r="L12" t="s">
        <v>135</v>
      </c>
      <c r="M12" t="s">
        <v>137</v>
      </c>
      <c r="N12" t="s">
        <v>344</v>
      </c>
      <c r="O12">
        <v>92000</v>
      </c>
      <c r="P12" t="s">
        <v>344</v>
      </c>
      <c r="Q12">
        <v>48000</v>
      </c>
      <c r="R12">
        <v>44000</v>
      </c>
      <c r="S12" s="2">
        <v>0.52173913043478259</v>
      </c>
      <c r="V12">
        <v>53700</v>
      </c>
      <c r="W12" s="2">
        <v>1.7132216014897581</v>
      </c>
      <c r="AA12" t="s">
        <v>198</v>
      </c>
    </row>
    <row r="13" spans="1:27" x14ac:dyDescent="0.3">
      <c r="A13" s="3">
        <v>11</v>
      </c>
      <c r="B13">
        <v>25725</v>
      </c>
      <c r="C13" t="s">
        <v>26</v>
      </c>
      <c r="D13" t="s">
        <v>27</v>
      </c>
      <c r="E13" t="s">
        <v>31</v>
      </c>
      <c r="F13" t="s">
        <v>74</v>
      </c>
      <c r="G13" s="1" t="str">
        <f>HYPERLINK("https://new.land.naver.com/complexes/25725", "클릭")</f>
        <v>클릭</v>
      </c>
      <c r="H13">
        <v>2009</v>
      </c>
      <c r="I13">
        <v>11</v>
      </c>
      <c r="J13">
        <v>774</v>
      </c>
      <c r="K13">
        <v>132</v>
      </c>
      <c r="L13" t="s">
        <v>135</v>
      </c>
      <c r="M13" t="s">
        <v>551</v>
      </c>
      <c r="N13" t="s">
        <v>617</v>
      </c>
      <c r="O13">
        <v>90000</v>
      </c>
      <c r="P13" t="s">
        <v>617</v>
      </c>
      <c r="Q13">
        <v>60000</v>
      </c>
      <c r="R13">
        <v>30000</v>
      </c>
      <c r="S13" s="2">
        <v>0.66666666666666663</v>
      </c>
      <c r="V13">
        <v>59000</v>
      </c>
      <c r="W13" s="2">
        <v>1.525423728813559</v>
      </c>
      <c r="AA13" t="s">
        <v>198</v>
      </c>
    </row>
    <row r="14" spans="1:27" x14ac:dyDescent="0.3">
      <c r="A14" s="3">
        <v>12</v>
      </c>
      <c r="B14">
        <v>25725</v>
      </c>
      <c r="C14" t="s">
        <v>26</v>
      </c>
      <c r="D14" t="s">
        <v>27</v>
      </c>
      <c r="E14" t="s">
        <v>31</v>
      </c>
      <c r="F14" t="s">
        <v>74</v>
      </c>
      <c r="G14" s="1" t="str">
        <f>HYPERLINK("https://new.land.naver.com/complexes/25725", "클릭")</f>
        <v>클릭</v>
      </c>
      <c r="H14">
        <v>2009</v>
      </c>
      <c r="I14">
        <v>11</v>
      </c>
      <c r="J14">
        <v>774</v>
      </c>
      <c r="K14">
        <v>111</v>
      </c>
      <c r="L14" t="s">
        <v>135</v>
      </c>
      <c r="M14" t="s">
        <v>139</v>
      </c>
      <c r="N14" t="s">
        <v>574</v>
      </c>
      <c r="O14">
        <v>89000</v>
      </c>
      <c r="P14" t="s">
        <v>574</v>
      </c>
      <c r="Q14">
        <v>50000</v>
      </c>
      <c r="R14">
        <v>39000</v>
      </c>
      <c r="S14" s="2">
        <v>0.5617977528089888</v>
      </c>
      <c r="V14">
        <v>57500</v>
      </c>
      <c r="W14" s="2">
        <v>1.5478260869565219</v>
      </c>
      <c r="AA14" t="s">
        <v>198</v>
      </c>
    </row>
    <row r="15" spans="1:27" x14ac:dyDescent="0.3">
      <c r="A15" s="3">
        <v>13</v>
      </c>
      <c r="B15">
        <v>26320</v>
      </c>
      <c r="C15" t="s">
        <v>26</v>
      </c>
      <c r="D15" t="s">
        <v>27</v>
      </c>
      <c r="E15" t="s">
        <v>31</v>
      </c>
      <c r="F15" t="s">
        <v>67</v>
      </c>
      <c r="G15" s="1" t="str">
        <f>HYPERLINK("https://new.land.naver.com/complexes/26320", "클릭")</f>
        <v>클릭</v>
      </c>
      <c r="H15">
        <v>2008</v>
      </c>
      <c r="I15">
        <v>10</v>
      </c>
      <c r="J15">
        <v>486</v>
      </c>
      <c r="K15">
        <v>63</v>
      </c>
      <c r="L15" t="s">
        <v>135</v>
      </c>
      <c r="M15" t="s">
        <v>137</v>
      </c>
      <c r="N15" t="s">
        <v>271</v>
      </c>
      <c r="O15">
        <v>85000</v>
      </c>
      <c r="P15" t="s">
        <v>271</v>
      </c>
      <c r="Q15">
        <v>45000</v>
      </c>
      <c r="R15">
        <v>40000</v>
      </c>
      <c r="S15" s="2">
        <v>0.52941176470588236</v>
      </c>
      <c r="V15">
        <v>40800</v>
      </c>
      <c r="W15" s="2">
        <v>2.083333333333333</v>
      </c>
      <c r="AA15" t="s">
        <v>198</v>
      </c>
    </row>
    <row r="16" spans="1:27" x14ac:dyDescent="0.3">
      <c r="A16" s="3">
        <v>14</v>
      </c>
      <c r="B16">
        <v>107639</v>
      </c>
      <c r="C16" t="s">
        <v>26</v>
      </c>
      <c r="D16" t="s">
        <v>27</v>
      </c>
      <c r="E16" t="s">
        <v>28</v>
      </c>
      <c r="F16" t="s">
        <v>70</v>
      </c>
      <c r="G16" s="1" t="str">
        <f>HYPERLINK("https://new.land.naver.com/complexes/107639", "클릭")</f>
        <v>클릭</v>
      </c>
      <c r="H16">
        <v>2015</v>
      </c>
      <c r="I16">
        <v>8</v>
      </c>
      <c r="J16">
        <v>410</v>
      </c>
      <c r="K16">
        <v>79</v>
      </c>
      <c r="L16" t="s">
        <v>135</v>
      </c>
      <c r="M16" t="s">
        <v>137</v>
      </c>
      <c r="N16" t="s">
        <v>171</v>
      </c>
      <c r="O16">
        <v>80000</v>
      </c>
      <c r="V16">
        <v>41100</v>
      </c>
      <c r="W16" s="2">
        <v>1.94647201946472</v>
      </c>
      <c r="AA16" t="s">
        <v>198</v>
      </c>
    </row>
    <row r="17" spans="1:27" x14ac:dyDescent="0.3">
      <c r="A17" s="3">
        <v>15</v>
      </c>
      <c r="B17">
        <v>26320</v>
      </c>
      <c r="C17" t="s">
        <v>26</v>
      </c>
      <c r="D17" t="s">
        <v>27</v>
      </c>
      <c r="E17" t="s">
        <v>31</v>
      </c>
      <c r="F17" t="s">
        <v>67</v>
      </c>
      <c r="G17" s="1" t="str">
        <f>HYPERLINK("https://new.land.naver.com/complexes/26320", "클릭")</f>
        <v>클릭</v>
      </c>
      <c r="H17">
        <v>2008</v>
      </c>
      <c r="I17">
        <v>10</v>
      </c>
      <c r="J17">
        <v>486</v>
      </c>
      <c r="K17">
        <v>84</v>
      </c>
      <c r="L17" t="s">
        <v>135</v>
      </c>
      <c r="M17" t="s">
        <v>137</v>
      </c>
      <c r="N17" t="s">
        <v>162</v>
      </c>
      <c r="O17">
        <v>78000</v>
      </c>
      <c r="P17" t="s">
        <v>193</v>
      </c>
      <c r="Q17">
        <v>45000</v>
      </c>
      <c r="R17">
        <v>33000</v>
      </c>
      <c r="S17" s="2">
        <v>0.57692307692307687</v>
      </c>
      <c r="T17">
        <v>103700</v>
      </c>
      <c r="U17" s="2">
        <v>-0.24783027965284471</v>
      </c>
      <c r="V17">
        <v>51700</v>
      </c>
      <c r="W17" s="2">
        <v>1.508704061895551</v>
      </c>
      <c r="AA17" t="s">
        <v>198</v>
      </c>
    </row>
    <row r="18" spans="1:27" x14ac:dyDescent="0.3">
      <c r="A18" s="3">
        <v>16</v>
      </c>
      <c r="B18">
        <v>107639</v>
      </c>
      <c r="C18" t="s">
        <v>26</v>
      </c>
      <c r="D18" t="s">
        <v>27</v>
      </c>
      <c r="E18" t="s">
        <v>28</v>
      </c>
      <c r="F18" t="s">
        <v>70</v>
      </c>
      <c r="G18" s="1" t="str">
        <f>HYPERLINK("https://new.land.naver.com/complexes/107639", "클릭")</f>
        <v>클릭</v>
      </c>
      <c r="H18">
        <v>2015</v>
      </c>
      <c r="I18">
        <v>8</v>
      </c>
      <c r="J18">
        <v>410</v>
      </c>
      <c r="K18">
        <v>84</v>
      </c>
      <c r="L18" t="s">
        <v>135</v>
      </c>
      <c r="M18" t="s">
        <v>137</v>
      </c>
      <c r="N18" t="s">
        <v>160</v>
      </c>
      <c r="O18">
        <v>77000</v>
      </c>
      <c r="P18" t="s">
        <v>160</v>
      </c>
      <c r="Q18">
        <v>45000</v>
      </c>
      <c r="R18">
        <v>32000</v>
      </c>
      <c r="S18" s="2">
        <v>0.58441558441558439</v>
      </c>
      <c r="T18">
        <v>101000</v>
      </c>
      <c r="U18" s="2">
        <v>-0.23762376237623761</v>
      </c>
      <c r="V18">
        <v>50600</v>
      </c>
      <c r="W18" s="2">
        <v>1.5217391304347829</v>
      </c>
      <c r="AA18" t="s">
        <v>198</v>
      </c>
    </row>
    <row r="19" spans="1:27" x14ac:dyDescent="0.3">
      <c r="A19" s="3">
        <v>17</v>
      </c>
      <c r="B19">
        <v>25725</v>
      </c>
      <c r="C19" t="s">
        <v>26</v>
      </c>
      <c r="D19" t="s">
        <v>27</v>
      </c>
      <c r="E19" t="s">
        <v>31</v>
      </c>
      <c r="F19" t="s">
        <v>74</v>
      </c>
      <c r="G19" s="1" t="str">
        <f>HYPERLINK("https://new.land.naver.com/complexes/25725", "클릭")</f>
        <v>클릭</v>
      </c>
      <c r="H19">
        <v>2009</v>
      </c>
      <c r="I19">
        <v>11</v>
      </c>
      <c r="J19">
        <v>774</v>
      </c>
      <c r="K19">
        <v>84</v>
      </c>
      <c r="L19" t="s">
        <v>135</v>
      </c>
      <c r="M19" t="s">
        <v>137</v>
      </c>
      <c r="N19" t="s">
        <v>163</v>
      </c>
      <c r="O19">
        <v>73000</v>
      </c>
      <c r="P19" t="s">
        <v>163</v>
      </c>
      <c r="Q19">
        <v>44000</v>
      </c>
      <c r="R19">
        <v>29000</v>
      </c>
      <c r="S19" s="2">
        <v>0.60273972602739723</v>
      </c>
      <c r="T19">
        <v>88500</v>
      </c>
      <c r="U19" s="2">
        <v>-0.1751412429378531</v>
      </c>
      <c r="V19">
        <v>46300</v>
      </c>
      <c r="W19" s="2">
        <v>1.5766738660907129</v>
      </c>
      <c r="AA19" t="s">
        <v>198</v>
      </c>
    </row>
    <row r="20" spans="1:27" x14ac:dyDescent="0.3">
      <c r="A20" s="3">
        <v>18</v>
      </c>
      <c r="B20">
        <v>107639</v>
      </c>
      <c r="C20" t="s">
        <v>26</v>
      </c>
      <c r="D20" t="s">
        <v>27</v>
      </c>
      <c r="E20" t="s">
        <v>28</v>
      </c>
      <c r="F20" t="s">
        <v>70</v>
      </c>
      <c r="G20" s="1" t="str">
        <f>HYPERLINK("https://new.land.naver.com/complexes/107639", "클릭")</f>
        <v>클릭</v>
      </c>
      <c r="H20">
        <v>2015</v>
      </c>
      <c r="I20">
        <v>8</v>
      </c>
      <c r="J20">
        <v>410</v>
      </c>
      <c r="K20">
        <v>74</v>
      </c>
      <c r="L20" t="s">
        <v>135</v>
      </c>
      <c r="M20" t="s">
        <v>137</v>
      </c>
      <c r="N20" t="s">
        <v>349</v>
      </c>
      <c r="O20">
        <v>70000</v>
      </c>
      <c r="P20" t="s">
        <v>349</v>
      </c>
      <c r="Q20">
        <v>45000</v>
      </c>
      <c r="R20">
        <v>25000</v>
      </c>
      <c r="S20" s="2">
        <v>0.6428571428571429</v>
      </c>
      <c r="V20">
        <v>40000</v>
      </c>
      <c r="W20" s="2">
        <v>1.75</v>
      </c>
      <c r="AA20" t="s">
        <v>198</v>
      </c>
    </row>
    <row r="21" spans="1:27" x14ac:dyDescent="0.3">
      <c r="A21" s="3">
        <v>19</v>
      </c>
      <c r="B21">
        <v>27012</v>
      </c>
      <c r="C21" t="s">
        <v>26</v>
      </c>
      <c r="D21" t="s">
        <v>27</v>
      </c>
      <c r="E21" t="s">
        <v>30</v>
      </c>
      <c r="F21" t="s">
        <v>317</v>
      </c>
      <c r="G21" s="1" t="str">
        <f>HYPERLINK("https://new.land.naver.com/complexes/27012", "클릭")</f>
        <v>클릭</v>
      </c>
      <c r="H21">
        <v>2008</v>
      </c>
      <c r="I21">
        <v>10</v>
      </c>
      <c r="J21">
        <v>41</v>
      </c>
      <c r="K21">
        <v>115</v>
      </c>
      <c r="L21" t="s">
        <v>135</v>
      </c>
      <c r="M21" t="s">
        <v>551</v>
      </c>
      <c r="N21" t="s">
        <v>620</v>
      </c>
      <c r="O21">
        <v>65000</v>
      </c>
      <c r="P21" t="s">
        <v>620</v>
      </c>
      <c r="Q21">
        <v>40000</v>
      </c>
      <c r="R21">
        <v>25000</v>
      </c>
      <c r="S21" s="2">
        <v>0.61538461538461542</v>
      </c>
      <c r="V21">
        <v>42300</v>
      </c>
      <c r="W21" s="2">
        <v>1.5366430260047279</v>
      </c>
      <c r="AA21" t="s">
        <v>198</v>
      </c>
    </row>
    <row r="22" spans="1:27" x14ac:dyDescent="0.3">
      <c r="A22" s="3">
        <v>20</v>
      </c>
      <c r="B22">
        <v>24870</v>
      </c>
      <c r="C22" t="s">
        <v>26</v>
      </c>
      <c r="D22" t="s">
        <v>27</v>
      </c>
      <c r="E22" t="s">
        <v>28</v>
      </c>
      <c r="F22" t="s">
        <v>547</v>
      </c>
      <c r="G22" s="1" t="str">
        <f>HYPERLINK("https://new.land.naver.com/complexes/24870", "클릭")</f>
        <v>클릭</v>
      </c>
      <c r="H22">
        <v>2008</v>
      </c>
      <c r="I22">
        <v>2</v>
      </c>
      <c r="J22">
        <v>137</v>
      </c>
      <c r="K22">
        <v>176</v>
      </c>
      <c r="L22" t="s">
        <v>135</v>
      </c>
      <c r="M22" t="s">
        <v>139</v>
      </c>
      <c r="N22" t="s">
        <v>624</v>
      </c>
      <c r="O22">
        <v>64500</v>
      </c>
      <c r="P22" t="s">
        <v>624</v>
      </c>
      <c r="Q22">
        <v>50000</v>
      </c>
      <c r="R22">
        <v>14500</v>
      </c>
      <c r="S22" s="2">
        <v>0.77519379844961245</v>
      </c>
      <c r="V22">
        <v>40500</v>
      </c>
      <c r="W22" s="2">
        <v>1.592592592592593</v>
      </c>
      <c r="AA22" t="s">
        <v>198</v>
      </c>
    </row>
    <row r="23" spans="1:27" x14ac:dyDescent="0.3">
      <c r="A23" s="3">
        <v>21</v>
      </c>
      <c r="B23">
        <v>107639</v>
      </c>
      <c r="C23" t="s">
        <v>26</v>
      </c>
      <c r="D23" t="s">
        <v>27</v>
      </c>
      <c r="E23" t="s">
        <v>28</v>
      </c>
      <c r="F23" t="s">
        <v>70</v>
      </c>
      <c r="G23" s="1" t="str">
        <f>HYPERLINK("https://new.land.naver.com/complexes/107639", "클릭")</f>
        <v>클릭</v>
      </c>
      <c r="H23">
        <v>2015</v>
      </c>
      <c r="I23">
        <v>8</v>
      </c>
      <c r="J23">
        <v>410</v>
      </c>
      <c r="K23">
        <v>59</v>
      </c>
      <c r="L23" t="s">
        <v>135</v>
      </c>
      <c r="M23" t="s">
        <v>137</v>
      </c>
      <c r="N23" t="s">
        <v>265</v>
      </c>
      <c r="O23">
        <v>63000</v>
      </c>
      <c r="P23" t="s">
        <v>265</v>
      </c>
      <c r="Q23">
        <v>40000</v>
      </c>
      <c r="R23">
        <v>23000</v>
      </c>
      <c r="S23" s="2">
        <v>0.63492063492063489</v>
      </c>
      <c r="T23">
        <v>78000</v>
      </c>
      <c r="U23" s="2">
        <v>-0.19230769230769229</v>
      </c>
      <c r="V23">
        <v>36600</v>
      </c>
      <c r="W23" s="2">
        <v>1.721311475409836</v>
      </c>
      <c r="AA23" t="s">
        <v>198</v>
      </c>
    </row>
    <row r="24" spans="1:27" x14ac:dyDescent="0.3">
      <c r="A24" s="3">
        <v>22</v>
      </c>
      <c r="B24">
        <v>108656</v>
      </c>
      <c r="C24" t="s">
        <v>26</v>
      </c>
      <c r="D24" t="s">
        <v>27</v>
      </c>
      <c r="E24" t="s">
        <v>31</v>
      </c>
      <c r="F24" t="s">
        <v>111</v>
      </c>
      <c r="G24" s="1" t="str">
        <f>HYPERLINK("https://new.land.naver.com/complexes/108656", "클릭")</f>
        <v>클릭</v>
      </c>
      <c r="H24">
        <v>2014</v>
      </c>
      <c r="I24">
        <v>10</v>
      </c>
      <c r="J24">
        <v>191</v>
      </c>
      <c r="K24">
        <v>67</v>
      </c>
      <c r="N24" t="s">
        <v>362</v>
      </c>
      <c r="O24">
        <v>62000</v>
      </c>
      <c r="AA24" t="s">
        <v>394</v>
      </c>
    </row>
    <row r="25" spans="1:27" x14ac:dyDescent="0.3">
      <c r="A25" s="3">
        <v>23</v>
      </c>
      <c r="B25">
        <v>25725</v>
      </c>
      <c r="C25" t="s">
        <v>26</v>
      </c>
      <c r="D25" t="s">
        <v>27</v>
      </c>
      <c r="E25" t="s">
        <v>31</v>
      </c>
      <c r="F25" t="s">
        <v>74</v>
      </c>
      <c r="G25" s="1" t="str">
        <f>HYPERLINK("https://new.land.naver.com/complexes/25725", "클릭")</f>
        <v>클릭</v>
      </c>
      <c r="H25">
        <v>2009</v>
      </c>
      <c r="I25">
        <v>11</v>
      </c>
      <c r="J25">
        <v>774</v>
      </c>
      <c r="K25">
        <v>59</v>
      </c>
      <c r="L25" t="s">
        <v>135</v>
      </c>
      <c r="M25" t="s">
        <v>137</v>
      </c>
      <c r="N25" t="s">
        <v>266</v>
      </c>
      <c r="O25">
        <v>61000</v>
      </c>
      <c r="P25" t="s">
        <v>266</v>
      </c>
      <c r="Q25">
        <v>37000</v>
      </c>
      <c r="R25">
        <v>24000</v>
      </c>
      <c r="S25" s="2">
        <v>0.60655737704918034</v>
      </c>
      <c r="T25">
        <v>75000</v>
      </c>
      <c r="U25" s="2">
        <v>-0.1866666666666667</v>
      </c>
      <c r="V25">
        <v>37900</v>
      </c>
      <c r="W25" s="2">
        <v>1.6094986807387861</v>
      </c>
      <c r="AA25" t="s">
        <v>198</v>
      </c>
    </row>
    <row r="26" spans="1:27" x14ac:dyDescent="0.3">
      <c r="A26" s="3">
        <v>24</v>
      </c>
      <c r="B26">
        <v>108656</v>
      </c>
      <c r="C26" t="s">
        <v>26</v>
      </c>
      <c r="D26" t="s">
        <v>27</v>
      </c>
      <c r="E26" t="s">
        <v>31</v>
      </c>
      <c r="F26" t="s">
        <v>111</v>
      </c>
      <c r="G26" s="1" t="str">
        <f>HYPERLINK("https://new.land.naver.com/complexes/108656", "클릭")</f>
        <v>클릭</v>
      </c>
      <c r="H26">
        <v>2014</v>
      </c>
      <c r="I26">
        <v>10</v>
      </c>
      <c r="J26">
        <v>191</v>
      </c>
      <c r="K26">
        <v>108</v>
      </c>
      <c r="L26" t="s">
        <v>135</v>
      </c>
      <c r="M26" t="s">
        <v>137</v>
      </c>
      <c r="N26" t="s">
        <v>581</v>
      </c>
      <c r="O26">
        <v>59000</v>
      </c>
      <c r="P26" t="s">
        <v>581</v>
      </c>
      <c r="Q26">
        <v>40000</v>
      </c>
      <c r="R26">
        <v>19000</v>
      </c>
      <c r="S26" s="2">
        <v>0.67796610169491522</v>
      </c>
      <c r="AA26" t="s">
        <v>198</v>
      </c>
    </row>
    <row r="27" spans="1:27" x14ac:dyDescent="0.3">
      <c r="A27" s="3">
        <v>25</v>
      </c>
      <c r="B27">
        <v>24870</v>
      </c>
      <c r="C27" t="s">
        <v>26</v>
      </c>
      <c r="D27" t="s">
        <v>27</v>
      </c>
      <c r="E27" t="s">
        <v>28</v>
      </c>
      <c r="F27" t="s">
        <v>547</v>
      </c>
      <c r="G27" s="1" t="str">
        <f>HYPERLINK("https://new.land.naver.com/complexes/24870", "클릭")</f>
        <v>클릭</v>
      </c>
      <c r="H27">
        <v>2008</v>
      </c>
      <c r="I27">
        <v>2</v>
      </c>
      <c r="J27">
        <v>137</v>
      </c>
      <c r="K27">
        <v>115</v>
      </c>
      <c r="L27" t="s">
        <v>135</v>
      </c>
      <c r="M27" t="s">
        <v>139</v>
      </c>
      <c r="N27" t="s">
        <v>627</v>
      </c>
      <c r="O27">
        <v>57000</v>
      </c>
      <c r="P27" t="s">
        <v>627</v>
      </c>
      <c r="Q27">
        <v>40000</v>
      </c>
      <c r="R27">
        <v>17000</v>
      </c>
      <c r="S27" s="2">
        <v>0.70175438596491224</v>
      </c>
      <c r="V27">
        <v>34400</v>
      </c>
      <c r="W27" s="2">
        <v>1.656976744186047</v>
      </c>
      <c r="AA27" t="s">
        <v>198</v>
      </c>
    </row>
    <row r="28" spans="1:27" x14ac:dyDescent="0.3">
      <c r="A28" s="3">
        <v>26</v>
      </c>
      <c r="B28">
        <v>102646</v>
      </c>
      <c r="C28" t="s">
        <v>26</v>
      </c>
      <c r="D28" t="s">
        <v>27</v>
      </c>
      <c r="E28" t="s">
        <v>29</v>
      </c>
      <c r="F28" t="s">
        <v>311</v>
      </c>
      <c r="G28" s="1" t="str">
        <f>HYPERLINK("https://new.land.naver.com/complexes/102646", "클릭")</f>
        <v>클릭</v>
      </c>
      <c r="H28">
        <v>2010</v>
      </c>
      <c r="I28">
        <v>3</v>
      </c>
      <c r="J28">
        <v>52</v>
      </c>
      <c r="K28">
        <v>77</v>
      </c>
      <c r="L28" t="s">
        <v>135</v>
      </c>
      <c r="M28" t="s">
        <v>137</v>
      </c>
      <c r="N28" t="s">
        <v>348</v>
      </c>
      <c r="O28">
        <v>55000</v>
      </c>
      <c r="P28" t="s">
        <v>348</v>
      </c>
      <c r="Q28">
        <v>45000</v>
      </c>
      <c r="R28">
        <v>10000</v>
      </c>
      <c r="S28" s="2">
        <v>0.81818181818181823</v>
      </c>
      <c r="V28">
        <v>31400</v>
      </c>
      <c r="W28" s="2">
        <v>1.7515923566878979</v>
      </c>
      <c r="AA28" t="s">
        <v>198</v>
      </c>
    </row>
    <row r="29" spans="1:27" x14ac:dyDescent="0.3">
      <c r="A29" s="3">
        <v>27</v>
      </c>
      <c r="B29">
        <v>102095</v>
      </c>
      <c r="C29" t="s">
        <v>26</v>
      </c>
      <c r="D29" t="s">
        <v>27</v>
      </c>
      <c r="E29" t="s">
        <v>28</v>
      </c>
      <c r="F29" t="s">
        <v>118</v>
      </c>
      <c r="G29" s="1" t="str">
        <f>HYPERLINK("https://new.land.naver.com/complexes/102095", "클릭")</f>
        <v>클릭</v>
      </c>
      <c r="H29">
        <v>2009</v>
      </c>
      <c r="I29">
        <v>12</v>
      </c>
      <c r="J29">
        <v>100</v>
      </c>
      <c r="K29">
        <v>98</v>
      </c>
      <c r="N29" t="s">
        <v>629</v>
      </c>
      <c r="O29">
        <v>55000</v>
      </c>
      <c r="AA29" t="s">
        <v>400</v>
      </c>
    </row>
    <row r="30" spans="1:27" x14ac:dyDescent="0.3">
      <c r="A30" s="3">
        <v>28</v>
      </c>
      <c r="B30">
        <v>24870</v>
      </c>
      <c r="C30" t="s">
        <v>26</v>
      </c>
      <c r="D30" t="s">
        <v>27</v>
      </c>
      <c r="E30" t="s">
        <v>28</v>
      </c>
      <c r="F30" t="s">
        <v>547</v>
      </c>
      <c r="G30" s="1" t="str">
        <f>HYPERLINK("https://new.land.naver.com/complexes/24870", "클릭")</f>
        <v>클릭</v>
      </c>
      <c r="H30">
        <v>2008</v>
      </c>
      <c r="I30">
        <v>2</v>
      </c>
      <c r="J30">
        <v>137</v>
      </c>
      <c r="K30">
        <v>116</v>
      </c>
      <c r="N30" t="s">
        <v>630</v>
      </c>
      <c r="O30">
        <v>54000</v>
      </c>
      <c r="P30" t="s">
        <v>630</v>
      </c>
      <c r="Q30">
        <v>40000</v>
      </c>
      <c r="R30">
        <v>14000</v>
      </c>
      <c r="S30" s="2">
        <v>0.7407407407407407</v>
      </c>
      <c r="AA30" t="s">
        <v>394</v>
      </c>
    </row>
    <row r="31" spans="1:27" x14ac:dyDescent="0.3">
      <c r="A31" s="3">
        <v>29</v>
      </c>
      <c r="B31">
        <v>103511</v>
      </c>
      <c r="C31" t="s">
        <v>26</v>
      </c>
      <c r="D31" t="s">
        <v>27</v>
      </c>
      <c r="E31" t="s">
        <v>28</v>
      </c>
      <c r="F31" t="s">
        <v>109</v>
      </c>
      <c r="G31" s="1" t="str">
        <f>HYPERLINK("https://new.land.naver.com/complexes/103511", "클릭")</f>
        <v>클릭</v>
      </c>
      <c r="H31">
        <v>2012</v>
      </c>
      <c r="I31">
        <v>12</v>
      </c>
      <c r="J31">
        <v>136</v>
      </c>
      <c r="K31">
        <v>84</v>
      </c>
      <c r="L31" t="s">
        <v>135</v>
      </c>
      <c r="M31" t="s">
        <v>137</v>
      </c>
      <c r="N31" t="s">
        <v>149</v>
      </c>
      <c r="O31">
        <v>52000</v>
      </c>
      <c r="P31" t="s">
        <v>195</v>
      </c>
      <c r="Q31">
        <v>31000</v>
      </c>
      <c r="R31">
        <v>21000</v>
      </c>
      <c r="S31" s="2">
        <v>0.59615384615384615</v>
      </c>
      <c r="T31">
        <v>58500</v>
      </c>
      <c r="U31" s="2">
        <v>-0.1111111111111111</v>
      </c>
      <c r="V31">
        <v>31100</v>
      </c>
      <c r="W31" s="2">
        <v>1.672025723472669</v>
      </c>
      <c r="AA31" t="s">
        <v>198</v>
      </c>
    </row>
    <row r="32" spans="1:27" x14ac:dyDescent="0.3">
      <c r="A32" s="3">
        <v>30</v>
      </c>
      <c r="B32">
        <v>24870</v>
      </c>
      <c r="C32" t="s">
        <v>26</v>
      </c>
      <c r="D32" t="s">
        <v>27</v>
      </c>
      <c r="E32" t="s">
        <v>28</v>
      </c>
      <c r="F32" t="s">
        <v>547</v>
      </c>
      <c r="G32" s="1" t="str">
        <f>HYPERLINK("https://new.land.naver.com/complexes/24870", "클릭")</f>
        <v>클릭</v>
      </c>
      <c r="H32">
        <v>2008</v>
      </c>
      <c r="I32">
        <v>2</v>
      </c>
      <c r="J32">
        <v>137</v>
      </c>
      <c r="K32">
        <v>107</v>
      </c>
      <c r="L32" t="s">
        <v>135</v>
      </c>
      <c r="M32" t="s">
        <v>137</v>
      </c>
      <c r="N32" t="s">
        <v>631</v>
      </c>
      <c r="O32">
        <v>51000</v>
      </c>
      <c r="P32" t="s">
        <v>631</v>
      </c>
      <c r="Q32">
        <v>37000</v>
      </c>
      <c r="R32">
        <v>14000</v>
      </c>
      <c r="S32" s="2">
        <v>0.72549019607843135</v>
      </c>
      <c r="V32">
        <v>30900</v>
      </c>
      <c r="W32" s="2">
        <v>1.650485436893204</v>
      </c>
      <c r="AA32" t="s">
        <v>198</v>
      </c>
    </row>
    <row r="33" spans="1:27" x14ac:dyDescent="0.3">
      <c r="A33" s="3">
        <v>31</v>
      </c>
      <c r="B33">
        <v>108656</v>
      </c>
      <c r="C33" t="s">
        <v>26</v>
      </c>
      <c r="D33" t="s">
        <v>27</v>
      </c>
      <c r="E33" t="s">
        <v>31</v>
      </c>
      <c r="F33" t="s">
        <v>111</v>
      </c>
      <c r="G33" s="1" t="str">
        <f>HYPERLINK("https://new.land.naver.com/complexes/108656", "클릭")</f>
        <v>클릭</v>
      </c>
      <c r="H33">
        <v>2014</v>
      </c>
      <c r="I33">
        <v>10</v>
      </c>
      <c r="J33">
        <v>191</v>
      </c>
      <c r="K33">
        <v>84</v>
      </c>
      <c r="L33" t="s">
        <v>135</v>
      </c>
      <c r="M33" t="s">
        <v>137</v>
      </c>
      <c r="N33" t="s">
        <v>182</v>
      </c>
      <c r="O33">
        <v>50000</v>
      </c>
      <c r="P33" t="s">
        <v>152</v>
      </c>
      <c r="Q33">
        <v>40000</v>
      </c>
      <c r="R33">
        <v>10000</v>
      </c>
      <c r="S33" s="2">
        <v>0.8</v>
      </c>
      <c r="T33">
        <v>60000</v>
      </c>
      <c r="U33" s="2">
        <v>-0.16666666666666671</v>
      </c>
      <c r="AA33" t="s">
        <v>198</v>
      </c>
    </row>
    <row r="34" spans="1:27" x14ac:dyDescent="0.3">
      <c r="A34" s="3">
        <v>32</v>
      </c>
      <c r="B34">
        <v>102646</v>
      </c>
      <c r="C34" t="s">
        <v>26</v>
      </c>
      <c r="D34" t="s">
        <v>27</v>
      </c>
      <c r="E34" t="s">
        <v>29</v>
      </c>
      <c r="F34" t="s">
        <v>311</v>
      </c>
      <c r="G34" s="1" t="str">
        <f>HYPERLINK("https://new.land.naver.com/complexes/102646", "클릭")</f>
        <v>클릭</v>
      </c>
      <c r="H34">
        <v>2010</v>
      </c>
      <c r="I34">
        <v>3</v>
      </c>
      <c r="J34">
        <v>52</v>
      </c>
      <c r="K34">
        <v>64</v>
      </c>
      <c r="N34" t="s">
        <v>271</v>
      </c>
      <c r="O34">
        <v>50000</v>
      </c>
      <c r="AA34" t="s">
        <v>404</v>
      </c>
    </row>
    <row r="35" spans="1:27" x14ac:dyDescent="0.3">
      <c r="A35" s="3">
        <v>33</v>
      </c>
      <c r="B35">
        <v>103511</v>
      </c>
      <c r="C35" t="s">
        <v>26</v>
      </c>
      <c r="D35" t="s">
        <v>27</v>
      </c>
      <c r="E35" t="s">
        <v>28</v>
      </c>
      <c r="F35" t="s">
        <v>109</v>
      </c>
      <c r="G35" s="1" t="str">
        <f>HYPERLINK("https://new.land.naver.com/complexes/103511", "클릭")</f>
        <v>클릭</v>
      </c>
      <c r="H35">
        <v>2012</v>
      </c>
      <c r="I35">
        <v>12</v>
      </c>
      <c r="J35">
        <v>136</v>
      </c>
      <c r="K35">
        <v>59</v>
      </c>
      <c r="L35" t="s">
        <v>135</v>
      </c>
      <c r="M35" t="s">
        <v>137</v>
      </c>
      <c r="N35" t="s">
        <v>263</v>
      </c>
      <c r="O35">
        <v>49000</v>
      </c>
      <c r="P35" t="s">
        <v>263</v>
      </c>
      <c r="Q35">
        <v>30000</v>
      </c>
      <c r="R35">
        <v>19000</v>
      </c>
      <c r="S35" s="2">
        <v>0.61224489795918369</v>
      </c>
      <c r="T35">
        <v>58900</v>
      </c>
      <c r="U35" s="2">
        <v>-0.16808149405772499</v>
      </c>
      <c r="V35">
        <v>26900</v>
      </c>
      <c r="W35" s="2">
        <v>1.8215613382899629</v>
      </c>
      <c r="AA35" t="s">
        <v>201</v>
      </c>
    </row>
    <row r="36" spans="1:27" x14ac:dyDescent="0.3">
      <c r="A36" s="3">
        <v>34</v>
      </c>
      <c r="B36">
        <v>24870</v>
      </c>
      <c r="C36" t="s">
        <v>26</v>
      </c>
      <c r="D36" t="s">
        <v>27</v>
      </c>
      <c r="E36" t="s">
        <v>28</v>
      </c>
      <c r="F36" t="s">
        <v>547</v>
      </c>
      <c r="G36" s="1" t="str">
        <f>HYPERLINK("https://new.land.naver.com/complexes/24870", "클릭")</f>
        <v>클릭</v>
      </c>
      <c r="H36">
        <v>2008</v>
      </c>
      <c r="I36">
        <v>2</v>
      </c>
      <c r="J36">
        <v>137</v>
      </c>
      <c r="K36">
        <v>98</v>
      </c>
      <c r="L36" t="s">
        <v>135</v>
      </c>
      <c r="M36" t="s">
        <v>137</v>
      </c>
      <c r="N36" t="s">
        <v>593</v>
      </c>
      <c r="O36">
        <v>49000</v>
      </c>
      <c r="P36" t="s">
        <v>593</v>
      </c>
      <c r="Q36">
        <v>44000</v>
      </c>
      <c r="R36">
        <v>5000</v>
      </c>
      <c r="S36" s="2">
        <v>0.89795918367346939</v>
      </c>
      <c r="V36">
        <v>29400</v>
      </c>
      <c r="W36" s="2">
        <v>1.666666666666667</v>
      </c>
      <c r="AA36" t="s">
        <v>198</v>
      </c>
    </row>
    <row r="37" spans="1:27" x14ac:dyDescent="0.3">
      <c r="A37" s="3">
        <v>35</v>
      </c>
      <c r="B37">
        <v>103511</v>
      </c>
      <c r="C37" t="s">
        <v>26</v>
      </c>
      <c r="D37" t="s">
        <v>27</v>
      </c>
      <c r="E37" t="s">
        <v>28</v>
      </c>
      <c r="F37" t="s">
        <v>109</v>
      </c>
      <c r="G37" s="1" t="str">
        <f>HYPERLINK("https://new.land.naver.com/complexes/103511", "클릭")</f>
        <v>클릭</v>
      </c>
      <c r="H37">
        <v>2012</v>
      </c>
      <c r="I37">
        <v>12</v>
      </c>
      <c r="J37">
        <v>136</v>
      </c>
      <c r="K37">
        <v>71</v>
      </c>
      <c r="L37" t="s">
        <v>135</v>
      </c>
      <c r="M37" t="s">
        <v>137</v>
      </c>
      <c r="N37" t="s">
        <v>359</v>
      </c>
      <c r="O37">
        <v>48000</v>
      </c>
      <c r="P37" t="s">
        <v>359</v>
      </c>
      <c r="Q37">
        <v>32000</v>
      </c>
      <c r="R37">
        <v>16000</v>
      </c>
      <c r="S37" s="2">
        <v>0.66666666666666663</v>
      </c>
      <c r="V37">
        <v>28300</v>
      </c>
      <c r="W37" s="2">
        <v>1.6961130742049471</v>
      </c>
      <c r="AA37" t="s">
        <v>198</v>
      </c>
    </row>
    <row r="38" spans="1:27" x14ac:dyDescent="0.3">
      <c r="A38" s="3">
        <v>36</v>
      </c>
      <c r="B38">
        <v>103511</v>
      </c>
      <c r="C38" t="s">
        <v>26</v>
      </c>
      <c r="D38" t="s">
        <v>27</v>
      </c>
      <c r="E38" t="s">
        <v>28</v>
      </c>
      <c r="F38" t="s">
        <v>109</v>
      </c>
      <c r="G38" s="1" t="str">
        <f>HYPERLINK("https://new.land.naver.com/complexes/103511", "클릭")</f>
        <v>클릭</v>
      </c>
      <c r="H38">
        <v>2012</v>
      </c>
      <c r="I38">
        <v>12</v>
      </c>
      <c r="J38">
        <v>136</v>
      </c>
      <c r="K38">
        <v>70</v>
      </c>
      <c r="L38" t="s">
        <v>135</v>
      </c>
      <c r="M38" t="s">
        <v>137</v>
      </c>
      <c r="N38" t="s">
        <v>362</v>
      </c>
      <c r="O38">
        <v>47000</v>
      </c>
      <c r="P38" t="s">
        <v>362</v>
      </c>
      <c r="Q38">
        <v>33000</v>
      </c>
      <c r="R38">
        <v>14000</v>
      </c>
      <c r="S38" s="2">
        <v>0.7021276595744681</v>
      </c>
      <c r="V38">
        <v>28300</v>
      </c>
      <c r="W38" s="2">
        <v>1.6607773851590111</v>
      </c>
      <c r="AA38" t="s">
        <v>288</v>
      </c>
    </row>
    <row r="39" spans="1:27" x14ac:dyDescent="0.3">
      <c r="A39" s="3">
        <v>37</v>
      </c>
      <c r="B39">
        <v>108656</v>
      </c>
      <c r="C39" t="s">
        <v>26</v>
      </c>
      <c r="D39" t="s">
        <v>27</v>
      </c>
      <c r="E39" t="s">
        <v>31</v>
      </c>
      <c r="F39" t="s">
        <v>111</v>
      </c>
      <c r="G39" s="1" t="str">
        <f>HYPERLINK("https://new.land.naver.com/complexes/108656", "클릭")</f>
        <v>클릭</v>
      </c>
      <c r="H39">
        <v>2014</v>
      </c>
      <c r="I39">
        <v>10</v>
      </c>
      <c r="J39">
        <v>191</v>
      </c>
      <c r="K39">
        <v>72</v>
      </c>
      <c r="L39" t="s">
        <v>135</v>
      </c>
      <c r="M39" t="s">
        <v>235</v>
      </c>
      <c r="N39" t="s">
        <v>189</v>
      </c>
      <c r="O39">
        <v>47000</v>
      </c>
      <c r="P39" t="s">
        <v>189</v>
      </c>
      <c r="Q39">
        <v>35000</v>
      </c>
      <c r="R39">
        <v>12000</v>
      </c>
      <c r="S39" s="2">
        <v>0.74468085106382975</v>
      </c>
      <c r="AA39" t="s">
        <v>198</v>
      </c>
    </row>
    <row r="40" spans="1:27" x14ac:dyDescent="0.3">
      <c r="A40" s="3">
        <v>38</v>
      </c>
      <c r="B40">
        <v>106767</v>
      </c>
      <c r="C40" t="s">
        <v>26</v>
      </c>
      <c r="D40" t="s">
        <v>27</v>
      </c>
      <c r="E40" t="s">
        <v>28</v>
      </c>
      <c r="F40" t="s">
        <v>116</v>
      </c>
      <c r="G40" s="1" t="str">
        <f>HYPERLINK("https://new.land.naver.com/complexes/106767", "클릭")</f>
        <v>클릭</v>
      </c>
      <c r="H40">
        <v>2013</v>
      </c>
      <c r="I40">
        <v>2</v>
      </c>
      <c r="J40">
        <v>48</v>
      </c>
      <c r="K40">
        <v>84</v>
      </c>
      <c r="L40" t="s">
        <v>135</v>
      </c>
      <c r="M40" t="s">
        <v>137</v>
      </c>
      <c r="N40" t="s">
        <v>185</v>
      </c>
      <c r="O40">
        <v>47000</v>
      </c>
      <c r="P40" t="s">
        <v>185</v>
      </c>
      <c r="Q40">
        <v>35000</v>
      </c>
      <c r="R40">
        <v>12000</v>
      </c>
      <c r="S40" s="2">
        <v>0.74468085106382975</v>
      </c>
      <c r="T40">
        <v>55000</v>
      </c>
      <c r="U40" s="2">
        <v>-0.14545454545454539</v>
      </c>
      <c r="V40">
        <v>31200</v>
      </c>
      <c r="W40" s="2">
        <v>1.5064102564102559</v>
      </c>
      <c r="AA40" t="s">
        <v>198</v>
      </c>
    </row>
    <row r="41" spans="1:27" x14ac:dyDescent="0.3">
      <c r="A41" s="3">
        <v>39</v>
      </c>
      <c r="B41">
        <v>27012</v>
      </c>
      <c r="C41" t="s">
        <v>26</v>
      </c>
      <c r="D41" t="s">
        <v>27</v>
      </c>
      <c r="E41" t="s">
        <v>30</v>
      </c>
      <c r="F41" t="s">
        <v>317</v>
      </c>
      <c r="G41" s="1" t="str">
        <f>HYPERLINK("https://new.land.naver.com/complexes/27012", "클릭")</f>
        <v>클릭</v>
      </c>
      <c r="H41">
        <v>2008</v>
      </c>
      <c r="I41">
        <v>10</v>
      </c>
      <c r="J41">
        <v>41</v>
      </c>
      <c r="K41">
        <v>65</v>
      </c>
      <c r="L41" t="s">
        <v>135</v>
      </c>
      <c r="M41" t="s">
        <v>137</v>
      </c>
      <c r="N41" t="s">
        <v>267</v>
      </c>
      <c r="O41">
        <v>46000</v>
      </c>
      <c r="P41" t="s">
        <v>267</v>
      </c>
      <c r="Q41">
        <v>29000</v>
      </c>
      <c r="R41">
        <v>17000</v>
      </c>
      <c r="S41" s="2">
        <v>0.63043478260869568</v>
      </c>
      <c r="AA41" t="s">
        <v>391</v>
      </c>
    </row>
    <row r="42" spans="1:27" x14ac:dyDescent="0.3">
      <c r="A42" s="3">
        <v>40</v>
      </c>
      <c r="B42">
        <v>102095</v>
      </c>
      <c r="C42" t="s">
        <v>26</v>
      </c>
      <c r="D42" t="s">
        <v>27</v>
      </c>
      <c r="E42" t="s">
        <v>28</v>
      </c>
      <c r="F42" t="s">
        <v>118</v>
      </c>
      <c r="G42" s="1" t="str">
        <f>HYPERLINK("https://new.land.naver.com/complexes/102095", "클릭")</f>
        <v>클릭</v>
      </c>
      <c r="H42">
        <v>2009</v>
      </c>
      <c r="I42">
        <v>12</v>
      </c>
      <c r="J42">
        <v>100</v>
      </c>
      <c r="K42">
        <v>84</v>
      </c>
      <c r="L42" t="s">
        <v>135</v>
      </c>
      <c r="M42" t="s">
        <v>137</v>
      </c>
      <c r="N42" t="s">
        <v>173</v>
      </c>
      <c r="O42">
        <v>46000</v>
      </c>
      <c r="P42" t="s">
        <v>173</v>
      </c>
      <c r="Q42">
        <v>43000</v>
      </c>
      <c r="R42">
        <v>3000</v>
      </c>
      <c r="S42" s="2">
        <v>0.93478260869565222</v>
      </c>
      <c r="T42">
        <v>52500</v>
      </c>
      <c r="U42" s="2">
        <v>-0.1238095238095238</v>
      </c>
      <c r="V42">
        <v>25700</v>
      </c>
      <c r="W42" s="2">
        <v>1.7898832684824899</v>
      </c>
      <c r="AA42" t="s">
        <v>198</v>
      </c>
    </row>
    <row r="43" spans="1:27" x14ac:dyDescent="0.3">
      <c r="A43" s="3">
        <v>41</v>
      </c>
      <c r="B43">
        <v>127325</v>
      </c>
      <c r="C43" t="s">
        <v>26</v>
      </c>
      <c r="D43" t="s">
        <v>27</v>
      </c>
      <c r="E43" t="s">
        <v>28</v>
      </c>
      <c r="F43" t="s">
        <v>323</v>
      </c>
      <c r="G43" s="1" t="str">
        <f>HYPERLINK("https://new.land.naver.com/complexes/127325", "클릭")</f>
        <v>클릭</v>
      </c>
      <c r="H43">
        <v>2015</v>
      </c>
      <c r="I43">
        <v>8</v>
      </c>
      <c r="J43">
        <v>15</v>
      </c>
      <c r="K43">
        <v>82</v>
      </c>
      <c r="L43" t="s">
        <v>135</v>
      </c>
      <c r="M43" t="s">
        <v>137</v>
      </c>
      <c r="N43" t="s">
        <v>344</v>
      </c>
      <c r="O43">
        <v>42000</v>
      </c>
      <c r="P43" t="s">
        <v>379</v>
      </c>
      <c r="Q43">
        <v>30000</v>
      </c>
      <c r="R43">
        <v>12000</v>
      </c>
      <c r="S43" s="2">
        <v>0.7142857142857143</v>
      </c>
      <c r="AA43" t="s">
        <v>198</v>
      </c>
    </row>
    <row r="44" spans="1:27" x14ac:dyDescent="0.3">
      <c r="A44" s="3">
        <v>42</v>
      </c>
      <c r="B44">
        <v>108656</v>
      </c>
      <c r="C44" t="s">
        <v>26</v>
      </c>
      <c r="D44" t="s">
        <v>27</v>
      </c>
      <c r="E44" t="s">
        <v>31</v>
      </c>
      <c r="F44" t="s">
        <v>111</v>
      </c>
      <c r="G44" s="1" t="str">
        <f>HYPERLINK("https://new.land.naver.com/complexes/108656", "클릭")</f>
        <v>클릭</v>
      </c>
      <c r="H44">
        <v>2014</v>
      </c>
      <c r="I44">
        <v>10</v>
      </c>
      <c r="J44">
        <v>191</v>
      </c>
      <c r="K44">
        <v>68</v>
      </c>
      <c r="L44" t="s">
        <v>135</v>
      </c>
      <c r="M44" t="s">
        <v>235</v>
      </c>
      <c r="N44" t="s">
        <v>359</v>
      </c>
      <c r="O44">
        <v>41000</v>
      </c>
      <c r="P44" t="s">
        <v>359</v>
      </c>
      <c r="Q44">
        <v>32000</v>
      </c>
      <c r="R44">
        <v>9000</v>
      </c>
      <c r="S44" s="2">
        <v>0.78048780487804881</v>
      </c>
      <c r="AA44" t="s">
        <v>198</v>
      </c>
    </row>
    <row r="45" spans="1:27" x14ac:dyDescent="0.3">
      <c r="A45" s="3">
        <v>43</v>
      </c>
      <c r="B45">
        <v>111203</v>
      </c>
      <c r="C45" t="s">
        <v>26</v>
      </c>
      <c r="D45" t="s">
        <v>27</v>
      </c>
      <c r="E45" t="s">
        <v>28</v>
      </c>
      <c r="F45" t="s">
        <v>130</v>
      </c>
      <c r="G45" s="1" t="str">
        <f>HYPERLINK("https://new.land.naver.com/complexes/111203", "클릭")</f>
        <v>클릭</v>
      </c>
      <c r="H45">
        <v>2015</v>
      </c>
      <c r="I45">
        <v>8</v>
      </c>
      <c r="J45">
        <v>23</v>
      </c>
      <c r="K45">
        <v>78</v>
      </c>
      <c r="L45" t="s">
        <v>135</v>
      </c>
      <c r="M45" t="s">
        <v>137</v>
      </c>
      <c r="N45" t="s">
        <v>259</v>
      </c>
      <c r="O45">
        <v>39000</v>
      </c>
      <c r="AA45" t="s">
        <v>198</v>
      </c>
    </row>
    <row r="46" spans="1:27" x14ac:dyDescent="0.3">
      <c r="A46" s="3">
        <v>44</v>
      </c>
      <c r="B46">
        <v>116687</v>
      </c>
      <c r="C46" t="s">
        <v>26</v>
      </c>
      <c r="D46" t="s">
        <v>27</v>
      </c>
      <c r="E46" t="s">
        <v>28</v>
      </c>
      <c r="F46" t="s">
        <v>327</v>
      </c>
      <c r="G46" s="1" t="str">
        <f>HYPERLINK("https://new.land.naver.com/complexes/116687", "클릭")</f>
        <v>클릭</v>
      </c>
      <c r="H46">
        <v>2015</v>
      </c>
      <c r="I46">
        <v>8</v>
      </c>
      <c r="J46">
        <v>8</v>
      </c>
      <c r="K46">
        <v>76</v>
      </c>
      <c r="L46" t="s">
        <v>135</v>
      </c>
      <c r="M46" t="s">
        <v>137</v>
      </c>
      <c r="N46" t="s">
        <v>374</v>
      </c>
      <c r="O46">
        <v>38000</v>
      </c>
      <c r="AA46" t="s">
        <v>198</v>
      </c>
    </row>
    <row r="47" spans="1:27" x14ac:dyDescent="0.3">
      <c r="A47" s="3">
        <v>45</v>
      </c>
      <c r="B47">
        <v>111203</v>
      </c>
      <c r="C47" t="s">
        <v>26</v>
      </c>
      <c r="D47" t="s">
        <v>27</v>
      </c>
      <c r="E47" t="s">
        <v>28</v>
      </c>
      <c r="F47" t="s">
        <v>130</v>
      </c>
      <c r="G47" s="1" t="str">
        <f>HYPERLINK("https://new.land.naver.com/complexes/111203", "클릭")</f>
        <v>클릭</v>
      </c>
      <c r="H47">
        <v>2015</v>
      </c>
      <c r="I47">
        <v>8</v>
      </c>
      <c r="J47">
        <v>23</v>
      </c>
      <c r="K47">
        <v>74</v>
      </c>
      <c r="L47" t="s">
        <v>135</v>
      </c>
      <c r="M47" t="s">
        <v>137</v>
      </c>
      <c r="N47" t="s">
        <v>272</v>
      </c>
      <c r="O47">
        <v>37000</v>
      </c>
      <c r="AA47" t="s">
        <v>198</v>
      </c>
    </row>
    <row r="48" spans="1:27" x14ac:dyDescent="0.3">
      <c r="A48" s="3">
        <v>46</v>
      </c>
      <c r="B48">
        <v>111203</v>
      </c>
      <c r="C48" t="s">
        <v>26</v>
      </c>
      <c r="D48" t="s">
        <v>27</v>
      </c>
      <c r="E48" t="s">
        <v>28</v>
      </c>
      <c r="F48" t="s">
        <v>130</v>
      </c>
      <c r="G48" s="1" t="str">
        <f>HYPERLINK("https://new.land.naver.com/complexes/111203", "클릭")</f>
        <v>클릭</v>
      </c>
      <c r="H48">
        <v>2015</v>
      </c>
      <c r="I48">
        <v>8</v>
      </c>
      <c r="J48">
        <v>23</v>
      </c>
      <c r="K48">
        <v>84</v>
      </c>
      <c r="L48" t="s">
        <v>135</v>
      </c>
      <c r="M48" t="s">
        <v>137</v>
      </c>
      <c r="N48" t="s">
        <v>188</v>
      </c>
      <c r="O48">
        <v>37000</v>
      </c>
      <c r="P48" t="s">
        <v>188</v>
      </c>
      <c r="Q48">
        <v>25000</v>
      </c>
      <c r="R48">
        <v>12000</v>
      </c>
      <c r="S48" s="2">
        <v>0.67567567567567566</v>
      </c>
      <c r="AA48" t="s">
        <v>198</v>
      </c>
    </row>
    <row r="49" spans="1:27" x14ac:dyDescent="0.3">
      <c r="A49" s="3">
        <v>47</v>
      </c>
      <c r="B49">
        <v>113693</v>
      </c>
      <c r="C49" t="s">
        <v>26</v>
      </c>
      <c r="D49" t="s">
        <v>27</v>
      </c>
      <c r="E49" t="s">
        <v>28</v>
      </c>
      <c r="F49" t="s">
        <v>329</v>
      </c>
      <c r="G49" s="1" t="str">
        <f>HYPERLINK("https://new.land.naver.com/complexes/113693", "클릭")</f>
        <v>클릭</v>
      </c>
      <c r="H49">
        <v>2014</v>
      </c>
      <c r="I49">
        <v>12</v>
      </c>
      <c r="J49">
        <v>40</v>
      </c>
      <c r="K49">
        <v>81</v>
      </c>
      <c r="L49" t="s">
        <v>135</v>
      </c>
      <c r="M49" t="s">
        <v>137</v>
      </c>
      <c r="N49" t="s">
        <v>181</v>
      </c>
      <c r="O49">
        <v>36500</v>
      </c>
      <c r="P49" t="s">
        <v>181</v>
      </c>
      <c r="Q49">
        <v>27500</v>
      </c>
      <c r="R49">
        <v>9000</v>
      </c>
      <c r="S49" s="2">
        <v>0.75342465753424659</v>
      </c>
      <c r="V49">
        <v>20600</v>
      </c>
      <c r="W49" s="2">
        <v>1.7718446601941751</v>
      </c>
      <c r="AA49" t="s">
        <v>198</v>
      </c>
    </row>
    <row r="50" spans="1:27" x14ac:dyDescent="0.3">
      <c r="A50" s="3">
        <v>48</v>
      </c>
      <c r="B50">
        <v>113693</v>
      </c>
      <c r="C50" t="s">
        <v>26</v>
      </c>
      <c r="D50" t="s">
        <v>27</v>
      </c>
      <c r="E50" t="s">
        <v>28</v>
      </c>
      <c r="F50" t="s">
        <v>329</v>
      </c>
      <c r="G50" s="1" t="str">
        <f>HYPERLINK("https://new.land.naver.com/complexes/113693", "클릭")</f>
        <v>클릭</v>
      </c>
      <c r="H50">
        <v>2014</v>
      </c>
      <c r="I50">
        <v>12</v>
      </c>
      <c r="J50">
        <v>40</v>
      </c>
      <c r="K50">
        <v>80</v>
      </c>
      <c r="L50" t="s">
        <v>135</v>
      </c>
      <c r="M50" t="s">
        <v>137</v>
      </c>
      <c r="N50" t="s">
        <v>343</v>
      </c>
      <c r="O50">
        <v>36000</v>
      </c>
      <c r="P50" t="s">
        <v>343</v>
      </c>
      <c r="Q50">
        <v>27000</v>
      </c>
      <c r="R50">
        <v>9000</v>
      </c>
      <c r="S50" s="2">
        <v>0.75</v>
      </c>
      <c r="AA50" t="s">
        <v>395</v>
      </c>
    </row>
    <row r="51" spans="1:27" x14ac:dyDescent="0.3">
      <c r="A51" s="3">
        <v>49</v>
      </c>
      <c r="B51">
        <v>116687</v>
      </c>
      <c r="C51" t="s">
        <v>26</v>
      </c>
      <c r="D51" t="s">
        <v>27</v>
      </c>
      <c r="E51" t="s">
        <v>28</v>
      </c>
      <c r="F51" t="s">
        <v>327</v>
      </c>
      <c r="G51" s="1" t="str">
        <f>HYPERLINK("https://new.land.naver.com/complexes/116687", "클릭")</f>
        <v>클릭</v>
      </c>
      <c r="H51">
        <v>2015</v>
      </c>
      <c r="I51">
        <v>8</v>
      </c>
      <c r="J51">
        <v>8</v>
      </c>
      <c r="K51">
        <v>65</v>
      </c>
      <c r="L51" t="s">
        <v>135</v>
      </c>
      <c r="M51" t="s">
        <v>138</v>
      </c>
      <c r="N51" t="s">
        <v>248</v>
      </c>
      <c r="O51">
        <v>34500</v>
      </c>
      <c r="AA51" t="s">
        <v>198</v>
      </c>
    </row>
    <row r="52" spans="1:27" x14ac:dyDescent="0.3">
      <c r="A52" s="3">
        <v>50</v>
      </c>
      <c r="B52">
        <v>111203</v>
      </c>
      <c r="C52" t="s">
        <v>26</v>
      </c>
      <c r="D52" t="s">
        <v>27</v>
      </c>
      <c r="E52" t="s">
        <v>28</v>
      </c>
      <c r="F52" t="s">
        <v>130</v>
      </c>
      <c r="G52" s="1" t="str">
        <f>HYPERLINK("https://new.land.naver.com/complexes/111203", "클릭")</f>
        <v>클릭</v>
      </c>
      <c r="H52">
        <v>2015</v>
      </c>
      <c r="I52">
        <v>8</v>
      </c>
      <c r="J52">
        <v>23</v>
      </c>
      <c r="K52">
        <v>72</v>
      </c>
      <c r="N52" t="s">
        <v>267</v>
      </c>
      <c r="O52">
        <v>33000</v>
      </c>
      <c r="P52" t="s">
        <v>267</v>
      </c>
      <c r="Q52">
        <v>25000</v>
      </c>
      <c r="R52">
        <v>8000</v>
      </c>
      <c r="S52" s="2">
        <v>0.75757575757575757</v>
      </c>
      <c r="AA52" t="s">
        <v>411</v>
      </c>
    </row>
    <row r="53" spans="1:27" x14ac:dyDescent="0.3">
      <c r="A53" s="3">
        <v>51</v>
      </c>
      <c r="B53">
        <v>27012</v>
      </c>
      <c r="C53" t="s">
        <v>26</v>
      </c>
      <c r="D53" t="s">
        <v>27</v>
      </c>
      <c r="E53" t="s">
        <v>30</v>
      </c>
      <c r="F53" t="s">
        <v>317</v>
      </c>
      <c r="G53" s="1" t="str">
        <f>HYPERLINK("https://new.land.naver.com/complexes/27012", "클릭")</f>
        <v>클릭</v>
      </c>
      <c r="H53">
        <v>2008</v>
      </c>
      <c r="I53">
        <v>10</v>
      </c>
      <c r="J53">
        <v>41</v>
      </c>
      <c r="K53">
        <v>52</v>
      </c>
      <c r="L53" t="s">
        <v>135</v>
      </c>
      <c r="M53" t="s">
        <v>235</v>
      </c>
      <c r="N53" t="s">
        <v>461</v>
      </c>
      <c r="O53">
        <v>33000</v>
      </c>
      <c r="P53" t="s">
        <v>461</v>
      </c>
      <c r="Q53">
        <v>28000</v>
      </c>
      <c r="R53">
        <v>5000</v>
      </c>
      <c r="S53" s="2">
        <v>0.84848484848484851</v>
      </c>
      <c r="V53">
        <v>27200</v>
      </c>
      <c r="W53" s="2">
        <v>1.213235294117647</v>
      </c>
      <c r="AA53" t="s">
        <v>198</v>
      </c>
    </row>
    <row r="54" spans="1:27" x14ac:dyDescent="0.3">
      <c r="A54" s="3">
        <v>52</v>
      </c>
      <c r="B54">
        <v>112002</v>
      </c>
      <c r="C54" t="s">
        <v>26</v>
      </c>
      <c r="D54" t="s">
        <v>27</v>
      </c>
      <c r="E54" t="s">
        <v>28</v>
      </c>
      <c r="F54" t="s">
        <v>448</v>
      </c>
      <c r="G54" s="1" t="str">
        <f>HYPERLINK("https://new.land.naver.com/complexes/112002", "클릭")</f>
        <v>클릭</v>
      </c>
      <c r="H54">
        <v>2013</v>
      </c>
      <c r="I54">
        <v>12</v>
      </c>
      <c r="J54">
        <v>72</v>
      </c>
      <c r="K54">
        <v>15</v>
      </c>
      <c r="L54" t="s">
        <v>136</v>
      </c>
      <c r="M54" t="s">
        <v>236</v>
      </c>
      <c r="N54" t="s">
        <v>507</v>
      </c>
      <c r="O54">
        <v>14300</v>
      </c>
      <c r="V54">
        <v>7930</v>
      </c>
      <c r="W54" s="2">
        <v>1.8032786885245899</v>
      </c>
      <c r="AA54" t="s">
        <v>198</v>
      </c>
    </row>
    <row r="55" spans="1:27" x14ac:dyDescent="0.3">
      <c r="A55" s="3">
        <v>53</v>
      </c>
      <c r="B55">
        <v>112467</v>
      </c>
      <c r="C55" t="s">
        <v>26</v>
      </c>
      <c r="D55" t="s">
        <v>27</v>
      </c>
      <c r="E55" t="s">
        <v>29</v>
      </c>
      <c r="F55" t="s">
        <v>449</v>
      </c>
      <c r="G55" s="1" t="str">
        <f>HYPERLINK("https://new.land.naver.com/complexes/112467", "클릭")</f>
        <v>클릭</v>
      </c>
      <c r="H55">
        <v>2014</v>
      </c>
      <c r="I55">
        <v>11</v>
      </c>
      <c r="J55">
        <v>90</v>
      </c>
      <c r="K55">
        <v>14</v>
      </c>
      <c r="L55" t="s">
        <v>136</v>
      </c>
      <c r="M55" t="s">
        <v>236</v>
      </c>
      <c r="N55" t="s">
        <v>508</v>
      </c>
      <c r="O55">
        <v>13000</v>
      </c>
      <c r="AA55" t="s">
        <v>388</v>
      </c>
    </row>
    <row r="56" spans="1:27" x14ac:dyDescent="0.3">
      <c r="A56" s="3">
        <v>54</v>
      </c>
      <c r="B56">
        <v>112002</v>
      </c>
      <c r="C56" t="s">
        <v>26</v>
      </c>
      <c r="D56" t="s">
        <v>27</v>
      </c>
      <c r="E56" t="s">
        <v>28</v>
      </c>
      <c r="F56" t="s">
        <v>448</v>
      </c>
      <c r="G56" s="1" t="str">
        <f>HYPERLINK("https://new.land.naver.com/complexes/112002", "클릭")</f>
        <v>클릭</v>
      </c>
      <c r="H56">
        <v>2013</v>
      </c>
      <c r="I56">
        <v>12</v>
      </c>
      <c r="J56">
        <v>72</v>
      </c>
      <c r="K56">
        <v>16</v>
      </c>
      <c r="N56" t="s">
        <v>509</v>
      </c>
      <c r="O56">
        <v>12500</v>
      </c>
      <c r="AA56" t="s">
        <v>528</v>
      </c>
    </row>
    <row r="57" spans="1:27" x14ac:dyDescent="0.3">
      <c r="A57" s="3">
        <v>55</v>
      </c>
      <c r="B57">
        <v>112467</v>
      </c>
      <c r="C57" t="s">
        <v>26</v>
      </c>
      <c r="D57" t="s">
        <v>27</v>
      </c>
      <c r="E57" t="s">
        <v>29</v>
      </c>
      <c r="F57" t="s">
        <v>449</v>
      </c>
      <c r="G57" s="1" t="str">
        <f>HYPERLINK("https://new.land.naver.com/complexes/112467", "클릭")</f>
        <v>클릭</v>
      </c>
      <c r="H57">
        <v>2014</v>
      </c>
      <c r="I57">
        <v>11</v>
      </c>
      <c r="J57">
        <v>90</v>
      </c>
      <c r="K57">
        <v>13</v>
      </c>
      <c r="L57" t="s">
        <v>136</v>
      </c>
      <c r="M57" t="s">
        <v>236</v>
      </c>
      <c r="N57" t="s">
        <v>510</v>
      </c>
      <c r="O57">
        <v>11500</v>
      </c>
      <c r="P57" t="s">
        <v>515</v>
      </c>
      <c r="Q57">
        <v>9500</v>
      </c>
      <c r="R57">
        <v>2000</v>
      </c>
      <c r="S57" s="2">
        <v>0.82608695652173914</v>
      </c>
      <c r="AA57" t="s">
        <v>198</v>
      </c>
    </row>
    <row r="58" spans="1:27" x14ac:dyDescent="0.3">
      <c r="A58" s="3">
        <v>56</v>
      </c>
      <c r="B58">
        <v>112002</v>
      </c>
      <c r="C58" t="s">
        <v>26</v>
      </c>
      <c r="D58" t="s">
        <v>27</v>
      </c>
      <c r="E58" t="s">
        <v>28</v>
      </c>
      <c r="F58" t="s">
        <v>448</v>
      </c>
      <c r="G58" s="1" t="str">
        <f>HYPERLINK("https://new.land.naver.com/complexes/112002", "클릭")</f>
        <v>클릭</v>
      </c>
      <c r="H58">
        <v>2013</v>
      </c>
      <c r="I58">
        <v>12</v>
      </c>
      <c r="J58">
        <v>72</v>
      </c>
      <c r="K58">
        <v>12</v>
      </c>
      <c r="N58" t="s">
        <v>511</v>
      </c>
      <c r="O58">
        <v>11000</v>
      </c>
      <c r="AA58" t="s">
        <v>411</v>
      </c>
    </row>
    <row r="59" spans="1:27" x14ac:dyDescent="0.3">
      <c r="A59" s="3">
        <v>57</v>
      </c>
      <c r="B59">
        <v>122261</v>
      </c>
      <c r="C59" t="s">
        <v>26</v>
      </c>
      <c r="D59" t="s">
        <v>27</v>
      </c>
      <c r="E59" t="s">
        <v>28</v>
      </c>
      <c r="F59" t="s">
        <v>450</v>
      </c>
      <c r="G59" s="1" t="str">
        <f>HYPERLINK("https://new.land.naver.com/complexes/122261", "클릭")</f>
        <v>클릭</v>
      </c>
      <c r="H59">
        <v>2014</v>
      </c>
      <c r="I59">
        <v>3</v>
      </c>
      <c r="J59">
        <v>95</v>
      </c>
      <c r="K59">
        <v>18</v>
      </c>
      <c r="L59" t="s">
        <v>136</v>
      </c>
      <c r="M59" t="s">
        <v>236</v>
      </c>
      <c r="N59" t="s">
        <v>512</v>
      </c>
      <c r="O59">
        <v>9000</v>
      </c>
      <c r="P59" t="s">
        <v>512</v>
      </c>
      <c r="Q59">
        <v>8500</v>
      </c>
      <c r="R59">
        <v>500</v>
      </c>
      <c r="S59" s="2">
        <v>0.94444444444444442</v>
      </c>
      <c r="AA59" t="s">
        <v>198</v>
      </c>
    </row>
    <row r="60" spans="1:27" x14ac:dyDescent="0.3">
      <c r="A60" s="3">
        <v>58</v>
      </c>
      <c r="B60">
        <v>108673</v>
      </c>
      <c r="C60" t="s">
        <v>26</v>
      </c>
      <c r="D60" t="s">
        <v>27</v>
      </c>
      <c r="E60" t="s">
        <v>28</v>
      </c>
      <c r="F60" t="s">
        <v>451</v>
      </c>
      <c r="G60" s="1" t="str">
        <f>HYPERLINK("https://new.land.naver.com/complexes/108673", "클릭")</f>
        <v>클릭</v>
      </c>
      <c r="H60">
        <v>2014</v>
      </c>
      <c r="I60">
        <v>4</v>
      </c>
      <c r="J60">
        <v>63</v>
      </c>
      <c r="K60">
        <v>13</v>
      </c>
      <c r="L60" t="s">
        <v>136</v>
      </c>
      <c r="M60" t="s">
        <v>236</v>
      </c>
      <c r="P60" t="s">
        <v>518</v>
      </c>
      <c r="Q60">
        <v>7000</v>
      </c>
      <c r="V60">
        <v>6060</v>
      </c>
    </row>
    <row r="61" spans="1:27" x14ac:dyDescent="0.3">
      <c r="A61" s="3">
        <v>59</v>
      </c>
      <c r="B61">
        <v>108673</v>
      </c>
      <c r="C61" t="s">
        <v>26</v>
      </c>
      <c r="D61" t="s">
        <v>27</v>
      </c>
      <c r="E61" t="s">
        <v>28</v>
      </c>
      <c r="F61" t="s">
        <v>451</v>
      </c>
      <c r="G61" s="1" t="str">
        <f>HYPERLINK("https://new.land.naver.com/complexes/108673", "클릭")</f>
        <v>클릭</v>
      </c>
      <c r="H61">
        <v>2014</v>
      </c>
      <c r="I61">
        <v>4</v>
      </c>
      <c r="J61">
        <v>63</v>
      </c>
      <c r="K61">
        <v>12</v>
      </c>
      <c r="P61" t="s">
        <v>519</v>
      </c>
      <c r="Q61">
        <v>8900</v>
      </c>
    </row>
    <row r="62" spans="1:27" x14ac:dyDescent="0.3">
      <c r="A62" s="3">
        <v>60</v>
      </c>
      <c r="B62">
        <v>102095</v>
      </c>
      <c r="C62" t="s">
        <v>26</v>
      </c>
      <c r="D62" t="s">
        <v>27</v>
      </c>
      <c r="E62" t="s">
        <v>28</v>
      </c>
      <c r="F62" t="s">
        <v>118</v>
      </c>
      <c r="G62" s="1" t="str">
        <f>HYPERLINK("https://new.land.naver.com/complexes/102095", "클릭")</f>
        <v>클릭</v>
      </c>
      <c r="H62">
        <v>2009</v>
      </c>
      <c r="I62">
        <v>12</v>
      </c>
      <c r="J62">
        <v>100</v>
      </c>
      <c r="K62">
        <v>75</v>
      </c>
      <c r="M62" t="s">
        <v>137</v>
      </c>
      <c r="P62" t="s">
        <v>171</v>
      </c>
      <c r="Q62">
        <v>35000</v>
      </c>
    </row>
    <row r="63" spans="1:27" x14ac:dyDescent="0.3">
      <c r="A63" s="3">
        <v>61</v>
      </c>
      <c r="B63">
        <v>113693</v>
      </c>
      <c r="C63" t="s">
        <v>26</v>
      </c>
      <c r="D63" t="s">
        <v>27</v>
      </c>
      <c r="E63" t="s">
        <v>28</v>
      </c>
      <c r="F63" t="s">
        <v>329</v>
      </c>
      <c r="G63" s="1" t="str">
        <f>HYPERLINK("https://new.land.naver.com/complexes/113693", "클릭")</f>
        <v>클릭</v>
      </c>
      <c r="H63">
        <v>2014</v>
      </c>
      <c r="I63">
        <v>12</v>
      </c>
      <c r="J63">
        <v>40</v>
      </c>
      <c r="K63">
        <v>74</v>
      </c>
      <c r="L63" t="s">
        <v>135</v>
      </c>
      <c r="M63" t="s">
        <v>235</v>
      </c>
      <c r="P63" t="s">
        <v>383</v>
      </c>
      <c r="Q63">
        <v>23800</v>
      </c>
    </row>
  </sheetData>
  <phoneticPr fontId="4" type="noConversion"/>
  <conditionalFormatting sqref="H2:H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3">
    <cfRule type="containsBlanks" dxfId="8" priority="4">
      <formula>LEN(TRIM(R2))=0</formula>
    </cfRule>
    <cfRule type="cellIs" dxfId="7" priority="5" operator="lessThanOrEqual">
      <formula>10000</formula>
    </cfRule>
  </conditionalFormatting>
  <conditionalFormatting sqref="S2:S63">
    <cfRule type="cellIs" dxfId="6" priority="1" operator="greaterThanOrEqual">
      <formula>0.7</formula>
    </cfRule>
  </conditionalFormatting>
  <conditionalFormatting sqref="U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22"/>
  <sheetViews>
    <sheetView workbookViewId="0"/>
  </sheetViews>
  <sheetFormatPr defaultRowHeight="16.5" x14ac:dyDescent="0.3"/>
  <cols>
    <col min="1" max="1" width="4" bestFit="1" customWidth="1"/>
    <col min="2" max="2" width="7" bestFit="1" customWidth="1"/>
    <col min="3" max="3" width="4.375" bestFit="1" customWidth="1"/>
    <col min="4" max="4" width="8.25" bestFit="1" customWidth="1"/>
    <col min="5" max="5" width="4.375" bestFit="1" customWidth="1"/>
    <col min="6" max="6" width="15" bestFit="1" customWidth="1"/>
    <col min="7" max="7" width="7.875" style="1" bestFit="1" customWidth="1"/>
    <col min="8" max="8" width="5.625" bestFit="1" customWidth="1"/>
    <col min="9" max="9" width="4.375" bestFit="1" customWidth="1"/>
    <col min="10" max="10" width="5" bestFit="1" customWidth="1"/>
    <col min="11" max="11" width="5.625" bestFit="1" customWidth="1"/>
    <col min="12" max="12" width="8.125" bestFit="1" customWidth="1"/>
    <col min="13" max="13" width="5.25" bestFit="1" customWidth="1"/>
    <col min="14" max="14" width="5.625" bestFit="1" customWidth="1"/>
    <col min="15" max="15" width="9" bestFit="1" customWidth="1"/>
    <col min="16" max="16" width="5.625" bestFit="1" customWidth="1"/>
    <col min="17" max="18" width="8" bestFit="1" customWidth="1"/>
    <col min="19" max="19" width="20" style="2" bestFit="1" customWidth="1"/>
    <col min="20" max="20" width="9" bestFit="1" customWidth="1"/>
    <col min="21" max="21" width="23" style="2" bestFit="1" customWidth="1"/>
    <col min="22" max="22" width="8" bestFit="1" customWidth="1"/>
    <col min="23" max="23" width="19" style="2" bestFit="1" customWidth="1"/>
    <col min="24" max="25" width="7.125" bestFit="1" customWidth="1"/>
    <col min="26" max="26" width="5.625" bestFit="1" customWidth="1"/>
    <col min="27" max="27" width="10.75" bestFit="1" customWidth="1"/>
  </cols>
  <sheetData>
    <row r="1" spans="1:27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3">
        <v>0</v>
      </c>
      <c r="B2">
        <v>8626</v>
      </c>
      <c r="C2" t="s">
        <v>26</v>
      </c>
      <c r="D2" t="s">
        <v>27</v>
      </c>
      <c r="E2" t="s">
        <v>30</v>
      </c>
      <c r="F2" t="s">
        <v>292</v>
      </c>
      <c r="G2" s="1" t="str">
        <f>HYPERLINK("https://new.land.naver.com/complexes/8626", "클릭")</f>
        <v>클릭</v>
      </c>
      <c r="H2">
        <v>2002</v>
      </c>
      <c r="I2">
        <v>6</v>
      </c>
      <c r="J2">
        <v>967</v>
      </c>
      <c r="K2">
        <v>80</v>
      </c>
      <c r="L2" t="s">
        <v>135</v>
      </c>
      <c r="M2" t="s">
        <v>137</v>
      </c>
      <c r="N2" t="s">
        <v>163</v>
      </c>
      <c r="O2">
        <v>109000</v>
      </c>
      <c r="P2" t="s">
        <v>163</v>
      </c>
      <c r="Q2">
        <v>64000</v>
      </c>
      <c r="R2">
        <v>45000</v>
      </c>
      <c r="S2" s="2">
        <v>0.58715596330275233</v>
      </c>
      <c r="V2">
        <v>69700</v>
      </c>
      <c r="W2" s="2">
        <v>1.5638450502152079</v>
      </c>
      <c r="AA2" t="s">
        <v>198</v>
      </c>
    </row>
    <row r="3" spans="1:27" x14ac:dyDescent="0.3">
      <c r="A3" s="3">
        <v>1</v>
      </c>
      <c r="B3">
        <v>8626</v>
      </c>
      <c r="C3" t="s">
        <v>26</v>
      </c>
      <c r="D3" t="s">
        <v>27</v>
      </c>
      <c r="E3" t="s">
        <v>30</v>
      </c>
      <c r="F3" t="s">
        <v>292</v>
      </c>
      <c r="G3" s="1" t="str">
        <f>HYPERLINK("https://new.land.naver.com/complexes/8626", "클릭")</f>
        <v>클릭</v>
      </c>
      <c r="H3">
        <v>2002</v>
      </c>
      <c r="I3">
        <v>6</v>
      </c>
      <c r="J3">
        <v>967</v>
      </c>
      <c r="K3">
        <v>65</v>
      </c>
      <c r="L3" t="s">
        <v>135</v>
      </c>
      <c r="M3" t="s">
        <v>137</v>
      </c>
      <c r="N3" t="s">
        <v>341</v>
      </c>
      <c r="O3">
        <v>106000</v>
      </c>
      <c r="P3" t="s">
        <v>341</v>
      </c>
      <c r="Q3">
        <v>65000</v>
      </c>
      <c r="R3">
        <v>41000</v>
      </c>
      <c r="S3" s="2">
        <v>0.6132075471698113</v>
      </c>
      <c r="V3">
        <v>56000</v>
      </c>
      <c r="W3" s="2">
        <v>1.892857142857143</v>
      </c>
      <c r="AA3" t="s">
        <v>198</v>
      </c>
    </row>
    <row r="4" spans="1:27" x14ac:dyDescent="0.3">
      <c r="A4" s="3">
        <v>2</v>
      </c>
      <c r="B4">
        <v>10281</v>
      </c>
      <c r="C4" t="s">
        <v>26</v>
      </c>
      <c r="D4" t="s">
        <v>27</v>
      </c>
      <c r="E4" t="s">
        <v>29</v>
      </c>
      <c r="F4" t="s">
        <v>75</v>
      </c>
      <c r="G4" s="1" t="str">
        <f>HYPERLINK("https://new.land.naver.com/complexes/10281", "클릭")</f>
        <v>클릭</v>
      </c>
      <c r="H4">
        <v>2000</v>
      </c>
      <c r="I4">
        <v>10</v>
      </c>
      <c r="J4">
        <v>160</v>
      </c>
      <c r="K4">
        <v>119</v>
      </c>
      <c r="L4" t="s">
        <v>136</v>
      </c>
      <c r="M4" t="s">
        <v>139</v>
      </c>
      <c r="N4" t="s">
        <v>604</v>
      </c>
      <c r="O4">
        <v>100000</v>
      </c>
      <c r="P4" t="s">
        <v>604</v>
      </c>
      <c r="Q4">
        <v>60000</v>
      </c>
      <c r="R4">
        <v>40000</v>
      </c>
      <c r="S4" s="2">
        <v>0.6</v>
      </c>
      <c r="AA4" t="s">
        <v>407</v>
      </c>
    </row>
    <row r="5" spans="1:27" x14ac:dyDescent="0.3">
      <c r="A5" s="3">
        <v>3</v>
      </c>
      <c r="B5">
        <v>3079</v>
      </c>
      <c r="C5" t="s">
        <v>26</v>
      </c>
      <c r="D5" t="s">
        <v>27</v>
      </c>
      <c r="E5" t="s">
        <v>31</v>
      </c>
      <c r="F5" t="s">
        <v>81</v>
      </c>
      <c r="G5" s="1" t="str">
        <f>HYPERLINK("https://new.land.naver.com/complexes/3079", "클릭")</f>
        <v>클릭</v>
      </c>
      <c r="H5">
        <v>2003</v>
      </c>
      <c r="I5">
        <v>12</v>
      </c>
      <c r="J5">
        <v>3806</v>
      </c>
      <c r="K5">
        <v>164</v>
      </c>
      <c r="L5" t="s">
        <v>135</v>
      </c>
      <c r="M5" t="s">
        <v>551</v>
      </c>
      <c r="N5" t="s">
        <v>559</v>
      </c>
      <c r="O5">
        <v>100000</v>
      </c>
      <c r="P5" t="s">
        <v>559</v>
      </c>
      <c r="Q5">
        <v>65000</v>
      </c>
      <c r="R5">
        <v>35000</v>
      </c>
      <c r="S5" s="2">
        <v>0.65</v>
      </c>
      <c r="V5">
        <v>58900</v>
      </c>
      <c r="W5" s="2">
        <v>1.6977928692699491</v>
      </c>
      <c r="AA5" t="s">
        <v>198</v>
      </c>
    </row>
    <row r="6" spans="1:27" x14ac:dyDescent="0.3">
      <c r="A6" s="3">
        <v>4</v>
      </c>
      <c r="B6">
        <v>3079</v>
      </c>
      <c r="C6" t="s">
        <v>26</v>
      </c>
      <c r="D6" t="s">
        <v>27</v>
      </c>
      <c r="E6" t="s">
        <v>31</v>
      </c>
      <c r="F6" t="s">
        <v>81</v>
      </c>
      <c r="G6" s="1" t="str">
        <f>HYPERLINK("https://new.land.naver.com/complexes/3079", "클릭")</f>
        <v>클릭</v>
      </c>
      <c r="H6">
        <v>2003</v>
      </c>
      <c r="I6">
        <v>12</v>
      </c>
      <c r="J6">
        <v>3806</v>
      </c>
      <c r="K6">
        <v>182</v>
      </c>
      <c r="L6" t="s">
        <v>135</v>
      </c>
      <c r="M6" t="s">
        <v>554</v>
      </c>
      <c r="N6" t="s">
        <v>605</v>
      </c>
      <c r="O6">
        <v>100000</v>
      </c>
      <c r="P6" t="s">
        <v>605</v>
      </c>
      <c r="Q6">
        <v>60000</v>
      </c>
      <c r="R6">
        <v>40000</v>
      </c>
      <c r="S6" s="2">
        <v>0.6</v>
      </c>
      <c r="V6">
        <v>61000</v>
      </c>
      <c r="W6" s="2">
        <v>1.639344262295082</v>
      </c>
      <c r="AA6" t="s">
        <v>198</v>
      </c>
    </row>
    <row r="7" spans="1:27" x14ac:dyDescent="0.3">
      <c r="A7" s="3">
        <v>5</v>
      </c>
      <c r="B7">
        <v>10281</v>
      </c>
      <c r="C7" t="s">
        <v>26</v>
      </c>
      <c r="D7" t="s">
        <v>27</v>
      </c>
      <c r="E7" t="s">
        <v>29</v>
      </c>
      <c r="F7" t="s">
        <v>75</v>
      </c>
      <c r="G7" s="1" t="str">
        <f>HYPERLINK("https://new.land.naver.com/complexes/10281", "클릭")</f>
        <v>클릭</v>
      </c>
      <c r="H7">
        <v>2000</v>
      </c>
      <c r="I7">
        <v>10</v>
      </c>
      <c r="J7">
        <v>160</v>
      </c>
      <c r="K7">
        <v>125</v>
      </c>
      <c r="L7" t="s">
        <v>550</v>
      </c>
      <c r="M7" t="s">
        <v>139</v>
      </c>
      <c r="N7" t="s">
        <v>607</v>
      </c>
      <c r="O7">
        <v>98000</v>
      </c>
      <c r="P7" t="s">
        <v>640</v>
      </c>
      <c r="Q7">
        <v>58000</v>
      </c>
      <c r="R7">
        <v>40000</v>
      </c>
      <c r="S7" s="2">
        <v>0.59183673469387754</v>
      </c>
      <c r="V7">
        <v>56300</v>
      </c>
      <c r="W7" s="2">
        <v>1.7406749555950269</v>
      </c>
      <c r="AA7" t="s">
        <v>198</v>
      </c>
    </row>
    <row r="8" spans="1:27" x14ac:dyDescent="0.3">
      <c r="A8" s="3">
        <v>6</v>
      </c>
      <c r="B8">
        <v>3081</v>
      </c>
      <c r="C8" t="s">
        <v>26</v>
      </c>
      <c r="D8" t="s">
        <v>27</v>
      </c>
      <c r="E8" t="s">
        <v>28</v>
      </c>
      <c r="F8" t="s">
        <v>72</v>
      </c>
      <c r="G8" s="1" t="str">
        <f>HYPERLINK("https://new.land.naver.com/complexes/3081", "클릭")</f>
        <v>클릭</v>
      </c>
      <c r="H8">
        <v>2002</v>
      </c>
      <c r="I8">
        <v>11</v>
      </c>
      <c r="J8">
        <v>604</v>
      </c>
      <c r="K8">
        <v>113</v>
      </c>
      <c r="L8" t="s">
        <v>135</v>
      </c>
      <c r="M8" t="s">
        <v>139</v>
      </c>
      <c r="N8" t="s">
        <v>571</v>
      </c>
      <c r="O8">
        <v>95000</v>
      </c>
      <c r="P8" t="s">
        <v>571</v>
      </c>
      <c r="Q8">
        <v>55000</v>
      </c>
      <c r="R8">
        <v>40000</v>
      </c>
      <c r="S8" s="2">
        <v>0.57894736842105265</v>
      </c>
      <c r="V8">
        <v>58500</v>
      </c>
      <c r="W8" s="2">
        <v>1.6239316239316239</v>
      </c>
      <c r="AA8" t="s">
        <v>198</v>
      </c>
    </row>
    <row r="9" spans="1:27" x14ac:dyDescent="0.3">
      <c r="A9" s="3">
        <v>7</v>
      </c>
      <c r="B9">
        <v>8036</v>
      </c>
      <c r="C9" t="s">
        <v>26</v>
      </c>
      <c r="D9" t="s">
        <v>27</v>
      </c>
      <c r="E9" t="s">
        <v>28</v>
      </c>
      <c r="F9" t="s">
        <v>91</v>
      </c>
      <c r="G9" s="1" t="str">
        <f>HYPERLINK("https://new.land.naver.com/complexes/8036", "클릭")</f>
        <v>클릭</v>
      </c>
      <c r="H9">
        <v>2003</v>
      </c>
      <c r="I9">
        <v>12</v>
      </c>
      <c r="J9">
        <v>1752</v>
      </c>
      <c r="K9">
        <v>143</v>
      </c>
      <c r="L9" t="s">
        <v>135</v>
      </c>
      <c r="M9" t="s">
        <v>139</v>
      </c>
      <c r="N9" t="s">
        <v>613</v>
      </c>
      <c r="O9">
        <v>93000</v>
      </c>
      <c r="P9" t="s">
        <v>613</v>
      </c>
      <c r="Q9">
        <v>53000</v>
      </c>
      <c r="R9">
        <v>40000</v>
      </c>
      <c r="S9" s="2">
        <v>0.56989247311827962</v>
      </c>
      <c r="V9">
        <v>54500</v>
      </c>
      <c r="W9" s="2">
        <v>1.7064220183486241</v>
      </c>
      <c r="AA9" t="s">
        <v>198</v>
      </c>
    </row>
    <row r="10" spans="1:27" x14ac:dyDescent="0.3">
      <c r="A10" s="3">
        <v>8</v>
      </c>
      <c r="B10">
        <v>3082</v>
      </c>
      <c r="C10" t="s">
        <v>26</v>
      </c>
      <c r="D10" t="s">
        <v>27</v>
      </c>
      <c r="E10" t="s">
        <v>28</v>
      </c>
      <c r="F10" t="s">
        <v>90</v>
      </c>
      <c r="G10" s="1" t="str">
        <f>HYPERLINK("https://new.land.naver.com/complexes/3082", "클릭")</f>
        <v>클릭</v>
      </c>
      <c r="H10">
        <v>2003</v>
      </c>
      <c r="I10">
        <v>11</v>
      </c>
      <c r="J10">
        <v>1977</v>
      </c>
      <c r="K10">
        <v>142</v>
      </c>
      <c r="L10" t="s">
        <v>135</v>
      </c>
      <c r="M10" t="s">
        <v>139</v>
      </c>
      <c r="N10" t="s">
        <v>615</v>
      </c>
      <c r="O10">
        <v>90000</v>
      </c>
      <c r="P10" t="s">
        <v>615</v>
      </c>
      <c r="Q10">
        <v>46000</v>
      </c>
      <c r="R10">
        <v>44000</v>
      </c>
      <c r="S10" s="2">
        <v>0.51111111111111107</v>
      </c>
      <c r="V10">
        <v>50700</v>
      </c>
      <c r="W10" s="2">
        <v>1.775147928994083</v>
      </c>
      <c r="AA10" t="s">
        <v>198</v>
      </c>
    </row>
    <row r="11" spans="1:27" x14ac:dyDescent="0.3">
      <c r="A11" s="3">
        <v>9</v>
      </c>
      <c r="B11">
        <v>19128</v>
      </c>
      <c r="C11" t="s">
        <v>26</v>
      </c>
      <c r="D11" t="s">
        <v>27</v>
      </c>
      <c r="E11" t="s">
        <v>28</v>
      </c>
      <c r="F11" t="s">
        <v>107</v>
      </c>
      <c r="G11" s="1" t="str">
        <f>HYPERLINK("https://new.land.naver.com/complexes/19128", "클릭")</f>
        <v>클릭</v>
      </c>
      <c r="H11">
        <v>2005</v>
      </c>
      <c r="I11">
        <v>9</v>
      </c>
      <c r="J11">
        <v>83</v>
      </c>
      <c r="K11">
        <v>123</v>
      </c>
      <c r="L11" t="s">
        <v>135</v>
      </c>
      <c r="M11" t="s">
        <v>139</v>
      </c>
      <c r="N11" t="s">
        <v>569</v>
      </c>
      <c r="O11">
        <v>90000</v>
      </c>
      <c r="V11">
        <v>36600</v>
      </c>
      <c r="W11" s="2">
        <v>2.459016393442623</v>
      </c>
      <c r="AA11" t="s">
        <v>198</v>
      </c>
    </row>
    <row r="12" spans="1:27" x14ac:dyDescent="0.3">
      <c r="A12" s="3">
        <v>10</v>
      </c>
      <c r="B12">
        <v>8626</v>
      </c>
      <c r="C12" t="s">
        <v>26</v>
      </c>
      <c r="D12" t="s">
        <v>27</v>
      </c>
      <c r="E12" t="s">
        <v>30</v>
      </c>
      <c r="F12" t="s">
        <v>292</v>
      </c>
      <c r="G12" s="1" t="str">
        <f>HYPERLINK("https://new.land.naver.com/complexes/8626", "클릭")</f>
        <v>클릭</v>
      </c>
      <c r="H12">
        <v>2002</v>
      </c>
      <c r="I12">
        <v>6</v>
      </c>
      <c r="J12">
        <v>967</v>
      </c>
      <c r="K12">
        <v>56</v>
      </c>
      <c r="L12" t="s">
        <v>135</v>
      </c>
      <c r="M12" t="s">
        <v>138</v>
      </c>
      <c r="N12" t="s">
        <v>263</v>
      </c>
      <c r="O12">
        <v>87000</v>
      </c>
      <c r="P12" t="s">
        <v>263</v>
      </c>
      <c r="Q12">
        <v>60000</v>
      </c>
      <c r="R12">
        <v>27000</v>
      </c>
      <c r="S12" s="2">
        <v>0.68965517241379315</v>
      </c>
      <c r="V12">
        <v>51700</v>
      </c>
      <c r="W12" s="2">
        <v>1.682785299806576</v>
      </c>
      <c r="AA12" t="s">
        <v>198</v>
      </c>
    </row>
    <row r="13" spans="1:27" x14ac:dyDescent="0.3">
      <c r="A13" s="3">
        <v>11</v>
      </c>
      <c r="B13">
        <v>3079</v>
      </c>
      <c r="C13" t="s">
        <v>26</v>
      </c>
      <c r="D13" t="s">
        <v>27</v>
      </c>
      <c r="E13" t="s">
        <v>31</v>
      </c>
      <c r="F13" t="s">
        <v>81</v>
      </c>
      <c r="G13" s="1" t="str">
        <f>HYPERLINK("https://new.land.naver.com/complexes/3079", "클릭")</f>
        <v>클릭</v>
      </c>
      <c r="H13">
        <v>2003</v>
      </c>
      <c r="I13">
        <v>12</v>
      </c>
      <c r="J13">
        <v>3806</v>
      </c>
      <c r="K13">
        <v>132</v>
      </c>
      <c r="L13" t="s">
        <v>135</v>
      </c>
      <c r="M13" t="s">
        <v>139</v>
      </c>
      <c r="N13" t="s">
        <v>618</v>
      </c>
      <c r="O13">
        <v>87000</v>
      </c>
      <c r="P13" t="s">
        <v>618</v>
      </c>
      <c r="Q13">
        <v>60000</v>
      </c>
      <c r="R13">
        <v>27000</v>
      </c>
      <c r="S13" s="2">
        <v>0.68965517241379315</v>
      </c>
      <c r="V13">
        <v>54000</v>
      </c>
      <c r="W13" s="2">
        <v>1.6111111111111109</v>
      </c>
      <c r="AA13" t="s">
        <v>198</v>
      </c>
    </row>
    <row r="14" spans="1:27" x14ac:dyDescent="0.3">
      <c r="A14" s="3">
        <v>12</v>
      </c>
      <c r="B14">
        <v>3078</v>
      </c>
      <c r="C14" t="s">
        <v>26</v>
      </c>
      <c r="D14" t="s">
        <v>27</v>
      </c>
      <c r="E14" t="s">
        <v>31</v>
      </c>
      <c r="F14" t="s">
        <v>301</v>
      </c>
      <c r="G14" s="1" t="str">
        <f>HYPERLINK("https://new.land.naver.com/complexes/3078", "클릭")</f>
        <v>클릭</v>
      </c>
      <c r="H14">
        <v>2003</v>
      </c>
      <c r="I14">
        <v>9</v>
      </c>
      <c r="J14">
        <v>955</v>
      </c>
      <c r="K14">
        <v>108</v>
      </c>
      <c r="L14" t="s">
        <v>135</v>
      </c>
      <c r="M14" t="s">
        <v>139</v>
      </c>
      <c r="N14" t="s">
        <v>600</v>
      </c>
      <c r="O14">
        <v>85000</v>
      </c>
      <c r="P14" t="s">
        <v>600</v>
      </c>
      <c r="Q14">
        <v>50000</v>
      </c>
      <c r="R14">
        <v>35000</v>
      </c>
      <c r="S14" s="2">
        <v>0.58823529411764708</v>
      </c>
      <c r="V14">
        <v>49600</v>
      </c>
      <c r="W14" s="2">
        <v>1.713709677419355</v>
      </c>
      <c r="AA14" t="s">
        <v>198</v>
      </c>
    </row>
    <row r="15" spans="1:27" x14ac:dyDescent="0.3">
      <c r="A15" s="3">
        <v>13</v>
      </c>
      <c r="B15">
        <v>3083</v>
      </c>
      <c r="C15" t="s">
        <v>26</v>
      </c>
      <c r="D15" t="s">
        <v>27</v>
      </c>
      <c r="E15" t="s">
        <v>28</v>
      </c>
      <c r="F15" t="s">
        <v>302</v>
      </c>
      <c r="G15" s="1" t="str">
        <f>HYPERLINK("https://new.land.naver.com/complexes/3083", "클릭")</f>
        <v>클릭</v>
      </c>
      <c r="H15">
        <v>2003</v>
      </c>
      <c r="I15">
        <v>4</v>
      </c>
      <c r="J15">
        <v>426</v>
      </c>
      <c r="K15">
        <v>107</v>
      </c>
      <c r="L15" t="s">
        <v>135</v>
      </c>
      <c r="M15" t="s">
        <v>139</v>
      </c>
      <c r="N15" t="s">
        <v>619</v>
      </c>
      <c r="O15">
        <v>85000</v>
      </c>
      <c r="P15" t="s">
        <v>619</v>
      </c>
      <c r="Q15">
        <v>53000</v>
      </c>
      <c r="R15">
        <v>32000</v>
      </c>
      <c r="S15" s="2">
        <v>0.62352941176470589</v>
      </c>
      <c r="AA15" t="s">
        <v>198</v>
      </c>
    </row>
    <row r="16" spans="1:27" x14ac:dyDescent="0.3">
      <c r="A16" s="3">
        <v>14</v>
      </c>
      <c r="B16">
        <v>13571</v>
      </c>
      <c r="C16" t="s">
        <v>26</v>
      </c>
      <c r="D16" t="s">
        <v>27</v>
      </c>
      <c r="E16" t="s">
        <v>31</v>
      </c>
      <c r="F16" t="s">
        <v>223</v>
      </c>
      <c r="G16" s="1" t="str">
        <f>HYPERLINK("https://new.land.naver.com/complexes/13571", "클릭")</f>
        <v>클릭</v>
      </c>
      <c r="H16">
        <v>2005</v>
      </c>
      <c r="I16">
        <v>11</v>
      </c>
      <c r="J16">
        <v>551</v>
      </c>
      <c r="K16">
        <v>114</v>
      </c>
      <c r="L16" t="s">
        <v>135</v>
      </c>
      <c r="M16" t="s">
        <v>139</v>
      </c>
      <c r="N16" t="s">
        <v>620</v>
      </c>
      <c r="O16">
        <v>83000</v>
      </c>
      <c r="P16" t="s">
        <v>620</v>
      </c>
      <c r="Q16">
        <v>47000</v>
      </c>
      <c r="R16">
        <v>36000</v>
      </c>
      <c r="S16" s="2">
        <v>0.5662650602409639</v>
      </c>
      <c r="V16">
        <v>47700</v>
      </c>
      <c r="W16" s="2">
        <v>1.7400419287211739</v>
      </c>
      <c r="AA16" t="s">
        <v>198</v>
      </c>
    </row>
    <row r="17" spans="1:27" x14ac:dyDescent="0.3">
      <c r="A17" s="3">
        <v>15</v>
      </c>
      <c r="B17">
        <v>8205</v>
      </c>
      <c r="C17" t="s">
        <v>26</v>
      </c>
      <c r="D17" t="s">
        <v>27</v>
      </c>
      <c r="E17" t="s">
        <v>30</v>
      </c>
      <c r="F17" t="s">
        <v>59</v>
      </c>
      <c r="G17" s="1" t="str">
        <f>HYPERLINK("https://new.land.naver.com/complexes/8205", "클릭")</f>
        <v>클릭</v>
      </c>
      <c r="H17">
        <v>2001</v>
      </c>
      <c r="I17">
        <v>4</v>
      </c>
      <c r="J17">
        <v>1996</v>
      </c>
      <c r="K17">
        <v>84</v>
      </c>
      <c r="L17" t="s">
        <v>135</v>
      </c>
      <c r="M17" t="s">
        <v>137</v>
      </c>
      <c r="N17" t="s">
        <v>160</v>
      </c>
      <c r="O17">
        <v>82000</v>
      </c>
      <c r="P17" t="s">
        <v>160</v>
      </c>
      <c r="Q17">
        <v>43000</v>
      </c>
      <c r="R17">
        <v>39000</v>
      </c>
      <c r="S17" s="2">
        <v>0.52439024390243905</v>
      </c>
      <c r="T17">
        <v>124000</v>
      </c>
      <c r="U17" s="2">
        <v>-0.33870967741935482</v>
      </c>
      <c r="V17">
        <v>49500</v>
      </c>
      <c r="W17" s="2">
        <v>1.656565656565657</v>
      </c>
      <c r="AA17" t="s">
        <v>198</v>
      </c>
    </row>
    <row r="18" spans="1:27" x14ac:dyDescent="0.3">
      <c r="A18" s="3">
        <v>16</v>
      </c>
      <c r="B18">
        <v>23569</v>
      </c>
      <c r="C18" t="s">
        <v>26</v>
      </c>
      <c r="D18" t="s">
        <v>27</v>
      </c>
      <c r="E18" t="s">
        <v>31</v>
      </c>
      <c r="F18" t="s">
        <v>294</v>
      </c>
      <c r="G18" s="1" t="str">
        <f>HYPERLINK("https://new.land.naver.com/complexes/23569", "클릭")</f>
        <v>클릭</v>
      </c>
      <c r="H18">
        <v>2002</v>
      </c>
      <c r="I18">
        <v>12</v>
      </c>
      <c r="J18">
        <v>19</v>
      </c>
      <c r="K18">
        <v>68</v>
      </c>
      <c r="N18" t="s">
        <v>150</v>
      </c>
      <c r="O18">
        <v>80000</v>
      </c>
      <c r="AA18" t="s">
        <v>208</v>
      </c>
    </row>
    <row r="19" spans="1:27" x14ac:dyDescent="0.3">
      <c r="A19" s="3">
        <v>17</v>
      </c>
      <c r="B19">
        <v>23137</v>
      </c>
      <c r="C19" t="s">
        <v>26</v>
      </c>
      <c r="D19" t="s">
        <v>27</v>
      </c>
      <c r="E19" t="s">
        <v>29</v>
      </c>
      <c r="F19" t="s">
        <v>133</v>
      </c>
      <c r="G19" s="1" t="str">
        <f>HYPERLINK("https://new.land.naver.com/complexes/23137", "클릭")</f>
        <v>클릭</v>
      </c>
      <c r="H19">
        <v>2002</v>
      </c>
      <c r="I19">
        <v>5</v>
      </c>
      <c r="J19">
        <v>19</v>
      </c>
      <c r="K19">
        <v>82</v>
      </c>
      <c r="L19" t="s">
        <v>135</v>
      </c>
      <c r="M19" t="s">
        <v>137</v>
      </c>
      <c r="N19" t="s">
        <v>353</v>
      </c>
      <c r="O19">
        <v>80000</v>
      </c>
      <c r="P19" t="s">
        <v>353</v>
      </c>
      <c r="Q19">
        <v>36000</v>
      </c>
      <c r="R19">
        <v>44000</v>
      </c>
      <c r="S19" s="2">
        <v>0.45</v>
      </c>
      <c r="V19">
        <v>32400</v>
      </c>
      <c r="W19" s="2">
        <v>2.4691358024691361</v>
      </c>
      <c r="AA19" t="s">
        <v>389</v>
      </c>
    </row>
    <row r="20" spans="1:27" x14ac:dyDescent="0.3">
      <c r="A20" s="3">
        <v>18</v>
      </c>
      <c r="B20">
        <v>3079</v>
      </c>
      <c r="C20" t="s">
        <v>26</v>
      </c>
      <c r="D20" t="s">
        <v>27</v>
      </c>
      <c r="E20" t="s">
        <v>31</v>
      </c>
      <c r="F20" t="s">
        <v>81</v>
      </c>
      <c r="G20" s="1" t="str">
        <f>HYPERLINK("https://new.land.naver.com/complexes/3079", "클릭")</f>
        <v>클릭</v>
      </c>
      <c r="H20">
        <v>2003</v>
      </c>
      <c r="I20">
        <v>12</v>
      </c>
      <c r="J20">
        <v>3806</v>
      </c>
      <c r="K20">
        <v>114</v>
      </c>
      <c r="L20" t="s">
        <v>135</v>
      </c>
      <c r="M20" t="s">
        <v>139</v>
      </c>
      <c r="N20" t="s">
        <v>603</v>
      </c>
      <c r="O20">
        <v>80000</v>
      </c>
      <c r="P20" t="s">
        <v>603</v>
      </c>
      <c r="Q20">
        <v>46000</v>
      </c>
      <c r="R20">
        <v>34000</v>
      </c>
      <c r="S20" s="2">
        <v>0.57499999999999996</v>
      </c>
      <c r="V20">
        <v>51900</v>
      </c>
      <c r="W20" s="2">
        <v>1.5414258188824661</v>
      </c>
      <c r="AA20" t="s">
        <v>198</v>
      </c>
    </row>
    <row r="21" spans="1:27" x14ac:dyDescent="0.3">
      <c r="A21" s="3">
        <v>19</v>
      </c>
      <c r="B21">
        <v>8194</v>
      </c>
      <c r="C21" t="s">
        <v>26</v>
      </c>
      <c r="D21" t="s">
        <v>27</v>
      </c>
      <c r="E21" t="s">
        <v>30</v>
      </c>
      <c r="F21" t="s">
        <v>66</v>
      </c>
      <c r="G21" s="1" t="str">
        <f>HYPERLINK("https://new.land.naver.com/complexes/8194", "클릭")</f>
        <v>클릭</v>
      </c>
      <c r="H21">
        <v>2004</v>
      </c>
      <c r="I21">
        <v>11</v>
      </c>
      <c r="J21">
        <v>862</v>
      </c>
      <c r="K21">
        <v>84</v>
      </c>
      <c r="L21" t="s">
        <v>135</v>
      </c>
      <c r="M21" t="s">
        <v>137</v>
      </c>
      <c r="N21" t="s">
        <v>161</v>
      </c>
      <c r="O21">
        <v>78000</v>
      </c>
      <c r="P21" t="s">
        <v>161</v>
      </c>
      <c r="Q21">
        <v>43000</v>
      </c>
      <c r="R21">
        <v>35000</v>
      </c>
      <c r="S21" s="2">
        <v>0.55128205128205132</v>
      </c>
      <c r="T21">
        <v>103000</v>
      </c>
      <c r="U21" s="2">
        <v>-0.24271844660194181</v>
      </c>
      <c r="V21">
        <v>48500</v>
      </c>
      <c r="W21" s="2">
        <v>1.608247422680412</v>
      </c>
      <c r="AA21" t="s">
        <v>198</v>
      </c>
    </row>
    <row r="22" spans="1:27" x14ac:dyDescent="0.3">
      <c r="A22" s="3">
        <v>20</v>
      </c>
      <c r="B22">
        <v>8800</v>
      </c>
      <c r="C22" t="s">
        <v>26</v>
      </c>
      <c r="D22" t="s">
        <v>27</v>
      </c>
      <c r="E22" t="s">
        <v>28</v>
      </c>
      <c r="F22" t="s">
        <v>108</v>
      </c>
      <c r="G22" s="1" t="str">
        <f>HYPERLINK("https://new.land.naver.com/complexes/8800", "클릭")</f>
        <v>클릭</v>
      </c>
      <c r="H22">
        <v>2000</v>
      </c>
      <c r="I22">
        <v>10</v>
      </c>
      <c r="J22">
        <v>370</v>
      </c>
      <c r="K22">
        <v>126</v>
      </c>
      <c r="L22" t="s">
        <v>135</v>
      </c>
      <c r="M22" t="s">
        <v>139</v>
      </c>
      <c r="N22" t="s">
        <v>621</v>
      </c>
      <c r="O22">
        <v>75000</v>
      </c>
      <c r="P22" t="s">
        <v>621</v>
      </c>
      <c r="Q22">
        <v>40000</v>
      </c>
      <c r="R22">
        <v>35000</v>
      </c>
      <c r="S22" s="2">
        <v>0.53333333333333333</v>
      </c>
      <c r="V22">
        <v>38100</v>
      </c>
      <c r="W22" s="2">
        <v>1.9685039370078741</v>
      </c>
      <c r="AA22" t="s">
        <v>198</v>
      </c>
    </row>
    <row r="23" spans="1:27" x14ac:dyDescent="0.3">
      <c r="A23" s="3">
        <v>21</v>
      </c>
      <c r="B23">
        <v>3081</v>
      </c>
      <c r="C23" t="s">
        <v>26</v>
      </c>
      <c r="D23" t="s">
        <v>27</v>
      </c>
      <c r="E23" t="s">
        <v>28</v>
      </c>
      <c r="F23" t="s">
        <v>72</v>
      </c>
      <c r="G23" s="1" t="str">
        <f>HYPERLINK("https://new.land.naver.com/complexes/3081", "클릭")</f>
        <v>클릭</v>
      </c>
      <c r="H23">
        <v>2002</v>
      </c>
      <c r="I23">
        <v>11</v>
      </c>
      <c r="J23">
        <v>604</v>
      </c>
      <c r="K23">
        <v>84</v>
      </c>
      <c r="L23" t="s">
        <v>135</v>
      </c>
      <c r="M23" t="s">
        <v>137</v>
      </c>
      <c r="N23" t="s">
        <v>166</v>
      </c>
      <c r="O23">
        <v>75000</v>
      </c>
      <c r="P23" t="s">
        <v>166</v>
      </c>
      <c r="Q23">
        <v>45000</v>
      </c>
      <c r="R23">
        <v>30000</v>
      </c>
      <c r="S23" s="2">
        <v>0.6</v>
      </c>
      <c r="T23">
        <v>85600</v>
      </c>
      <c r="U23" s="2">
        <v>-0.12383177570093459</v>
      </c>
      <c r="V23">
        <v>47800</v>
      </c>
      <c r="W23" s="2">
        <v>1.5690376569037661</v>
      </c>
      <c r="AA23" t="s">
        <v>198</v>
      </c>
    </row>
    <row r="24" spans="1:27" x14ac:dyDescent="0.3">
      <c r="A24" s="3">
        <v>22</v>
      </c>
      <c r="B24">
        <v>3081</v>
      </c>
      <c r="C24" t="s">
        <v>26</v>
      </c>
      <c r="D24" t="s">
        <v>27</v>
      </c>
      <c r="E24" t="s">
        <v>28</v>
      </c>
      <c r="F24" t="s">
        <v>72</v>
      </c>
      <c r="G24" s="1" t="str">
        <f>HYPERLINK("https://new.land.naver.com/complexes/3081", "클릭")</f>
        <v>클릭</v>
      </c>
      <c r="H24">
        <v>2002</v>
      </c>
      <c r="I24">
        <v>11</v>
      </c>
      <c r="J24">
        <v>604</v>
      </c>
      <c r="K24">
        <v>74</v>
      </c>
      <c r="L24" t="s">
        <v>135</v>
      </c>
      <c r="M24" t="s">
        <v>137</v>
      </c>
      <c r="N24" t="s">
        <v>354</v>
      </c>
      <c r="O24">
        <v>75000</v>
      </c>
      <c r="V24">
        <v>46500</v>
      </c>
      <c r="W24" s="2">
        <v>1.612903225806452</v>
      </c>
      <c r="AA24" t="s">
        <v>198</v>
      </c>
    </row>
    <row r="25" spans="1:27" x14ac:dyDescent="0.3">
      <c r="A25" s="3">
        <v>23</v>
      </c>
      <c r="B25">
        <v>8036</v>
      </c>
      <c r="C25" t="s">
        <v>26</v>
      </c>
      <c r="D25" t="s">
        <v>27</v>
      </c>
      <c r="E25" t="s">
        <v>28</v>
      </c>
      <c r="F25" t="s">
        <v>91</v>
      </c>
      <c r="G25" s="1" t="str">
        <f>HYPERLINK("https://new.land.naver.com/complexes/8036", "클릭")</f>
        <v>클릭</v>
      </c>
      <c r="H25">
        <v>2003</v>
      </c>
      <c r="I25">
        <v>12</v>
      </c>
      <c r="J25">
        <v>1752</v>
      </c>
      <c r="K25">
        <v>116</v>
      </c>
      <c r="L25" t="s">
        <v>135</v>
      </c>
      <c r="M25" t="s">
        <v>139</v>
      </c>
      <c r="N25" t="s">
        <v>620</v>
      </c>
      <c r="O25">
        <v>75000</v>
      </c>
      <c r="P25" t="s">
        <v>620</v>
      </c>
      <c r="Q25">
        <v>50000</v>
      </c>
      <c r="R25">
        <v>25000</v>
      </c>
      <c r="S25" s="2">
        <v>0.66666666666666663</v>
      </c>
      <c r="V25">
        <v>47100</v>
      </c>
      <c r="W25" s="2">
        <v>1.592356687898089</v>
      </c>
      <c r="AA25" t="s">
        <v>198</v>
      </c>
    </row>
    <row r="26" spans="1:27" x14ac:dyDescent="0.3">
      <c r="A26" s="3">
        <v>24</v>
      </c>
      <c r="B26">
        <v>3082</v>
      </c>
      <c r="C26" t="s">
        <v>26</v>
      </c>
      <c r="D26" t="s">
        <v>27</v>
      </c>
      <c r="E26" t="s">
        <v>28</v>
      </c>
      <c r="F26" t="s">
        <v>90</v>
      </c>
      <c r="G26" s="1" t="str">
        <f>HYPERLINK("https://new.land.naver.com/complexes/3082", "클릭")</f>
        <v>클릭</v>
      </c>
      <c r="H26">
        <v>2003</v>
      </c>
      <c r="I26">
        <v>11</v>
      </c>
      <c r="J26">
        <v>1977</v>
      </c>
      <c r="K26">
        <v>115</v>
      </c>
      <c r="L26" t="s">
        <v>135</v>
      </c>
      <c r="M26" t="s">
        <v>139</v>
      </c>
      <c r="N26" t="s">
        <v>609</v>
      </c>
      <c r="O26">
        <v>75000</v>
      </c>
      <c r="P26" t="s">
        <v>609</v>
      </c>
      <c r="Q26">
        <v>47250</v>
      </c>
      <c r="R26">
        <v>27750</v>
      </c>
      <c r="S26" s="2">
        <v>0.63</v>
      </c>
      <c r="V26">
        <v>46100</v>
      </c>
      <c r="W26" s="2">
        <v>1.6268980477223429</v>
      </c>
      <c r="AA26" t="s">
        <v>198</v>
      </c>
    </row>
    <row r="27" spans="1:27" x14ac:dyDescent="0.3">
      <c r="A27" s="3">
        <v>25</v>
      </c>
      <c r="B27">
        <v>8205</v>
      </c>
      <c r="C27" t="s">
        <v>26</v>
      </c>
      <c r="D27" t="s">
        <v>27</v>
      </c>
      <c r="E27" t="s">
        <v>30</v>
      </c>
      <c r="F27" t="s">
        <v>59</v>
      </c>
      <c r="G27" s="1" t="str">
        <f>HYPERLINK("https://new.land.naver.com/complexes/8205", "클릭")</f>
        <v>클릭</v>
      </c>
      <c r="H27">
        <v>2001</v>
      </c>
      <c r="I27">
        <v>4</v>
      </c>
      <c r="J27">
        <v>1996</v>
      </c>
      <c r="K27">
        <v>59</v>
      </c>
      <c r="L27" t="s">
        <v>135</v>
      </c>
      <c r="M27" t="s">
        <v>137</v>
      </c>
      <c r="N27" t="s">
        <v>252</v>
      </c>
      <c r="O27">
        <v>74000</v>
      </c>
      <c r="P27" t="s">
        <v>252</v>
      </c>
      <c r="Q27">
        <v>38000</v>
      </c>
      <c r="R27">
        <v>36000</v>
      </c>
      <c r="S27" s="2">
        <v>0.51351351351351349</v>
      </c>
      <c r="T27">
        <v>87000</v>
      </c>
      <c r="U27" s="2">
        <v>-0.14942528735632191</v>
      </c>
      <c r="V27">
        <v>41100</v>
      </c>
      <c r="W27" s="2">
        <v>1.800486618004866</v>
      </c>
      <c r="AA27" t="s">
        <v>198</v>
      </c>
    </row>
    <row r="28" spans="1:27" x14ac:dyDescent="0.3">
      <c r="A28" s="3">
        <v>26</v>
      </c>
      <c r="B28">
        <v>8205</v>
      </c>
      <c r="C28" t="s">
        <v>26</v>
      </c>
      <c r="D28" t="s">
        <v>27</v>
      </c>
      <c r="E28" t="s">
        <v>30</v>
      </c>
      <c r="F28" t="s">
        <v>59</v>
      </c>
      <c r="G28" s="1" t="str">
        <f>HYPERLINK("https://new.land.naver.com/complexes/8205", "클릭")</f>
        <v>클릭</v>
      </c>
      <c r="H28">
        <v>2001</v>
      </c>
      <c r="I28">
        <v>4</v>
      </c>
      <c r="J28">
        <v>1996</v>
      </c>
      <c r="K28">
        <v>60</v>
      </c>
      <c r="L28" t="s">
        <v>135</v>
      </c>
      <c r="M28" t="s">
        <v>235</v>
      </c>
      <c r="N28" t="s">
        <v>239</v>
      </c>
      <c r="O28">
        <v>72000</v>
      </c>
      <c r="P28" t="s">
        <v>239</v>
      </c>
      <c r="Q28">
        <v>37000</v>
      </c>
      <c r="R28">
        <v>35000</v>
      </c>
      <c r="S28" s="2">
        <v>0.51388888888888884</v>
      </c>
      <c r="V28">
        <v>41400</v>
      </c>
      <c r="W28" s="2">
        <v>1.7391304347826091</v>
      </c>
      <c r="AA28" t="s">
        <v>198</v>
      </c>
    </row>
    <row r="29" spans="1:27" x14ac:dyDescent="0.3">
      <c r="A29" s="3">
        <v>27</v>
      </c>
      <c r="B29">
        <v>22957</v>
      </c>
      <c r="C29" t="s">
        <v>26</v>
      </c>
      <c r="D29" t="s">
        <v>27</v>
      </c>
      <c r="E29" t="s">
        <v>31</v>
      </c>
      <c r="F29" t="s">
        <v>84</v>
      </c>
      <c r="G29" s="1" t="str">
        <f>HYPERLINK("https://new.land.naver.com/complexes/22957", "클릭")</f>
        <v>클릭</v>
      </c>
      <c r="H29">
        <v>2007</v>
      </c>
      <c r="I29">
        <v>7</v>
      </c>
      <c r="J29">
        <v>492</v>
      </c>
      <c r="K29">
        <v>108</v>
      </c>
      <c r="L29" t="s">
        <v>135</v>
      </c>
      <c r="M29" t="s">
        <v>139</v>
      </c>
      <c r="N29" t="s">
        <v>601</v>
      </c>
      <c r="O29">
        <v>72000</v>
      </c>
      <c r="P29" t="s">
        <v>601</v>
      </c>
      <c r="Q29">
        <v>50000</v>
      </c>
      <c r="R29">
        <v>22000</v>
      </c>
      <c r="S29" s="2">
        <v>0.69444444444444442</v>
      </c>
      <c r="V29">
        <v>48200</v>
      </c>
      <c r="W29" s="2">
        <v>1.493775933609959</v>
      </c>
      <c r="AA29" t="s">
        <v>198</v>
      </c>
    </row>
    <row r="30" spans="1:27" x14ac:dyDescent="0.3">
      <c r="A30" s="3">
        <v>28</v>
      </c>
      <c r="B30">
        <v>10281</v>
      </c>
      <c r="C30" t="s">
        <v>26</v>
      </c>
      <c r="D30" t="s">
        <v>27</v>
      </c>
      <c r="E30" t="s">
        <v>29</v>
      </c>
      <c r="F30" t="s">
        <v>75</v>
      </c>
      <c r="G30" s="1" t="str">
        <f>HYPERLINK("https://new.land.naver.com/complexes/10281", "클릭")</f>
        <v>클릭</v>
      </c>
      <c r="H30">
        <v>2000</v>
      </c>
      <c r="I30">
        <v>10</v>
      </c>
      <c r="J30">
        <v>160</v>
      </c>
      <c r="K30">
        <v>84</v>
      </c>
      <c r="L30" t="s">
        <v>136</v>
      </c>
      <c r="M30" t="s">
        <v>137</v>
      </c>
      <c r="N30" t="s">
        <v>167</v>
      </c>
      <c r="O30">
        <v>71000</v>
      </c>
      <c r="P30" t="s">
        <v>167</v>
      </c>
      <c r="Q30">
        <v>42000</v>
      </c>
      <c r="R30">
        <v>29000</v>
      </c>
      <c r="S30" s="2">
        <v>0.59154929577464788</v>
      </c>
      <c r="T30">
        <v>102500</v>
      </c>
      <c r="U30" s="2">
        <v>-0.3073170731707317</v>
      </c>
      <c r="V30">
        <v>45200</v>
      </c>
      <c r="W30" s="2">
        <v>1.570796460176991</v>
      </c>
      <c r="AA30" t="s">
        <v>198</v>
      </c>
    </row>
    <row r="31" spans="1:27" x14ac:dyDescent="0.3">
      <c r="A31" s="3">
        <v>29</v>
      </c>
      <c r="B31">
        <v>8193</v>
      </c>
      <c r="C31" t="s">
        <v>26</v>
      </c>
      <c r="D31" t="s">
        <v>27</v>
      </c>
      <c r="E31" t="s">
        <v>30</v>
      </c>
      <c r="F31" t="s">
        <v>77</v>
      </c>
      <c r="G31" s="1" t="str">
        <f>HYPERLINK("https://new.land.naver.com/complexes/8193", "클릭")</f>
        <v>클릭</v>
      </c>
      <c r="H31">
        <v>2000</v>
      </c>
      <c r="I31">
        <v>5</v>
      </c>
      <c r="J31">
        <v>535</v>
      </c>
      <c r="K31">
        <v>84</v>
      </c>
      <c r="L31" t="s">
        <v>135</v>
      </c>
      <c r="M31" t="s">
        <v>137</v>
      </c>
      <c r="N31" t="s">
        <v>168</v>
      </c>
      <c r="O31">
        <v>70000</v>
      </c>
      <c r="P31" t="s">
        <v>168</v>
      </c>
      <c r="Q31">
        <v>46000</v>
      </c>
      <c r="R31">
        <v>24000</v>
      </c>
      <c r="S31" s="2">
        <v>0.65714285714285714</v>
      </c>
      <c r="T31">
        <v>94000</v>
      </c>
      <c r="U31" s="2">
        <v>-0.25531914893617019</v>
      </c>
      <c r="AA31" t="s">
        <v>198</v>
      </c>
    </row>
    <row r="32" spans="1:27" x14ac:dyDescent="0.3">
      <c r="A32" s="3">
        <v>30</v>
      </c>
      <c r="B32">
        <v>105771</v>
      </c>
      <c r="C32" t="s">
        <v>26</v>
      </c>
      <c r="D32" t="s">
        <v>27</v>
      </c>
      <c r="E32" t="s">
        <v>31</v>
      </c>
      <c r="F32" t="s">
        <v>78</v>
      </c>
      <c r="G32" s="1" t="str">
        <f>HYPERLINK("https://new.land.naver.com/complexes/105771", "클릭")</f>
        <v>클릭</v>
      </c>
      <c r="H32">
        <v>2003</v>
      </c>
      <c r="I32">
        <v>3</v>
      </c>
      <c r="J32">
        <v>12</v>
      </c>
      <c r="K32">
        <v>83</v>
      </c>
      <c r="L32" t="s">
        <v>135</v>
      </c>
      <c r="M32" t="s">
        <v>138</v>
      </c>
      <c r="N32" t="s">
        <v>169</v>
      </c>
      <c r="O32">
        <v>70000</v>
      </c>
      <c r="P32" t="s">
        <v>169</v>
      </c>
      <c r="Q32">
        <v>30000</v>
      </c>
      <c r="R32">
        <v>40000</v>
      </c>
      <c r="S32" s="2">
        <v>0.42857142857142849</v>
      </c>
      <c r="T32">
        <v>49500</v>
      </c>
      <c r="U32" s="2">
        <v>0.41414141414141409</v>
      </c>
      <c r="V32">
        <v>38600</v>
      </c>
      <c r="W32" s="2">
        <v>1.813471502590674</v>
      </c>
      <c r="AA32" t="s">
        <v>198</v>
      </c>
    </row>
    <row r="33" spans="1:27" x14ac:dyDescent="0.3">
      <c r="A33" s="3">
        <v>31</v>
      </c>
      <c r="B33">
        <v>8194</v>
      </c>
      <c r="C33" t="s">
        <v>26</v>
      </c>
      <c r="D33" t="s">
        <v>27</v>
      </c>
      <c r="E33" t="s">
        <v>30</v>
      </c>
      <c r="F33" t="s">
        <v>66</v>
      </c>
      <c r="G33" s="1" t="str">
        <f>HYPERLINK("https://new.land.naver.com/complexes/8194", "클릭")</f>
        <v>클릭</v>
      </c>
      <c r="H33">
        <v>2004</v>
      </c>
      <c r="I33">
        <v>11</v>
      </c>
      <c r="J33">
        <v>862</v>
      </c>
      <c r="K33">
        <v>59</v>
      </c>
      <c r="L33" t="s">
        <v>135</v>
      </c>
      <c r="M33" t="s">
        <v>137</v>
      </c>
      <c r="N33" t="s">
        <v>258</v>
      </c>
      <c r="O33">
        <v>69000</v>
      </c>
      <c r="P33" t="s">
        <v>258</v>
      </c>
      <c r="Q33">
        <v>40000</v>
      </c>
      <c r="R33">
        <v>29000</v>
      </c>
      <c r="S33" s="2">
        <v>0.57971014492753625</v>
      </c>
      <c r="T33">
        <v>79500</v>
      </c>
      <c r="U33" s="2">
        <v>-0.13207547169811321</v>
      </c>
      <c r="V33">
        <v>39800</v>
      </c>
      <c r="W33" s="2">
        <v>1.733668341708543</v>
      </c>
      <c r="AA33" t="s">
        <v>198</v>
      </c>
    </row>
    <row r="34" spans="1:27" x14ac:dyDescent="0.3">
      <c r="A34" s="3">
        <v>32</v>
      </c>
      <c r="B34">
        <v>3081</v>
      </c>
      <c r="C34" t="s">
        <v>26</v>
      </c>
      <c r="D34" t="s">
        <v>27</v>
      </c>
      <c r="E34" t="s">
        <v>28</v>
      </c>
      <c r="F34" t="s">
        <v>72</v>
      </c>
      <c r="G34" s="1" t="str">
        <f>HYPERLINK("https://new.land.naver.com/complexes/3081", "클릭")</f>
        <v>클릭</v>
      </c>
      <c r="H34">
        <v>2002</v>
      </c>
      <c r="I34">
        <v>11</v>
      </c>
      <c r="J34">
        <v>604</v>
      </c>
      <c r="K34">
        <v>59</v>
      </c>
      <c r="L34" t="s">
        <v>135</v>
      </c>
      <c r="M34" t="s">
        <v>137</v>
      </c>
      <c r="N34" t="s">
        <v>259</v>
      </c>
      <c r="O34">
        <v>68000</v>
      </c>
      <c r="P34" t="s">
        <v>259</v>
      </c>
      <c r="Q34">
        <v>40000</v>
      </c>
      <c r="R34">
        <v>28000</v>
      </c>
      <c r="S34" s="2">
        <v>0.58823529411764708</v>
      </c>
      <c r="T34">
        <v>72800</v>
      </c>
      <c r="U34" s="2">
        <v>-6.5934065934065936E-2</v>
      </c>
      <c r="V34">
        <v>39000</v>
      </c>
      <c r="W34" s="2">
        <v>1.7435897435897441</v>
      </c>
      <c r="AA34" t="s">
        <v>198</v>
      </c>
    </row>
    <row r="35" spans="1:27" x14ac:dyDescent="0.3">
      <c r="A35" s="3">
        <v>33</v>
      </c>
      <c r="B35">
        <v>8036</v>
      </c>
      <c r="C35" t="s">
        <v>26</v>
      </c>
      <c r="D35" t="s">
        <v>27</v>
      </c>
      <c r="E35" t="s">
        <v>28</v>
      </c>
      <c r="F35" t="s">
        <v>91</v>
      </c>
      <c r="G35" s="1" t="str">
        <f>HYPERLINK("https://new.land.naver.com/complexes/8036", "클릭")</f>
        <v>클릭</v>
      </c>
      <c r="H35">
        <v>2003</v>
      </c>
      <c r="I35">
        <v>12</v>
      </c>
      <c r="J35">
        <v>1752</v>
      </c>
      <c r="K35">
        <v>97</v>
      </c>
      <c r="L35" t="s">
        <v>135</v>
      </c>
      <c r="M35" t="s">
        <v>137</v>
      </c>
      <c r="N35" t="s">
        <v>586</v>
      </c>
      <c r="O35">
        <v>68000</v>
      </c>
      <c r="P35" t="s">
        <v>586</v>
      </c>
      <c r="Q35">
        <v>42000</v>
      </c>
      <c r="R35">
        <v>26000</v>
      </c>
      <c r="S35" s="2">
        <v>0.61764705882352944</v>
      </c>
      <c r="V35">
        <v>43400</v>
      </c>
      <c r="W35" s="2">
        <v>1.566820276497696</v>
      </c>
      <c r="AA35" t="s">
        <v>198</v>
      </c>
    </row>
    <row r="36" spans="1:27" x14ac:dyDescent="0.3">
      <c r="A36" s="3">
        <v>34</v>
      </c>
      <c r="B36">
        <v>3079</v>
      </c>
      <c r="C36" t="s">
        <v>26</v>
      </c>
      <c r="D36" t="s">
        <v>27</v>
      </c>
      <c r="E36" t="s">
        <v>31</v>
      </c>
      <c r="F36" t="s">
        <v>81</v>
      </c>
      <c r="G36" s="1" t="str">
        <f>HYPERLINK("https://new.land.naver.com/complexes/3079", "클릭")</f>
        <v>클릭</v>
      </c>
      <c r="H36">
        <v>2003</v>
      </c>
      <c r="I36">
        <v>12</v>
      </c>
      <c r="J36">
        <v>3806</v>
      </c>
      <c r="K36">
        <v>84</v>
      </c>
      <c r="L36" t="s">
        <v>135</v>
      </c>
      <c r="M36" t="s">
        <v>137</v>
      </c>
      <c r="N36" t="s">
        <v>160</v>
      </c>
      <c r="O36">
        <v>68000</v>
      </c>
      <c r="P36" t="s">
        <v>160</v>
      </c>
      <c r="Q36">
        <v>40000</v>
      </c>
      <c r="R36">
        <v>28000</v>
      </c>
      <c r="S36" s="2">
        <v>0.58823529411764708</v>
      </c>
      <c r="T36">
        <v>95000</v>
      </c>
      <c r="U36" s="2">
        <v>-0.28421052631578952</v>
      </c>
      <c r="V36">
        <v>44000</v>
      </c>
      <c r="W36" s="2">
        <v>1.545454545454545</v>
      </c>
      <c r="AA36" t="s">
        <v>198</v>
      </c>
    </row>
    <row r="37" spans="1:27" x14ac:dyDescent="0.3">
      <c r="A37" s="3">
        <v>35</v>
      </c>
      <c r="B37">
        <v>3082</v>
      </c>
      <c r="C37" t="s">
        <v>26</v>
      </c>
      <c r="D37" t="s">
        <v>27</v>
      </c>
      <c r="E37" t="s">
        <v>28</v>
      </c>
      <c r="F37" t="s">
        <v>90</v>
      </c>
      <c r="G37" s="1" t="str">
        <f>HYPERLINK("https://new.land.naver.com/complexes/3082", "클릭")</f>
        <v>클릭</v>
      </c>
      <c r="H37">
        <v>2003</v>
      </c>
      <c r="I37">
        <v>11</v>
      </c>
      <c r="J37">
        <v>1977</v>
      </c>
      <c r="K37">
        <v>98</v>
      </c>
      <c r="L37" t="s">
        <v>135</v>
      </c>
      <c r="M37" t="s">
        <v>139</v>
      </c>
      <c r="N37" t="s">
        <v>594</v>
      </c>
      <c r="O37">
        <v>67000</v>
      </c>
      <c r="P37" t="s">
        <v>594</v>
      </c>
      <c r="Q37">
        <v>39000</v>
      </c>
      <c r="R37">
        <v>28000</v>
      </c>
      <c r="S37" s="2">
        <v>0.58208955223880599</v>
      </c>
      <c r="V37">
        <v>41400</v>
      </c>
      <c r="W37" s="2">
        <v>1.618357487922705</v>
      </c>
      <c r="AA37" t="s">
        <v>198</v>
      </c>
    </row>
    <row r="38" spans="1:27" x14ac:dyDescent="0.3">
      <c r="A38" s="3">
        <v>36</v>
      </c>
      <c r="B38">
        <v>24012</v>
      </c>
      <c r="C38" t="s">
        <v>26</v>
      </c>
      <c r="D38" t="s">
        <v>27</v>
      </c>
      <c r="E38" t="s">
        <v>29</v>
      </c>
      <c r="F38" t="s">
        <v>82</v>
      </c>
      <c r="G38" s="1" t="str">
        <f>HYPERLINK("https://new.land.naver.com/complexes/24012", "클릭")</f>
        <v>클릭</v>
      </c>
      <c r="H38">
        <v>2001</v>
      </c>
      <c r="I38">
        <v>7</v>
      </c>
      <c r="J38">
        <v>34</v>
      </c>
      <c r="K38">
        <v>84</v>
      </c>
      <c r="L38" t="s">
        <v>135</v>
      </c>
      <c r="M38" t="s">
        <v>137</v>
      </c>
      <c r="N38" t="s">
        <v>171</v>
      </c>
      <c r="O38">
        <v>67000</v>
      </c>
      <c r="P38" t="s">
        <v>171</v>
      </c>
      <c r="Q38">
        <v>40000</v>
      </c>
      <c r="R38">
        <v>27000</v>
      </c>
      <c r="S38" s="2">
        <v>0.59701492537313428</v>
      </c>
      <c r="T38">
        <v>59000</v>
      </c>
      <c r="U38" s="2">
        <v>0.13559322033898311</v>
      </c>
      <c r="V38">
        <v>33400</v>
      </c>
      <c r="W38" s="2">
        <v>2.0059880239520962</v>
      </c>
      <c r="AA38" t="s">
        <v>198</v>
      </c>
    </row>
    <row r="39" spans="1:27" x14ac:dyDescent="0.3">
      <c r="A39" s="3">
        <v>37</v>
      </c>
      <c r="B39">
        <v>10509</v>
      </c>
      <c r="C39" t="s">
        <v>26</v>
      </c>
      <c r="D39" t="s">
        <v>27</v>
      </c>
      <c r="E39" t="s">
        <v>28</v>
      </c>
      <c r="F39" t="s">
        <v>98</v>
      </c>
      <c r="G39" s="1" t="str">
        <f>HYPERLINK("https://new.land.naver.com/complexes/10509", "클릭")</f>
        <v>클릭</v>
      </c>
      <c r="H39">
        <v>2004</v>
      </c>
      <c r="I39">
        <v>12</v>
      </c>
      <c r="J39">
        <v>361</v>
      </c>
      <c r="K39">
        <v>103</v>
      </c>
      <c r="L39" t="s">
        <v>135</v>
      </c>
      <c r="M39" t="s">
        <v>137</v>
      </c>
      <c r="N39" t="s">
        <v>591</v>
      </c>
      <c r="O39">
        <v>65000</v>
      </c>
      <c r="P39" t="s">
        <v>591</v>
      </c>
      <c r="Q39">
        <v>39500</v>
      </c>
      <c r="R39">
        <v>25500</v>
      </c>
      <c r="S39" s="2">
        <v>0.60769230769230764</v>
      </c>
      <c r="V39">
        <v>39800</v>
      </c>
      <c r="W39" s="2">
        <v>1.6331658291457289</v>
      </c>
      <c r="AA39" t="s">
        <v>198</v>
      </c>
    </row>
    <row r="40" spans="1:27" x14ac:dyDescent="0.3">
      <c r="A40" s="3">
        <v>38</v>
      </c>
      <c r="B40">
        <v>25883</v>
      </c>
      <c r="C40" t="s">
        <v>26</v>
      </c>
      <c r="D40" t="s">
        <v>27</v>
      </c>
      <c r="E40" t="s">
        <v>29</v>
      </c>
      <c r="F40" t="s">
        <v>83</v>
      </c>
      <c r="G40" s="1" t="str">
        <f>HYPERLINK("https://new.land.naver.com/complexes/25883", "클릭")</f>
        <v>클릭</v>
      </c>
      <c r="H40">
        <v>2007</v>
      </c>
      <c r="I40">
        <v>5</v>
      </c>
      <c r="J40">
        <v>80</v>
      </c>
      <c r="K40">
        <v>84</v>
      </c>
      <c r="L40" t="s">
        <v>135</v>
      </c>
      <c r="M40" t="s">
        <v>137</v>
      </c>
      <c r="N40" t="s">
        <v>147</v>
      </c>
      <c r="O40">
        <v>65000</v>
      </c>
      <c r="P40" t="s">
        <v>147</v>
      </c>
      <c r="Q40">
        <v>43000</v>
      </c>
      <c r="R40">
        <v>22000</v>
      </c>
      <c r="S40" s="2">
        <v>0.66153846153846152</v>
      </c>
      <c r="T40">
        <v>70000</v>
      </c>
      <c r="U40" s="2">
        <v>-7.1428571428571425E-2</v>
      </c>
      <c r="V40">
        <v>36700</v>
      </c>
      <c r="W40" s="2">
        <v>1.771117166212534</v>
      </c>
      <c r="AA40" t="s">
        <v>201</v>
      </c>
    </row>
    <row r="41" spans="1:27" x14ac:dyDescent="0.3">
      <c r="A41" s="3">
        <v>39</v>
      </c>
      <c r="B41">
        <v>22957</v>
      </c>
      <c r="C41" t="s">
        <v>26</v>
      </c>
      <c r="D41" t="s">
        <v>27</v>
      </c>
      <c r="E41" t="s">
        <v>31</v>
      </c>
      <c r="F41" t="s">
        <v>84</v>
      </c>
      <c r="G41" s="1" t="str">
        <f>HYPERLINK("https://new.land.naver.com/complexes/22957", "클릭")</f>
        <v>클릭</v>
      </c>
      <c r="H41">
        <v>2007</v>
      </c>
      <c r="I41">
        <v>7</v>
      </c>
      <c r="J41">
        <v>492</v>
      </c>
      <c r="K41">
        <v>84</v>
      </c>
      <c r="L41" t="s">
        <v>135</v>
      </c>
      <c r="M41" t="s">
        <v>137</v>
      </c>
      <c r="N41" t="s">
        <v>146</v>
      </c>
      <c r="O41">
        <v>65000</v>
      </c>
      <c r="P41" t="s">
        <v>146</v>
      </c>
      <c r="Q41">
        <v>40000</v>
      </c>
      <c r="R41">
        <v>25000</v>
      </c>
      <c r="S41" s="2">
        <v>0.61538461538461542</v>
      </c>
      <c r="T41">
        <v>80200</v>
      </c>
      <c r="U41" s="2">
        <v>-0.18952618453865341</v>
      </c>
      <c r="V41">
        <v>40100</v>
      </c>
      <c r="W41" s="2">
        <v>1.6209476309226929</v>
      </c>
      <c r="AA41" t="s">
        <v>198</v>
      </c>
    </row>
    <row r="42" spans="1:27" x14ac:dyDescent="0.3">
      <c r="A42" s="3">
        <v>40</v>
      </c>
      <c r="B42">
        <v>8193</v>
      </c>
      <c r="C42" t="s">
        <v>26</v>
      </c>
      <c r="D42" t="s">
        <v>27</v>
      </c>
      <c r="E42" t="s">
        <v>30</v>
      </c>
      <c r="F42" t="s">
        <v>77</v>
      </c>
      <c r="G42" s="1" t="str">
        <f>HYPERLINK("https://new.land.naver.com/complexes/8193", "클릭")</f>
        <v>클릭</v>
      </c>
      <c r="H42">
        <v>2000</v>
      </c>
      <c r="I42">
        <v>5</v>
      </c>
      <c r="J42">
        <v>535</v>
      </c>
      <c r="K42">
        <v>59</v>
      </c>
      <c r="L42" t="s">
        <v>135</v>
      </c>
      <c r="M42" t="s">
        <v>138</v>
      </c>
      <c r="N42" t="s">
        <v>261</v>
      </c>
      <c r="O42">
        <v>65000</v>
      </c>
      <c r="P42" t="s">
        <v>261</v>
      </c>
      <c r="Q42">
        <v>34000</v>
      </c>
      <c r="R42">
        <v>31000</v>
      </c>
      <c r="S42" s="2">
        <v>0.52307692307692311</v>
      </c>
      <c r="T42">
        <v>81800</v>
      </c>
      <c r="U42" s="2">
        <v>-0.2053789731051345</v>
      </c>
      <c r="AA42" t="s">
        <v>198</v>
      </c>
    </row>
    <row r="43" spans="1:27" x14ac:dyDescent="0.3">
      <c r="A43" s="3">
        <v>41</v>
      </c>
      <c r="B43">
        <v>3080</v>
      </c>
      <c r="C43" t="s">
        <v>26</v>
      </c>
      <c r="D43" t="s">
        <v>27</v>
      </c>
      <c r="E43" t="s">
        <v>31</v>
      </c>
      <c r="F43" t="s">
        <v>102</v>
      </c>
      <c r="G43" s="1" t="str">
        <f>HYPERLINK("https://new.land.naver.com/complexes/3080", "클릭")</f>
        <v>클릭</v>
      </c>
      <c r="H43">
        <v>2003</v>
      </c>
      <c r="I43">
        <v>3</v>
      </c>
      <c r="J43">
        <v>2044</v>
      </c>
      <c r="K43">
        <v>114</v>
      </c>
      <c r="L43" t="s">
        <v>135</v>
      </c>
      <c r="M43" t="s">
        <v>139</v>
      </c>
      <c r="N43" t="s">
        <v>625</v>
      </c>
      <c r="O43">
        <v>64000</v>
      </c>
      <c r="P43" t="s">
        <v>625</v>
      </c>
      <c r="Q43">
        <v>47000</v>
      </c>
      <c r="R43">
        <v>17000</v>
      </c>
      <c r="S43" s="2">
        <v>0.734375</v>
      </c>
      <c r="V43">
        <v>40600</v>
      </c>
      <c r="W43" s="2">
        <v>1.576354679802956</v>
      </c>
      <c r="AA43" t="s">
        <v>198</v>
      </c>
    </row>
    <row r="44" spans="1:27" x14ac:dyDescent="0.3">
      <c r="A44" s="3">
        <v>42</v>
      </c>
      <c r="B44">
        <v>3078</v>
      </c>
      <c r="C44" t="s">
        <v>26</v>
      </c>
      <c r="D44" t="s">
        <v>27</v>
      </c>
      <c r="E44" t="s">
        <v>31</v>
      </c>
      <c r="F44" t="s">
        <v>301</v>
      </c>
      <c r="G44" s="1" t="str">
        <f>HYPERLINK("https://new.land.naver.com/complexes/3078", "클릭")</f>
        <v>클릭</v>
      </c>
      <c r="H44">
        <v>2003</v>
      </c>
      <c r="I44">
        <v>9</v>
      </c>
      <c r="J44">
        <v>955</v>
      </c>
      <c r="K44">
        <v>82</v>
      </c>
      <c r="L44" t="s">
        <v>135</v>
      </c>
      <c r="M44" t="s">
        <v>137</v>
      </c>
      <c r="N44" t="s">
        <v>155</v>
      </c>
      <c r="O44">
        <v>63000</v>
      </c>
      <c r="P44" t="s">
        <v>155</v>
      </c>
      <c r="Q44">
        <v>38800</v>
      </c>
      <c r="R44">
        <v>24200</v>
      </c>
      <c r="S44" s="2">
        <v>0.61587301587301591</v>
      </c>
      <c r="V44">
        <v>41500</v>
      </c>
      <c r="W44" s="2">
        <v>1.518072289156627</v>
      </c>
      <c r="AA44" t="s">
        <v>198</v>
      </c>
    </row>
    <row r="45" spans="1:27" x14ac:dyDescent="0.3">
      <c r="A45" s="3">
        <v>43</v>
      </c>
      <c r="B45">
        <v>13571</v>
      </c>
      <c r="C45" t="s">
        <v>26</v>
      </c>
      <c r="D45" t="s">
        <v>27</v>
      </c>
      <c r="E45" t="s">
        <v>31</v>
      </c>
      <c r="F45" t="s">
        <v>223</v>
      </c>
      <c r="G45" s="1" t="str">
        <f>HYPERLINK("https://new.land.naver.com/complexes/13571", "클릭")</f>
        <v>클릭</v>
      </c>
      <c r="H45">
        <v>2005</v>
      </c>
      <c r="I45">
        <v>11</v>
      </c>
      <c r="J45">
        <v>551</v>
      </c>
      <c r="K45">
        <v>82</v>
      </c>
      <c r="L45" t="s">
        <v>135</v>
      </c>
      <c r="M45" t="s">
        <v>137</v>
      </c>
      <c r="N45" t="s">
        <v>155</v>
      </c>
      <c r="O45">
        <v>63000</v>
      </c>
      <c r="P45" t="s">
        <v>155</v>
      </c>
      <c r="Q45">
        <v>37000</v>
      </c>
      <c r="R45">
        <v>26000</v>
      </c>
      <c r="S45" s="2">
        <v>0.58730158730158732</v>
      </c>
      <c r="V45">
        <v>38900</v>
      </c>
      <c r="W45" s="2">
        <v>1.6195372750642669</v>
      </c>
      <c r="AA45" t="s">
        <v>198</v>
      </c>
    </row>
    <row r="46" spans="1:27" x14ac:dyDescent="0.3">
      <c r="A46" s="3">
        <v>44</v>
      </c>
      <c r="B46">
        <v>25078</v>
      </c>
      <c r="C46" t="s">
        <v>26</v>
      </c>
      <c r="D46" t="s">
        <v>27</v>
      </c>
      <c r="E46" t="s">
        <v>30</v>
      </c>
      <c r="F46" t="s">
        <v>87</v>
      </c>
      <c r="G46" s="1" t="str">
        <f>HYPERLINK("https://new.land.naver.com/complexes/25078", "클릭")</f>
        <v>클릭</v>
      </c>
      <c r="H46">
        <v>2000</v>
      </c>
      <c r="I46">
        <v>10</v>
      </c>
      <c r="J46">
        <v>180</v>
      </c>
      <c r="K46">
        <v>84</v>
      </c>
      <c r="L46" t="s">
        <v>135</v>
      </c>
      <c r="M46" t="s">
        <v>137</v>
      </c>
      <c r="N46" t="s">
        <v>173</v>
      </c>
      <c r="O46">
        <v>62000</v>
      </c>
      <c r="P46" t="s">
        <v>173</v>
      </c>
      <c r="Q46">
        <v>38000</v>
      </c>
      <c r="R46">
        <v>24000</v>
      </c>
      <c r="S46" s="2">
        <v>0.61290322580645162</v>
      </c>
      <c r="T46">
        <v>78000</v>
      </c>
      <c r="U46" s="2">
        <v>-0.20512820512820509</v>
      </c>
      <c r="V46">
        <v>36800</v>
      </c>
      <c r="W46" s="2">
        <v>1.6847826086956521</v>
      </c>
      <c r="AA46" t="s">
        <v>198</v>
      </c>
    </row>
    <row r="47" spans="1:27" x14ac:dyDescent="0.3">
      <c r="A47" s="3">
        <v>45</v>
      </c>
      <c r="B47">
        <v>3083</v>
      </c>
      <c r="C47" t="s">
        <v>26</v>
      </c>
      <c r="D47" t="s">
        <v>27</v>
      </c>
      <c r="E47" t="s">
        <v>28</v>
      </c>
      <c r="F47" t="s">
        <v>302</v>
      </c>
      <c r="G47" s="1" t="str">
        <f>HYPERLINK("https://new.land.naver.com/complexes/3083", "클릭")</f>
        <v>클릭</v>
      </c>
      <c r="H47">
        <v>2003</v>
      </c>
      <c r="I47">
        <v>4</v>
      </c>
      <c r="J47">
        <v>426</v>
      </c>
      <c r="K47">
        <v>79</v>
      </c>
      <c r="L47" t="s">
        <v>135</v>
      </c>
      <c r="M47" t="s">
        <v>137</v>
      </c>
      <c r="N47" t="s">
        <v>189</v>
      </c>
      <c r="O47">
        <v>60000</v>
      </c>
      <c r="P47" t="s">
        <v>189</v>
      </c>
      <c r="Q47">
        <v>41000</v>
      </c>
      <c r="R47">
        <v>19000</v>
      </c>
      <c r="S47" s="2">
        <v>0.68333333333333335</v>
      </c>
      <c r="AA47" t="s">
        <v>198</v>
      </c>
    </row>
    <row r="48" spans="1:27" x14ac:dyDescent="0.3">
      <c r="A48" s="3">
        <v>46</v>
      </c>
      <c r="B48">
        <v>3082</v>
      </c>
      <c r="C48" t="s">
        <v>26</v>
      </c>
      <c r="D48" t="s">
        <v>27</v>
      </c>
      <c r="E48" t="s">
        <v>28</v>
      </c>
      <c r="F48" t="s">
        <v>90</v>
      </c>
      <c r="G48" s="1" t="str">
        <f>HYPERLINK("https://new.land.naver.com/complexes/3082", "클릭")</f>
        <v>클릭</v>
      </c>
      <c r="H48">
        <v>2003</v>
      </c>
      <c r="I48">
        <v>11</v>
      </c>
      <c r="J48">
        <v>1977</v>
      </c>
      <c r="K48">
        <v>84</v>
      </c>
      <c r="L48" t="s">
        <v>135</v>
      </c>
      <c r="M48" t="s">
        <v>137</v>
      </c>
      <c r="N48" t="s">
        <v>161</v>
      </c>
      <c r="O48">
        <v>60000</v>
      </c>
      <c r="P48" t="s">
        <v>161</v>
      </c>
      <c r="Q48">
        <v>37000</v>
      </c>
      <c r="R48">
        <v>23000</v>
      </c>
      <c r="S48" s="2">
        <v>0.6166666666666667</v>
      </c>
      <c r="T48">
        <v>79750</v>
      </c>
      <c r="U48" s="2">
        <v>-0.2476489028213166</v>
      </c>
      <c r="V48">
        <v>35900</v>
      </c>
      <c r="W48" s="2">
        <v>1.671309192200557</v>
      </c>
      <c r="AA48" t="s">
        <v>198</v>
      </c>
    </row>
    <row r="49" spans="1:27" x14ac:dyDescent="0.3">
      <c r="A49" s="3">
        <v>47</v>
      </c>
      <c r="B49">
        <v>3079</v>
      </c>
      <c r="C49" t="s">
        <v>26</v>
      </c>
      <c r="D49" t="s">
        <v>27</v>
      </c>
      <c r="E49" t="s">
        <v>31</v>
      </c>
      <c r="F49" t="s">
        <v>81</v>
      </c>
      <c r="G49" s="1" t="str">
        <f>HYPERLINK("https://new.land.naver.com/complexes/3079", "클릭")</f>
        <v>클릭</v>
      </c>
      <c r="H49">
        <v>2003</v>
      </c>
      <c r="I49">
        <v>12</v>
      </c>
      <c r="J49">
        <v>3806</v>
      </c>
      <c r="K49">
        <v>59</v>
      </c>
      <c r="L49" t="s">
        <v>135</v>
      </c>
      <c r="M49" t="s">
        <v>137</v>
      </c>
      <c r="N49" t="s">
        <v>269</v>
      </c>
      <c r="O49">
        <v>60000</v>
      </c>
      <c r="P49" t="s">
        <v>283</v>
      </c>
      <c r="Q49">
        <v>35000</v>
      </c>
      <c r="R49">
        <v>25000</v>
      </c>
      <c r="S49" s="2">
        <v>0.58333333333333337</v>
      </c>
      <c r="T49">
        <v>76000</v>
      </c>
      <c r="U49" s="2">
        <v>-0.2105263157894737</v>
      </c>
      <c r="V49">
        <v>37500</v>
      </c>
      <c r="W49" s="2">
        <v>1.6</v>
      </c>
      <c r="AA49" t="s">
        <v>198</v>
      </c>
    </row>
    <row r="50" spans="1:27" x14ac:dyDescent="0.3">
      <c r="A50" s="3">
        <v>48</v>
      </c>
      <c r="B50">
        <v>8036</v>
      </c>
      <c r="C50" t="s">
        <v>26</v>
      </c>
      <c r="D50" t="s">
        <v>27</v>
      </c>
      <c r="E50" t="s">
        <v>28</v>
      </c>
      <c r="F50" t="s">
        <v>91</v>
      </c>
      <c r="G50" s="1" t="str">
        <f>HYPERLINK("https://new.land.naver.com/complexes/8036", "클릭")</f>
        <v>클릭</v>
      </c>
      <c r="H50">
        <v>2003</v>
      </c>
      <c r="I50">
        <v>12</v>
      </c>
      <c r="J50">
        <v>1752</v>
      </c>
      <c r="K50">
        <v>84</v>
      </c>
      <c r="L50" t="s">
        <v>135</v>
      </c>
      <c r="M50" t="s">
        <v>137</v>
      </c>
      <c r="N50" t="s">
        <v>158</v>
      </c>
      <c r="O50">
        <v>59500</v>
      </c>
      <c r="P50" t="s">
        <v>149</v>
      </c>
      <c r="Q50">
        <v>40000</v>
      </c>
      <c r="R50">
        <v>19500</v>
      </c>
      <c r="S50" s="2">
        <v>0.67226890756302526</v>
      </c>
      <c r="T50">
        <v>83000</v>
      </c>
      <c r="U50" s="2">
        <v>-0.28313253012048201</v>
      </c>
      <c r="V50">
        <v>37300</v>
      </c>
      <c r="W50" s="2">
        <v>1.595174262734584</v>
      </c>
      <c r="AA50" t="s">
        <v>198</v>
      </c>
    </row>
    <row r="51" spans="1:27" x14ac:dyDescent="0.3">
      <c r="A51" s="3">
        <v>49</v>
      </c>
      <c r="B51">
        <v>3078</v>
      </c>
      <c r="C51" t="s">
        <v>26</v>
      </c>
      <c r="D51" t="s">
        <v>27</v>
      </c>
      <c r="E51" t="s">
        <v>31</v>
      </c>
      <c r="F51" t="s">
        <v>301</v>
      </c>
      <c r="G51" s="1" t="str">
        <f>HYPERLINK("https://new.land.naver.com/complexes/3078", "클릭")</f>
        <v>클릭</v>
      </c>
      <c r="H51">
        <v>2003</v>
      </c>
      <c r="I51">
        <v>9</v>
      </c>
      <c r="J51">
        <v>955</v>
      </c>
      <c r="K51">
        <v>56</v>
      </c>
      <c r="L51" t="s">
        <v>135</v>
      </c>
      <c r="M51" t="s">
        <v>138</v>
      </c>
      <c r="N51" t="s">
        <v>371</v>
      </c>
      <c r="O51">
        <v>59000</v>
      </c>
      <c r="P51" t="s">
        <v>371</v>
      </c>
      <c r="Q51">
        <v>38000</v>
      </c>
      <c r="R51">
        <v>21000</v>
      </c>
      <c r="S51" s="2">
        <v>0.64406779661016944</v>
      </c>
      <c r="V51">
        <v>33900</v>
      </c>
      <c r="W51" s="2">
        <v>1.7404129793510319</v>
      </c>
      <c r="AA51" t="s">
        <v>198</v>
      </c>
    </row>
    <row r="52" spans="1:27" x14ac:dyDescent="0.3">
      <c r="A52" s="3">
        <v>50</v>
      </c>
      <c r="B52">
        <v>24045</v>
      </c>
      <c r="C52" t="s">
        <v>26</v>
      </c>
      <c r="D52" t="s">
        <v>27</v>
      </c>
      <c r="E52" t="s">
        <v>28</v>
      </c>
      <c r="F52" t="s">
        <v>95</v>
      </c>
      <c r="G52" s="1" t="str">
        <f>HYPERLINK("https://new.land.naver.com/complexes/24045", "클릭")</f>
        <v>클릭</v>
      </c>
      <c r="H52">
        <v>2007</v>
      </c>
      <c r="I52">
        <v>7</v>
      </c>
      <c r="J52">
        <v>149</v>
      </c>
      <c r="K52">
        <v>80</v>
      </c>
      <c r="L52" t="s">
        <v>135</v>
      </c>
      <c r="M52" t="s">
        <v>137</v>
      </c>
      <c r="N52" t="s">
        <v>365</v>
      </c>
      <c r="O52">
        <v>58000</v>
      </c>
      <c r="P52" t="s">
        <v>365</v>
      </c>
      <c r="Q52">
        <v>39000</v>
      </c>
      <c r="R52">
        <v>19000</v>
      </c>
      <c r="S52" s="2">
        <v>0.67241379310344829</v>
      </c>
      <c r="V52">
        <v>35000</v>
      </c>
      <c r="W52" s="2">
        <v>1.657142857142857</v>
      </c>
      <c r="AA52" t="s">
        <v>198</v>
      </c>
    </row>
    <row r="53" spans="1:27" x14ac:dyDescent="0.3">
      <c r="A53" s="3">
        <v>51</v>
      </c>
      <c r="B53">
        <v>19530</v>
      </c>
      <c r="C53" t="s">
        <v>26</v>
      </c>
      <c r="D53" t="s">
        <v>27</v>
      </c>
      <c r="E53" t="s">
        <v>28</v>
      </c>
      <c r="F53" t="s">
        <v>123</v>
      </c>
      <c r="G53" s="1" t="str">
        <f>HYPERLINK("https://new.land.naver.com/complexes/19530", "클릭")</f>
        <v>클릭</v>
      </c>
      <c r="H53">
        <v>2007</v>
      </c>
      <c r="I53">
        <v>3</v>
      </c>
      <c r="J53">
        <v>210</v>
      </c>
      <c r="K53">
        <v>122</v>
      </c>
      <c r="L53" t="s">
        <v>135</v>
      </c>
      <c r="M53" t="s">
        <v>137</v>
      </c>
      <c r="N53" t="s">
        <v>626</v>
      </c>
      <c r="O53">
        <v>58000</v>
      </c>
      <c r="P53" t="s">
        <v>626</v>
      </c>
      <c r="Q53">
        <v>36000</v>
      </c>
      <c r="R53">
        <v>22000</v>
      </c>
      <c r="S53" s="2">
        <v>0.62068965517241381</v>
      </c>
      <c r="V53">
        <v>33300</v>
      </c>
      <c r="W53" s="2">
        <v>1.741741741741742</v>
      </c>
      <c r="AA53" t="s">
        <v>198</v>
      </c>
    </row>
    <row r="54" spans="1:27" x14ac:dyDescent="0.3">
      <c r="A54" s="3">
        <v>52</v>
      </c>
      <c r="B54">
        <v>26273</v>
      </c>
      <c r="C54" t="s">
        <v>26</v>
      </c>
      <c r="D54" t="s">
        <v>27</v>
      </c>
      <c r="E54" t="s">
        <v>28</v>
      </c>
      <c r="F54" t="s">
        <v>93</v>
      </c>
      <c r="G54" s="1" t="str">
        <f>HYPERLINK("https://new.land.naver.com/complexes/26273", "클릭")</f>
        <v>클릭</v>
      </c>
      <c r="H54">
        <v>2006</v>
      </c>
      <c r="I54">
        <v>11</v>
      </c>
      <c r="J54">
        <v>59</v>
      </c>
      <c r="K54">
        <v>84</v>
      </c>
      <c r="L54" t="s">
        <v>135</v>
      </c>
      <c r="M54" t="s">
        <v>137</v>
      </c>
      <c r="N54" t="s">
        <v>143</v>
      </c>
      <c r="O54">
        <v>58000</v>
      </c>
      <c r="P54" t="s">
        <v>143</v>
      </c>
      <c r="Q54">
        <v>45000</v>
      </c>
      <c r="R54">
        <v>13000</v>
      </c>
      <c r="S54" s="2">
        <v>0.77586206896551724</v>
      </c>
      <c r="T54">
        <v>60000</v>
      </c>
      <c r="U54" s="2">
        <v>-3.3333333333333333E-2</v>
      </c>
      <c r="V54">
        <v>36900</v>
      </c>
      <c r="W54" s="2">
        <v>1.571815718157181</v>
      </c>
      <c r="AA54" t="s">
        <v>198</v>
      </c>
    </row>
    <row r="55" spans="1:27" x14ac:dyDescent="0.3">
      <c r="A55" s="3">
        <v>53</v>
      </c>
      <c r="B55">
        <v>2805</v>
      </c>
      <c r="C55" t="s">
        <v>26</v>
      </c>
      <c r="D55" t="s">
        <v>27</v>
      </c>
      <c r="E55" t="s">
        <v>30</v>
      </c>
      <c r="F55" t="s">
        <v>94</v>
      </c>
      <c r="G55" s="1" t="str">
        <f>HYPERLINK("https://new.land.naver.com/complexes/2805", "클릭")</f>
        <v>클릭</v>
      </c>
      <c r="H55">
        <v>2000</v>
      </c>
      <c r="I55">
        <v>4</v>
      </c>
      <c r="J55">
        <v>230</v>
      </c>
      <c r="K55">
        <v>84</v>
      </c>
      <c r="L55" t="s">
        <v>135</v>
      </c>
      <c r="M55" t="s">
        <v>137</v>
      </c>
      <c r="N55" t="s">
        <v>163</v>
      </c>
      <c r="O55">
        <v>56500</v>
      </c>
      <c r="P55" t="s">
        <v>163</v>
      </c>
      <c r="Q55">
        <v>40000</v>
      </c>
      <c r="R55">
        <v>16500</v>
      </c>
      <c r="S55" s="2">
        <v>0.70796460176991149</v>
      </c>
      <c r="T55">
        <v>70000</v>
      </c>
      <c r="U55" s="2">
        <v>-0.19285714285714289</v>
      </c>
      <c r="V55">
        <v>38800</v>
      </c>
      <c r="W55" s="2">
        <v>1.456185567010309</v>
      </c>
      <c r="AA55" t="s">
        <v>198</v>
      </c>
    </row>
    <row r="56" spans="1:27" x14ac:dyDescent="0.3">
      <c r="A56" s="3">
        <v>54</v>
      </c>
      <c r="B56">
        <v>13571</v>
      </c>
      <c r="C56" t="s">
        <v>26</v>
      </c>
      <c r="D56" t="s">
        <v>27</v>
      </c>
      <c r="E56" t="s">
        <v>31</v>
      </c>
      <c r="F56" t="s">
        <v>223</v>
      </c>
      <c r="G56" s="1" t="str">
        <f>HYPERLINK("https://new.land.naver.com/complexes/13571", "클릭")</f>
        <v>클릭</v>
      </c>
      <c r="H56">
        <v>2005</v>
      </c>
      <c r="I56">
        <v>11</v>
      </c>
      <c r="J56">
        <v>551</v>
      </c>
      <c r="K56">
        <v>59</v>
      </c>
      <c r="L56" t="s">
        <v>135</v>
      </c>
      <c r="M56" t="s">
        <v>137</v>
      </c>
      <c r="N56" t="s">
        <v>272</v>
      </c>
      <c r="O56">
        <v>56000</v>
      </c>
      <c r="P56" t="s">
        <v>272</v>
      </c>
      <c r="Q56">
        <v>33000</v>
      </c>
      <c r="R56">
        <v>23000</v>
      </c>
      <c r="S56" s="2">
        <v>0.5892857142857143</v>
      </c>
      <c r="T56">
        <v>68000</v>
      </c>
      <c r="U56" s="2">
        <v>-0.1764705882352941</v>
      </c>
      <c r="V56">
        <v>32500</v>
      </c>
      <c r="W56" s="2">
        <v>1.723076923076923</v>
      </c>
      <c r="AA56" t="s">
        <v>198</v>
      </c>
    </row>
    <row r="57" spans="1:27" x14ac:dyDescent="0.3">
      <c r="A57" s="3">
        <v>55</v>
      </c>
      <c r="B57">
        <v>24045</v>
      </c>
      <c r="C57" t="s">
        <v>26</v>
      </c>
      <c r="D57" t="s">
        <v>27</v>
      </c>
      <c r="E57" t="s">
        <v>28</v>
      </c>
      <c r="F57" t="s">
        <v>95</v>
      </c>
      <c r="G57" s="1" t="str">
        <f>HYPERLINK("https://new.land.naver.com/complexes/24045", "클릭")</f>
        <v>클릭</v>
      </c>
      <c r="H57">
        <v>2007</v>
      </c>
      <c r="I57">
        <v>7</v>
      </c>
      <c r="J57">
        <v>149</v>
      </c>
      <c r="K57">
        <v>84</v>
      </c>
      <c r="L57" t="s">
        <v>135</v>
      </c>
      <c r="M57" t="s">
        <v>137</v>
      </c>
      <c r="N57" t="s">
        <v>163</v>
      </c>
      <c r="O57">
        <v>56000</v>
      </c>
      <c r="P57" t="s">
        <v>163</v>
      </c>
      <c r="Q57">
        <v>40000</v>
      </c>
      <c r="R57">
        <v>16000</v>
      </c>
      <c r="S57" s="2">
        <v>0.7142857142857143</v>
      </c>
      <c r="T57">
        <v>65000</v>
      </c>
      <c r="U57" s="2">
        <v>-0.1384615384615385</v>
      </c>
      <c r="V57">
        <v>36200</v>
      </c>
      <c r="W57" s="2">
        <v>1.5469613259668511</v>
      </c>
      <c r="AA57" t="s">
        <v>198</v>
      </c>
    </row>
    <row r="58" spans="1:27" x14ac:dyDescent="0.3">
      <c r="A58" s="3">
        <v>56</v>
      </c>
      <c r="B58">
        <v>11958</v>
      </c>
      <c r="C58" t="s">
        <v>26</v>
      </c>
      <c r="D58" t="s">
        <v>27</v>
      </c>
      <c r="E58" t="s">
        <v>28</v>
      </c>
      <c r="F58" t="s">
        <v>96</v>
      </c>
      <c r="G58" s="1" t="str">
        <f>HYPERLINK("https://new.land.naver.com/complexes/11958", "클릭")</f>
        <v>클릭</v>
      </c>
      <c r="H58">
        <v>2005</v>
      </c>
      <c r="I58">
        <v>4</v>
      </c>
      <c r="J58">
        <v>149</v>
      </c>
      <c r="K58">
        <v>84</v>
      </c>
      <c r="L58" t="s">
        <v>135</v>
      </c>
      <c r="M58" t="s">
        <v>137</v>
      </c>
      <c r="N58" t="s">
        <v>155</v>
      </c>
      <c r="O58">
        <v>56000</v>
      </c>
      <c r="P58" t="s">
        <v>155</v>
      </c>
      <c r="Q58">
        <v>35000</v>
      </c>
      <c r="R58">
        <v>21000</v>
      </c>
      <c r="S58" s="2">
        <v>0.625</v>
      </c>
      <c r="T58">
        <v>68000</v>
      </c>
      <c r="U58" s="2">
        <v>-0.1764705882352941</v>
      </c>
      <c r="V58">
        <v>34600</v>
      </c>
      <c r="W58" s="2">
        <v>1.6184971098265899</v>
      </c>
      <c r="AA58" t="s">
        <v>198</v>
      </c>
    </row>
    <row r="59" spans="1:27" x14ac:dyDescent="0.3">
      <c r="A59" s="3">
        <v>57</v>
      </c>
      <c r="B59">
        <v>10281</v>
      </c>
      <c r="C59" t="s">
        <v>26</v>
      </c>
      <c r="D59" t="s">
        <v>27</v>
      </c>
      <c r="E59" t="s">
        <v>29</v>
      </c>
      <c r="F59" t="s">
        <v>75</v>
      </c>
      <c r="G59" s="1" t="str">
        <f>HYPERLINK("https://new.land.naver.com/complexes/10281", "클릭")</f>
        <v>클릭</v>
      </c>
      <c r="H59">
        <v>2000</v>
      </c>
      <c r="I59">
        <v>10</v>
      </c>
      <c r="J59">
        <v>160</v>
      </c>
      <c r="K59">
        <v>67</v>
      </c>
      <c r="L59" t="s">
        <v>136</v>
      </c>
      <c r="M59" t="s">
        <v>338</v>
      </c>
      <c r="N59" t="s">
        <v>341</v>
      </c>
      <c r="O59">
        <v>55000</v>
      </c>
      <c r="P59" t="s">
        <v>341</v>
      </c>
      <c r="Q59">
        <v>32000</v>
      </c>
      <c r="R59">
        <v>23000</v>
      </c>
      <c r="S59" s="2">
        <v>0.58181818181818179</v>
      </c>
      <c r="V59">
        <v>35600</v>
      </c>
      <c r="W59" s="2">
        <v>1.544943820224719</v>
      </c>
      <c r="AA59" t="s">
        <v>198</v>
      </c>
    </row>
    <row r="60" spans="1:27" x14ac:dyDescent="0.3">
      <c r="A60" s="3">
        <v>58</v>
      </c>
      <c r="B60">
        <v>10509</v>
      </c>
      <c r="C60" t="s">
        <v>26</v>
      </c>
      <c r="D60" t="s">
        <v>27</v>
      </c>
      <c r="E60" t="s">
        <v>28</v>
      </c>
      <c r="F60" t="s">
        <v>98</v>
      </c>
      <c r="G60" s="1" t="str">
        <f>HYPERLINK("https://new.land.naver.com/complexes/10509", "클릭")</f>
        <v>클릭</v>
      </c>
      <c r="H60">
        <v>2004</v>
      </c>
      <c r="I60">
        <v>12</v>
      </c>
      <c r="J60">
        <v>361</v>
      </c>
      <c r="K60">
        <v>75</v>
      </c>
      <c r="L60" t="s">
        <v>135</v>
      </c>
      <c r="M60" t="s">
        <v>137</v>
      </c>
      <c r="N60" t="s">
        <v>348</v>
      </c>
      <c r="O60">
        <v>55000</v>
      </c>
      <c r="P60" t="s">
        <v>348</v>
      </c>
      <c r="Q60">
        <v>39900</v>
      </c>
      <c r="R60">
        <v>15100</v>
      </c>
      <c r="S60" s="2">
        <v>0.72545454545454546</v>
      </c>
      <c r="V60">
        <v>33300</v>
      </c>
      <c r="W60" s="2">
        <v>1.651651651651652</v>
      </c>
      <c r="AA60" t="s">
        <v>198</v>
      </c>
    </row>
    <row r="61" spans="1:27" x14ac:dyDescent="0.3">
      <c r="A61" s="3">
        <v>59</v>
      </c>
      <c r="B61">
        <v>10509</v>
      </c>
      <c r="C61" t="s">
        <v>26</v>
      </c>
      <c r="D61" t="s">
        <v>27</v>
      </c>
      <c r="E61" t="s">
        <v>28</v>
      </c>
      <c r="F61" t="s">
        <v>98</v>
      </c>
      <c r="G61" s="1" t="str">
        <f>HYPERLINK("https://new.land.naver.com/complexes/10509", "클릭")</f>
        <v>클릭</v>
      </c>
      <c r="H61">
        <v>2004</v>
      </c>
      <c r="I61">
        <v>12</v>
      </c>
      <c r="J61">
        <v>361</v>
      </c>
      <c r="K61">
        <v>84</v>
      </c>
      <c r="L61" t="s">
        <v>135</v>
      </c>
      <c r="M61" t="s">
        <v>137</v>
      </c>
      <c r="N61" t="s">
        <v>175</v>
      </c>
      <c r="O61">
        <v>55000</v>
      </c>
      <c r="P61" t="s">
        <v>193</v>
      </c>
      <c r="Q61">
        <v>38000</v>
      </c>
      <c r="R61">
        <v>17000</v>
      </c>
      <c r="S61" s="2">
        <v>0.69090909090909092</v>
      </c>
      <c r="T61">
        <v>70000</v>
      </c>
      <c r="U61" s="2">
        <v>-0.2142857142857143</v>
      </c>
      <c r="V61">
        <v>36400</v>
      </c>
      <c r="W61" s="2">
        <v>1.5109890109890109</v>
      </c>
      <c r="AA61" t="s">
        <v>198</v>
      </c>
    </row>
    <row r="62" spans="1:27" x14ac:dyDescent="0.3">
      <c r="A62" s="3">
        <v>60</v>
      </c>
      <c r="B62">
        <v>19530</v>
      </c>
      <c r="C62" t="s">
        <v>26</v>
      </c>
      <c r="D62" t="s">
        <v>27</v>
      </c>
      <c r="E62" t="s">
        <v>28</v>
      </c>
      <c r="F62" t="s">
        <v>123</v>
      </c>
      <c r="G62" s="1" t="str">
        <f>HYPERLINK("https://new.land.naver.com/complexes/19530", "클릭")</f>
        <v>클릭</v>
      </c>
      <c r="H62">
        <v>2007</v>
      </c>
      <c r="I62">
        <v>3</v>
      </c>
      <c r="J62">
        <v>210</v>
      </c>
      <c r="K62">
        <v>134</v>
      </c>
      <c r="N62" t="s">
        <v>628</v>
      </c>
      <c r="O62">
        <v>55000</v>
      </c>
      <c r="AA62" t="s">
        <v>645</v>
      </c>
    </row>
    <row r="63" spans="1:27" x14ac:dyDescent="0.3">
      <c r="A63" s="3">
        <v>61</v>
      </c>
      <c r="B63">
        <v>25592</v>
      </c>
      <c r="C63" t="s">
        <v>26</v>
      </c>
      <c r="D63" t="s">
        <v>27</v>
      </c>
      <c r="E63" t="s">
        <v>29</v>
      </c>
      <c r="F63" t="s">
        <v>310</v>
      </c>
      <c r="G63" s="1" t="str">
        <f>HYPERLINK("https://new.land.naver.com/complexes/25592", "클릭")</f>
        <v>클릭</v>
      </c>
      <c r="H63">
        <v>2001</v>
      </c>
      <c r="I63">
        <v>5</v>
      </c>
      <c r="J63">
        <v>14</v>
      </c>
      <c r="K63">
        <v>73</v>
      </c>
      <c r="L63" t="s">
        <v>135</v>
      </c>
      <c r="M63" t="s">
        <v>137</v>
      </c>
      <c r="N63" t="s">
        <v>270</v>
      </c>
      <c r="O63">
        <v>55000</v>
      </c>
      <c r="P63" t="s">
        <v>270</v>
      </c>
      <c r="Q63">
        <v>27000</v>
      </c>
      <c r="R63">
        <v>28000</v>
      </c>
      <c r="S63" s="2">
        <v>0.49090909090909091</v>
      </c>
      <c r="V63">
        <v>24000</v>
      </c>
      <c r="W63" s="2">
        <v>2.291666666666667</v>
      </c>
      <c r="AA63" t="s">
        <v>198</v>
      </c>
    </row>
    <row r="64" spans="1:27" x14ac:dyDescent="0.3">
      <c r="A64" s="3">
        <v>62</v>
      </c>
      <c r="B64">
        <v>19662</v>
      </c>
      <c r="C64" t="s">
        <v>26</v>
      </c>
      <c r="D64" t="s">
        <v>27</v>
      </c>
      <c r="E64" t="s">
        <v>28</v>
      </c>
      <c r="F64" t="s">
        <v>100</v>
      </c>
      <c r="G64" s="1" t="str">
        <f>HYPERLINK("https://new.land.naver.com/complexes/19662", "클릭")</f>
        <v>클릭</v>
      </c>
      <c r="H64">
        <v>2005</v>
      </c>
      <c r="I64">
        <v>9</v>
      </c>
      <c r="J64">
        <v>60</v>
      </c>
      <c r="K64">
        <v>84</v>
      </c>
      <c r="L64" t="s">
        <v>135</v>
      </c>
      <c r="M64" t="s">
        <v>137</v>
      </c>
      <c r="N64" t="s">
        <v>143</v>
      </c>
      <c r="O64">
        <v>55000</v>
      </c>
      <c r="P64" t="s">
        <v>143</v>
      </c>
      <c r="Q64">
        <v>40000</v>
      </c>
      <c r="R64">
        <v>15000</v>
      </c>
      <c r="S64" s="2">
        <v>0.72727272727272729</v>
      </c>
      <c r="T64">
        <v>55300</v>
      </c>
      <c r="U64" s="2">
        <v>-5.4249547920433997E-3</v>
      </c>
      <c r="V64">
        <v>31000</v>
      </c>
      <c r="W64" s="2">
        <v>1.774193548387097</v>
      </c>
      <c r="AA64" t="s">
        <v>202</v>
      </c>
    </row>
    <row r="65" spans="1:27" x14ac:dyDescent="0.3">
      <c r="A65" s="3">
        <v>63</v>
      </c>
      <c r="B65">
        <v>13777</v>
      </c>
      <c r="C65" t="s">
        <v>26</v>
      </c>
      <c r="D65" t="s">
        <v>27</v>
      </c>
      <c r="E65" t="s">
        <v>31</v>
      </c>
      <c r="F65" t="s">
        <v>101</v>
      </c>
      <c r="G65" s="1" t="str">
        <f>HYPERLINK("https://new.land.naver.com/complexes/13777", "클릭")</f>
        <v>클릭</v>
      </c>
      <c r="H65">
        <v>2005</v>
      </c>
      <c r="I65">
        <v>8</v>
      </c>
      <c r="J65">
        <v>131</v>
      </c>
      <c r="K65">
        <v>58</v>
      </c>
      <c r="N65" t="s">
        <v>250</v>
      </c>
      <c r="O65">
        <v>55000</v>
      </c>
      <c r="P65" t="s">
        <v>250</v>
      </c>
      <c r="Q65">
        <v>24000</v>
      </c>
      <c r="R65">
        <v>31000</v>
      </c>
      <c r="S65" s="2">
        <v>0.43636363636363629</v>
      </c>
      <c r="T65">
        <v>55200</v>
      </c>
      <c r="U65" s="2">
        <v>-3.6231884057971011E-3</v>
      </c>
      <c r="AA65" t="s">
        <v>289</v>
      </c>
    </row>
    <row r="66" spans="1:27" x14ac:dyDescent="0.3">
      <c r="A66" s="3">
        <v>64</v>
      </c>
      <c r="B66">
        <v>105771</v>
      </c>
      <c r="C66" t="s">
        <v>26</v>
      </c>
      <c r="D66" t="s">
        <v>27</v>
      </c>
      <c r="E66" t="s">
        <v>31</v>
      </c>
      <c r="F66" t="s">
        <v>78</v>
      </c>
      <c r="G66" s="1" t="str">
        <f>HYPERLINK("https://new.land.naver.com/complexes/105771", "클릭")</f>
        <v>클릭</v>
      </c>
      <c r="H66">
        <v>2003</v>
      </c>
      <c r="I66">
        <v>3</v>
      </c>
      <c r="J66">
        <v>12</v>
      </c>
      <c r="K66">
        <v>66</v>
      </c>
      <c r="L66" t="s">
        <v>135</v>
      </c>
      <c r="M66" t="s">
        <v>138</v>
      </c>
      <c r="N66" t="s">
        <v>254</v>
      </c>
      <c r="O66">
        <v>55000</v>
      </c>
      <c r="AA66" t="s">
        <v>399</v>
      </c>
    </row>
    <row r="67" spans="1:27" x14ac:dyDescent="0.3">
      <c r="A67" s="3">
        <v>65</v>
      </c>
      <c r="B67">
        <v>13777</v>
      </c>
      <c r="C67" t="s">
        <v>26</v>
      </c>
      <c r="D67" t="s">
        <v>27</v>
      </c>
      <c r="E67" t="s">
        <v>31</v>
      </c>
      <c r="F67" t="s">
        <v>101</v>
      </c>
      <c r="G67" s="1" t="str">
        <f>HYPERLINK("https://new.land.naver.com/complexes/13777", "클릭")</f>
        <v>클릭</v>
      </c>
      <c r="H67">
        <v>2005</v>
      </c>
      <c r="I67">
        <v>8</v>
      </c>
      <c r="J67">
        <v>131</v>
      </c>
      <c r="K67">
        <v>83</v>
      </c>
      <c r="L67" t="s">
        <v>135</v>
      </c>
      <c r="M67" t="s">
        <v>137</v>
      </c>
      <c r="N67" t="s">
        <v>177</v>
      </c>
      <c r="O67">
        <v>54800</v>
      </c>
      <c r="P67" t="s">
        <v>140</v>
      </c>
      <c r="Q67">
        <v>37000</v>
      </c>
      <c r="R67">
        <v>17800</v>
      </c>
      <c r="S67" s="2">
        <v>0.67518248175182483</v>
      </c>
      <c r="T67">
        <v>55000</v>
      </c>
      <c r="U67" s="2">
        <v>-3.6363636363636359E-3</v>
      </c>
      <c r="V67">
        <v>35700</v>
      </c>
      <c r="W67" s="2">
        <v>1.535014005602241</v>
      </c>
      <c r="AA67" t="s">
        <v>198</v>
      </c>
    </row>
    <row r="68" spans="1:27" x14ac:dyDescent="0.3">
      <c r="A68" s="3">
        <v>66</v>
      </c>
      <c r="B68">
        <v>3080</v>
      </c>
      <c r="C68" t="s">
        <v>26</v>
      </c>
      <c r="D68" t="s">
        <v>27</v>
      </c>
      <c r="E68" t="s">
        <v>31</v>
      </c>
      <c r="F68" t="s">
        <v>102</v>
      </c>
      <c r="G68" s="1" t="str">
        <f>HYPERLINK("https://new.land.naver.com/complexes/3080", "클릭")</f>
        <v>클릭</v>
      </c>
      <c r="H68">
        <v>2003</v>
      </c>
      <c r="I68">
        <v>3</v>
      </c>
      <c r="J68">
        <v>2044</v>
      </c>
      <c r="K68">
        <v>84</v>
      </c>
      <c r="L68" t="s">
        <v>135</v>
      </c>
      <c r="M68" t="s">
        <v>137</v>
      </c>
      <c r="N68" t="s">
        <v>178</v>
      </c>
      <c r="O68">
        <v>53000</v>
      </c>
      <c r="P68" t="s">
        <v>194</v>
      </c>
      <c r="Q68">
        <v>38000</v>
      </c>
      <c r="R68">
        <v>15000</v>
      </c>
      <c r="S68" s="2">
        <v>0.71698113207547165</v>
      </c>
      <c r="T68">
        <v>74000</v>
      </c>
      <c r="U68" s="2">
        <v>-0.28378378378378383</v>
      </c>
      <c r="V68">
        <v>35800</v>
      </c>
      <c r="W68" s="2">
        <v>1.4804469273743019</v>
      </c>
      <c r="AA68" t="s">
        <v>198</v>
      </c>
    </row>
    <row r="69" spans="1:27" x14ac:dyDescent="0.3">
      <c r="A69" s="3">
        <v>67</v>
      </c>
      <c r="B69">
        <v>8812</v>
      </c>
      <c r="C69" t="s">
        <v>26</v>
      </c>
      <c r="D69" t="s">
        <v>27</v>
      </c>
      <c r="E69" t="s">
        <v>28</v>
      </c>
      <c r="F69" t="s">
        <v>103</v>
      </c>
      <c r="G69" s="1" t="str">
        <f>HYPERLINK("https://new.land.naver.com/complexes/8812", "클릭")</f>
        <v>클릭</v>
      </c>
      <c r="H69">
        <v>2001</v>
      </c>
      <c r="I69">
        <v>4</v>
      </c>
      <c r="J69">
        <v>136</v>
      </c>
      <c r="K69">
        <v>84</v>
      </c>
      <c r="L69" t="s">
        <v>135</v>
      </c>
      <c r="M69" t="s">
        <v>137</v>
      </c>
      <c r="N69" t="s">
        <v>179</v>
      </c>
      <c r="O69">
        <v>53000</v>
      </c>
      <c r="P69" t="s">
        <v>179</v>
      </c>
      <c r="Q69">
        <v>30000</v>
      </c>
      <c r="R69">
        <v>23000</v>
      </c>
      <c r="S69" s="2">
        <v>0.56603773584905659</v>
      </c>
      <c r="T69">
        <v>55000</v>
      </c>
      <c r="U69" s="2">
        <v>-3.6363636363636362E-2</v>
      </c>
      <c r="V69">
        <v>30600</v>
      </c>
      <c r="W69" s="2">
        <v>1.73202614379085</v>
      </c>
      <c r="AA69" t="s">
        <v>198</v>
      </c>
    </row>
    <row r="70" spans="1:27" x14ac:dyDescent="0.3">
      <c r="A70" s="3">
        <v>68</v>
      </c>
      <c r="B70">
        <v>24035</v>
      </c>
      <c r="C70" t="s">
        <v>26</v>
      </c>
      <c r="D70" t="s">
        <v>27</v>
      </c>
      <c r="E70" t="s">
        <v>30</v>
      </c>
      <c r="F70" t="s">
        <v>104</v>
      </c>
      <c r="G70" s="1" t="str">
        <f>HYPERLINK("https://new.land.naver.com/complexes/24035", "클릭")</f>
        <v>클릭</v>
      </c>
      <c r="H70">
        <v>2003</v>
      </c>
      <c r="I70">
        <v>3</v>
      </c>
      <c r="J70">
        <v>64</v>
      </c>
      <c r="K70">
        <v>84</v>
      </c>
      <c r="L70" t="s">
        <v>135</v>
      </c>
      <c r="M70" t="s">
        <v>137</v>
      </c>
      <c r="N70" t="s">
        <v>180</v>
      </c>
      <c r="O70">
        <v>53000</v>
      </c>
      <c r="P70" t="s">
        <v>153</v>
      </c>
      <c r="Q70">
        <v>38000</v>
      </c>
      <c r="R70">
        <v>15000</v>
      </c>
      <c r="S70" s="2">
        <v>0.71698113207547165</v>
      </c>
      <c r="T70">
        <v>57000</v>
      </c>
      <c r="U70" s="2">
        <v>-7.0175438596491224E-2</v>
      </c>
      <c r="V70">
        <v>33800</v>
      </c>
      <c r="W70" s="2">
        <v>1.568047337278107</v>
      </c>
      <c r="AA70" t="s">
        <v>198</v>
      </c>
    </row>
    <row r="71" spans="1:27" x14ac:dyDescent="0.3">
      <c r="A71" s="3">
        <v>69</v>
      </c>
      <c r="B71">
        <v>10147</v>
      </c>
      <c r="C71" t="s">
        <v>26</v>
      </c>
      <c r="D71" t="s">
        <v>27</v>
      </c>
      <c r="E71" t="s">
        <v>28</v>
      </c>
      <c r="F71" t="s">
        <v>105</v>
      </c>
      <c r="G71" s="1" t="str">
        <f>HYPERLINK("https://new.land.naver.com/complexes/10147", "클릭")</f>
        <v>클릭</v>
      </c>
      <c r="H71">
        <v>2004</v>
      </c>
      <c r="I71">
        <v>10</v>
      </c>
      <c r="J71">
        <v>203</v>
      </c>
      <c r="K71">
        <v>84</v>
      </c>
      <c r="L71" t="s">
        <v>135</v>
      </c>
      <c r="M71" t="s">
        <v>137</v>
      </c>
      <c r="N71" t="s">
        <v>158</v>
      </c>
      <c r="O71">
        <v>53000</v>
      </c>
      <c r="P71" t="s">
        <v>158</v>
      </c>
      <c r="Q71">
        <v>37000</v>
      </c>
      <c r="R71">
        <v>16000</v>
      </c>
      <c r="S71" s="2">
        <v>0.69811320754716977</v>
      </c>
      <c r="T71">
        <v>63000</v>
      </c>
      <c r="U71" s="2">
        <v>-0.15873015873015869</v>
      </c>
      <c r="V71">
        <v>32100</v>
      </c>
      <c r="W71" s="2">
        <v>1.6510903426791279</v>
      </c>
      <c r="AA71" t="s">
        <v>198</v>
      </c>
    </row>
    <row r="72" spans="1:27" x14ac:dyDescent="0.3">
      <c r="A72" s="3">
        <v>70</v>
      </c>
      <c r="B72">
        <v>13383</v>
      </c>
      <c r="C72" t="s">
        <v>26</v>
      </c>
      <c r="D72" t="s">
        <v>27</v>
      </c>
      <c r="E72" t="s">
        <v>28</v>
      </c>
      <c r="F72" t="s">
        <v>106</v>
      </c>
      <c r="G72" s="1" t="str">
        <f>HYPERLINK("https://new.land.naver.com/complexes/13383", "클릭")</f>
        <v>클릭</v>
      </c>
      <c r="H72">
        <v>2005</v>
      </c>
      <c r="I72">
        <v>12</v>
      </c>
      <c r="J72">
        <v>148</v>
      </c>
      <c r="K72">
        <v>84</v>
      </c>
      <c r="L72" t="s">
        <v>135</v>
      </c>
      <c r="M72" t="s">
        <v>137</v>
      </c>
      <c r="N72" t="s">
        <v>149</v>
      </c>
      <c r="O72">
        <v>53000</v>
      </c>
      <c r="P72" t="s">
        <v>149</v>
      </c>
      <c r="Q72">
        <v>38000</v>
      </c>
      <c r="R72">
        <v>15000</v>
      </c>
      <c r="S72" s="2">
        <v>0.71698113207547165</v>
      </c>
      <c r="T72">
        <v>66000</v>
      </c>
      <c r="U72" s="2">
        <v>-0.19696969696969699</v>
      </c>
      <c r="V72">
        <v>34300</v>
      </c>
      <c r="W72" s="2">
        <v>1.545189504373178</v>
      </c>
      <c r="AA72" t="s">
        <v>198</v>
      </c>
    </row>
    <row r="73" spans="1:27" x14ac:dyDescent="0.3">
      <c r="A73" s="3">
        <v>71</v>
      </c>
      <c r="B73">
        <v>19128</v>
      </c>
      <c r="C73" t="s">
        <v>26</v>
      </c>
      <c r="D73" t="s">
        <v>27</v>
      </c>
      <c r="E73" t="s">
        <v>28</v>
      </c>
      <c r="F73" t="s">
        <v>107</v>
      </c>
      <c r="G73" s="1" t="str">
        <f>HYPERLINK("https://new.land.naver.com/complexes/19128", "클릭")</f>
        <v>클릭</v>
      </c>
      <c r="H73">
        <v>2005</v>
      </c>
      <c r="I73">
        <v>9</v>
      </c>
      <c r="J73">
        <v>83</v>
      </c>
      <c r="K73">
        <v>84</v>
      </c>
      <c r="L73" t="s">
        <v>135</v>
      </c>
      <c r="M73" t="s">
        <v>137</v>
      </c>
      <c r="N73" t="s">
        <v>163</v>
      </c>
      <c r="O73">
        <v>53000</v>
      </c>
      <c r="P73" t="s">
        <v>163</v>
      </c>
      <c r="Q73">
        <v>40000</v>
      </c>
      <c r="R73">
        <v>13000</v>
      </c>
      <c r="S73" s="2">
        <v>0.75471698113207553</v>
      </c>
      <c r="T73">
        <v>63000</v>
      </c>
      <c r="U73" s="2">
        <v>-0.15873015873015869</v>
      </c>
      <c r="V73">
        <v>33900</v>
      </c>
      <c r="W73" s="2">
        <v>1.5634218289085551</v>
      </c>
      <c r="AA73" t="s">
        <v>203</v>
      </c>
    </row>
    <row r="74" spans="1:27" x14ac:dyDescent="0.3">
      <c r="A74" s="3">
        <v>72</v>
      </c>
      <c r="B74">
        <v>8800</v>
      </c>
      <c r="C74" t="s">
        <v>26</v>
      </c>
      <c r="D74" t="s">
        <v>27</v>
      </c>
      <c r="E74" t="s">
        <v>28</v>
      </c>
      <c r="F74" t="s">
        <v>108</v>
      </c>
      <c r="G74" s="1" t="str">
        <f>HYPERLINK("https://new.land.naver.com/complexes/8800", "클릭")</f>
        <v>클릭</v>
      </c>
      <c r="H74">
        <v>2000</v>
      </c>
      <c r="I74">
        <v>10</v>
      </c>
      <c r="J74">
        <v>370</v>
      </c>
      <c r="K74">
        <v>84</v>
      </c>
      <c r="L74" t="s">
        <v>135</v>
      </c>
      <c r="M74" t="s">
        <v>137</v>
      </c>
      <c r="N74" t="s">
        <v>160</v>
      </c>
      <c r="O74">
        <v>52000</v>
      </c>
      <c r="P74" t="s">
        <v>160</v>
      </c>
      <c r="Q74">
        <v>36000</v>
      </c>
      <c r="R74">
        <v>16000</v>
      </c>
      <c r="S74" s="2">
        <v>0.69230769230769229</v>
      </c>
      <c r="T74">
        <v>59000</v>
      </c>
      <c r="U74" s="2">
        <v>-0.1186440677966102</v>
      </c>
      <c r="V74">
        <v>31900</v>
      </c>
      <c r="W74" s="2">
        <v>1.630094043887147</v>
      </c>
      <c r="AA74" t="s">
        <v>198</v>
      </c>
    </row>
    <row r="75" spans="1:27" x14ac:dyDescent="0.3">
      <c r="A75" s="3">
        <v>73</v>
      </c>
      <c r="B75">
        <v>24035</v>
      </c>
      <c r="C75" t="s">
        <v>26</v>
      </c>
      <c r="D75" t="s">
        <v>27</v>
      </c>
      <c r="E75" t="s">
        <v>30</v>
      </c>
      <c r="F75" t="s">
        <v>104</v>
      </c>
      <c r="G75" s="1" t="str">
        <f>HYPERLINK("https://new.land.naver.com/complexes/24035", "클릭")</f>
        <v>클릭</v>
      </c>
      <c r="H75">
        <v>2003</v>
      </c>
      <c r="I75">
        <v>3</v>
      </c>
      <c r="J75">
        <v>64</v>
      </c>
      <c r="K75">
        <v>82</v>
      </c>
      <c r="N75" t="s">
        <v>369</v>
      </c>
      <c r="O75">
        <v>52000</v>
      </c>
      <c r="P75" t="s">
        <v>369</v>
      </c>
      <c r="Q75">
        <v>45000</v>
      </c>
      <c r="R75">
        <v>7000</v>
      </c>
      <c r="S75" s="2">
        <v>0.86538461538461542</v>
      </c>
      <c r="AA75" t="s">
        <v>401</v>
      </c>
    </row>
    <row r="76" spans="1:27" x14ac:dyDescent="0.3">
      <c r="A76" s="3">
        <v>74</v>
      </c>
      <c r="B76">
        <v>3083</v>
      </c>
      <c r="C76" t="s">
        <v>26</v>
      </c>
      <c r="D76" t="s">
        <v>27</v>
      </c>
      <c r="E76" t="s">
        <v>28</v>
      </c>
      <c r="F76" t="s">
        <v>302</v>
      </c>
      <c r="G76" s="1" t="str">
        <f>HYPERLINK("https://new.land.naver.com/complexes/3083", "클릭")</f>
        <v>클릭</v>
      </c>
      <c r="H76">
        <v>2003</v>
      </c>
      <c r="I76">
        <v>4</v>
      </c>
      <c r="J76">
        <v>426</v>
      </c>
      <c r="K76">
        <v>55</v>
      </c>
      <c r="L76" t="s">
        <v>135</v>
      </c>
      <c r="M76" t="s">
        <v>138</v>
      </c>
      <c r="N76" t="s">
        <v>356</v>
      </c>
      <c r="O76">
        <v>51000</v>
      </c>
      <c r="P76" t="s">
        <v>356</v>
      </c>
      <c r="Q76">
        <v>31500</v>
      </c>
      <c r="R76">
        <v>19500</v>
      </c>
      <c r="S76" s="2">
        <v>0.61764705882352944</v>
      </c>
      <c r="AA76" t="s">
        <v>198</v>
      </c>
    </row>
    <row r="77" spans="1:27" x14ac:dyDescent="0.3">
      <c r="A77" s="3">
        <v>75</v>
      </c>
      <c r="B77">
        <v>8036</v>
      </c>
      <c r="C77" t="s">
        <v>26</v>
      </c>
      <c r="D77" t="s">
        <v>27</v>
      </c>
      <c r="E77" t="s">
        <v>28</v>
      </c>
      <c r="F77" t="s">
        <v>91</v>
      </c>
      <c r="G77" s="1" t="str">
        <f>HYPERLINK("https://new.land.naver.com/complexes/8036", "클릭")</f>
        <v>클릭</v>
      </c>
      <c r="H77">
        <v>2003</v>
      </c>
      <c r="I77">
        <v>12</v>
      </c>
      <c r="J77">
        <v>1752</v>
      </c>
      <c r="K77">
        <v>59</v>
      </c>
      <c r="L77" t="s">
        <v>135</v>
      </c>
      <c r="M77" t="s">
        <v>137</v>
      </c>
      <c r="N77" t="s">
        <v>240</v>
      </c>
      <c r="O77">
        <v>51000</v>
      </c>
      <c r="P77" t="s">
        <v>240</v>
      </c>
      <c r="Q77">
        <v>33000</v>
      </c>
      <c r="R77">
        <v>18000</v>
      </c>
      <c r="S77" s="2">
        <v>0.6470588235294118</v>
      </c>
      <c r="T77">
        <v>70000</v>
      </c>
      <c r="U77" s="2">
        <v>-0.27142857142857141</v>
      </c>
      <c r="V77">
        <v>31800</v>
      </c>
      <c r="W77" s="2">
        <v>1.60377358490566</v>
      </c>
      <c r="AA77" t="s">
        <v>198</v>
      </c>
    </row>
    <row r="78" spans="1:27" x14ac:dyDescent="0.3">
      <c r="A78" s="3">
        <v>76</v>
      </c>
      <c r="B78">
        <v>3082</v>
      </c>
      <c r="C78" t="s">
        <v>26</v>
      </c>
      <c r="D78" t="s">
        <v>27</v>
      </c>
      <c r="E78" t="s">
        <v>28</v>
      </c>
      <c r="F78" t="s">
        <v>90</v>
      </c>
      <c r="G78" s="1" t="str">
        <f>HYPERLINK("https://new.land.naver.com/complexes/3082", "클릭")</f>
        <v>클릭</v>
      </c>
      <c r="H78">
        <v>2003</v>
      </c>
      <c r="I78">
        <v>11</v>
      </c>
      <c r="J78">
        <v>1977</v>
      </c>
      <c r="K78">
        <v>59</v>
      </c>
      <c r="L78" t="s">
        <v>135</v>
      </c>
      <c r="M78" t="s">
        <v>137</v>
      </c>
      <c r="N78" t="s">
        <v>267</v>
      </c>
      <c r="O78">
        <v>51000</v>
      </c>
      <c r="P78" t="s">
        <v>267</v>
      </c>
      <c r="Q78">
        <v>34000</v>
      </c>
      <c r="R78">
        <v>17000</v>
      </c>
      <c r="S78" s="2">
        <v>0.66666666666666663</v>
      </c>
      <c r="T78">
        <v>67500</v>
      </c>
      <c r="U78" s="2">
        <v>-0.24444444444444441</v>
      </c>
      <c r="V78">
        <v>31100</v>
      </c>
      <c r="W78" s="2">
        <v>1.639871382636656</v>
      </c>
      <c r="AA78" t="s">
        <v>198</v>
      </c>
    </row>
    <row r="79" spans="1:27" x14ac:dyDescent="0.3">
      <c r="A79" s="3">
        <v>77</v>
      </c>
      <c r="B79">
        <v>25078</v>
      </c>
      <c r="C79" t="s">
        <v>26</v>
      </c>
      <c r="D79" t="s">
        <v>27</v>
      </c>
      <c r="E79" t="s">
        <v>30</v>
      </c>
      <c r="F79" t="s">
        <v>87</v>
      </c>
      <c r="G79" s="1" t="str">
        <f>HYPERLINK("https://new.land.naver.com/complexes/25078", "클릭")</f>
        <v>클릭</v>
      </c>
      <c r="H79">
        <v>2000</v>
      </c>
      <c r="I79">
        <v>10</v>
      </c>
      <c r="J79">
        <v>180</v>
      </c>
      <c r="K79">
        <v>60</v>
      </c>
      <c r="L79" t="s">
        <v>135</v>
      </c>
      <c r="M79" t="s">
        <v>235</v>
      </c>
      <c r="N79" t="s">
        <v>364</v>
      </c>
      <c r="O79">
        <v>50000</v>
      </c>
      <c r="P79" t="s">
        <v>364</v>
      </c>
      <c r="Q79">
        <v>32000</v>
      </c>
      <c r="R79">
        <v>18000</v>
      </c>
      <c r="S79" s="2">
        <v>0.64</v>
      </c>
      <c r="V79">
        <v>30000</v>
      </c>
      <c r="W79" s="2">
        <v>1.666666666666667</v>
      </c>
      <c r="AA79" t="s">
        <v>198</v>
      </c>
    </row>
    <row r="80" spans="1:27" x14ac:dyDescent="0.3">
      <c r="A80" s="3">
        <v>78</v>
      </c>
      <c r="B80">
        <v>25883</v>
      </c>
      <c r="C80" t="s">
        <v>26</v>
      </c>
      <c r="D80" t="s">
        <v>27</v>
      </c>
      <c r="E80" t="s">
        <v>29</v>
      </c>
      <c r="F80" t="s">
        <v>83</v>
      </c>
      <c r="G80" s="1" t="str">
        <f>HYPERLINK("https://new.land.naver.com/complexes/25883", "클릭")</f>
        <v>클릭</v>
      </c>
      <c r="H80">
        <v>2007</v>
      </c>
      <c r="I80">
        <v>5</v>
      </c>
      <c r="J80">
        <v>80</v>
      </c>
      <c r="K80">
        <v>77</v>
      </c>
      <c r="N80" t="s">
        <v>343</v>
      </c>
      <c r="O80">
        <v>50000</v>
      </c>
      <c r="AA80" t="s">
        <v>402</v>
      </c>
    </row>
    <row r="81" spans="1:27" x14ac:dyDescent="0.3">
      <c r="A81" s="3">
        <v>79</v>
      </c>
      <c r="B81">
        <v>26181</v>
      </c>
      <c r="C81" t="s">
        <v>26</v>
      </c>
      <c r="D81" t="s">
        <v>27</v>
      </c>
      <c r="E81" t="s">
        <v>29</v>
      </c>
      <c r="F81" t="s">
        <v>315</v>
      </c>
      <c r="G81" s="1" t="str">
        <f>HYPERLINK("https://new.land.naver.com/complexes/26181", "클릭")</f>
        <v>클릭</v>
      </c>
      <c r="H81">
        <v>2007</v>
      </c>
      <c r="I81">
        <v>10</v>
      </c>
      <c r="J81">
        <v>30</v>
      </c>
      <c r="K81">
        <v>67</v>
      </c>
      <c r="L81" t="s">
        <v>336</v>
      </c>
      <c r="M81" t="s">
        <v>138</v>
      </c>
      <c r="N81" t="s">
        <v>237</v>
      </c>
      <c r="O81">
        <v>50000</v>
      </c>
      <c r="P81" t="s">
        <v>237</v>
      </c>
      <c r="Q81">
        <v>32000</v>
      </c>
      <c r="R81">
        <v>18000</v>
      </c>
      <c r="S81" s="2">
        <v>0.64</v>
      </c>
      <c r="AA81" t="s">
        <v>403</v>
      </c>
    </row>
    <row r="82" spans="1:27" x14ac:dyDescent="0.3">
      <c r="A82" s="3">
        <v>80</v>
      </c>
      <c r="B82">
        <v>22957</v>
      </c>
      <c r="C82" t="s">
        <v>26</v>
      </c>
      <c r="D82" t="s">
        <v>27</v>
      </c>
      <c r="E82" t="s">
        <v>31</v>
      </c>
      <c r="F82" t="s">
        <v>84</v>
      </c>
      <c r="G82" s="1" t="str">
        <f>HYPERLINK("https://new.land.naver.com/complexes/22957", "클릭")</f>
        <v>클릭</v>
      </c>
      <c r="H82">
        <v>2007</v>
      </c>
      <c r="I82">
        <v>7</v>
      </c>
      <c r="J82">
        <v>492</v>
      </c>
      <c r="K82">
        <v>59</v>
      </c>
      <c r="L82" t="s">
        <v>135</v>
      </c>
      <c r="M82" t="s">
        <v>137</v>
      </c>
      <c r="N82" t="s">
        <v>239</v>
      </c>
      <c r="O82">
        <v>50000</v>
      </c>
      <c r="P82" t="s">
        <v>252</v>
      </c>
      <c r="Q82">
        <v>37000</v>
      </c>
      <c r="R82">
        <v>13000</v>
      </c>
      <c r="S82" s="2">
        <v>0.74</v>
      </c>
      <c r="T82">
        <v>69000</v>
      </c>
      <c r="U82" s="2">
        <v>-0.27536231884057971</v>
      </c>
      <c r="V82">
        <v>32600</v>
      </c>
      <c r="W82" s="2">
        <v>1.533742331288344</v>
      </c>
      <c r="AA82" t="s">
        <v>198</v>
      </c>
    </row>
    <row r="83" spans="1:27" x14ac:dyDescent="0.3">
      <c r="A83" s="3">
        <v>81</v>
      </c>
      <c r="B83">
        <v>13383</v>
      </c>
      <c r="C83" t="s">
        <v>26</v>
      </c>
      <c r="D83" t="s">
        <v>27</v>
      </c>
      <c r="E83" t="s">
        <v>28</v>
      </c>
      <c r="F83" t="s">
        <v>106</v>
      </c>
      <c r="G83" s="1" t="str">
        <f>HYPERLINK("https://new.land.naver.com/complexes/13383", "클릭")</f>
        <v>클릭</v>
      </c>
      <c r="H83">
        <v>2005</v>
      </c>
      <c r="I83">
        <v>12</v>
      </c>
      <c r="J83">
        <v>148</v>
      </c>
      <c r="K83">
        <v>72</v>
      </c>
      <c r="L83" t="s">
        <v>135</v>
      </c>
      <c r="M83" t="s">
        <v>137</v>
      </c>
      <c r="N83" t="s">
        <v>341</v>
      </c>
      <c r="O83">
        <v>50000</v>
      </c>
      <c r="P83" t="s">
        <v>341</v>
      </c>
      <c r="Q83">
        <v>35000</v>
      </c>
      <c r="R83">
        <v>15000</v>
      </c>
      <c r="S83" s="2">
        <v>0.7</v>
      </c>
      <c r="V83">
        <v>29800</v>
      </c>
      <c r="W83" s="2">
        <v>1.6778523489932891</v>
      </c>
      <c r="AA83" t="s">
        <v>198</v>
      </c>
    </row>
    <row r="84" spans="1:27" x14ac:dyDescent="0.3">
      <c r="A84" s="3">
        <v>82</v>
      </c>
      <c r="B84">
        <v>19128</v>
      </c>
      <c r="C84" t="s">
        <v>26</v>
      </c>
      <c r="D84" t="s">
        <v>27</v>
      </c>
      <c r="E84" t="s">
        <v>28</v>
      </c>
      <c r="F84" t="s">
        <v>107</v>
      </c>
      <c r="G84" s="1" t="str">
        <f>HYPERLINK("https://new.land.naver.com/complexes/19128", "클릭")</f>
        <v>클릭</v>
      </c>
      <c r="H84">
        <v>2005</v>
      </c>
      <c r="I84">
        <v>9</v>
      </c>
      <c r="J84">
        <v>83</v>
      </c>
      <c r="K84">
        <v>70</v>
      </c>
      <c r="L84" t="s">
        <v>135</v>
      </c>
      <c r="M84" t="s">
        <v>137</v>
      </c>
      <c r="N84" t="s">
        <v>359</v>
      </c>
      <c r="O84">
        <v>50000</v>
      </c>
      <c r="P84" t="s">
        <v>359</v>
      </c>
      <c r="Q84">
        <v>35000</v>
      </c>
      <c r="R84">
        <v>15000</v>
      </c>
      <c r="S84" s="2">
        <v>0.7</v>
      </c>
      <c r="V84">
        <v>30100</v>
      </c>
      <c r="W84" s="2">
        <v>1.6611295681063121</v>
      </c>
      <c r="AA84" t="s">
        <v>203</v>
      </c>
    </row>
    <row r="85" spans="1:27" x14ac:dyDescent="0.3">
      <c r="A85" s="3">
        <v>83</v>
      </c>
      <c r="B85">
        <v>10147</v>
      </c>
      <c r="C85" t="s">
        <v>26</v>
      </c>
      <c r="D85" t="s">
        <v>27</v>
      </c>
      <c r="E85" t="s">
        <v>28</v>
      </c>
      <c r="F85" t="s">
        <v>105</v>
      </c>
      <c r="G85" s="1" t="str">
        <f>HYPERLINK("https://new.land.naver.com/complexes/10147", "클릭")</f>
        <v>클릭</v>
      </c>
      <c r="H85">
        <v>2004</v>
      </c>
      <c r="I85">
        <v>10</v>
      </c>
      <c r="J85">
        <v>203</v>
      </c>
      <c r="K85">
        <v>83</v>
      </c>
      <c r="L85" t="s">
        <v>135</v>
      </c>
      <c r="M85" t="s">
        <v>137</v>
      </c>
      <c r="N85" t="s">
        <v>184</v>
      </c>
      <c r="O85">
        <v>49000</v>
      </c>
      <c r="P85" t="s">
        <v>184</v>
      </c>
      <c r="Q85">
        <v>32000</v>
      </c>
      <c r="R85">
        <v>17000</v>
      </c>
      <c r="S85" s="2">
        <v>0.65306122448979587</v>
      </c>
      <c r="T85">
        <v>63000</v>
      </c>
      <c r="U85" s="2">
        <v>-0.22222222222222221</v>
      </c>
      <c r="V85">
        <v>31300</v>
      </c>
      <c r="W85" s="2">
        <v>1.565495207667732</v>
      </c>
      <c r="AA85" t="s">
        <v>205</v>
      </c>
    </row>
    <row r="86" spans="1:27" x14ac:dyDescent="0.3">
      <c r="A86" s="3">
        <v>84</v>
      </c>
      <c r="B86">
        <v>19530</v>
      </c>
      <c r="C86" t="s">
        <v>26</v>
      </c>
      <c r="D86" t="s">
        <v>27</v>
      </c>
      <c r="E86" t="s">
        <v>28</v>
      </c>
      <c r="F86" t="s">
        <v>123</v>
      </c>
      <c r="G86" s="1" t="str">
        <f>HYPERLINK("https://new.land.naver.com/complexes/19530", "클릭")</f>
        <v>클릭</v>
      </c>
      <c r="H86">
        <v>2007</v>
      </c>
      <c r="I86">
        <v>3</v>
      </c>
      <c r="J86">
        <v>210</v>
      </c>
      <c r="K86">
        <v>104</v>
      </c>
      <c r="L86" t="s">
        <v>135</v>
      </c>
      <c r="M86" t="s">
        <v>137</v>
      </c>
      <c r="N86" t="s">
        <v>633</v>
      </c>
      <c r="O86">
        <v>49000</v>
      </c>
      <c r="P86" t="s">
        <v>633</v>
      </c>
      <c r="Q86">
        <v>40000</v>
      </c>
      <c r="R86">
        <v>9000</v>
      </c>
      <c r="S86" s="2">
        <v>0.81632653061224492</v>
      </c>
      <c r="V86">
        <v>30100</v>
      </c>
      <c r="W86" s="2">
        <v>1.6279069767441861</v>
      </c>
      <c r="AA86" t="s">
        <v>198</v>
      </c>
    </row>
    <row r="87" spans="1:27" x14ac:dyDescent="0.3">
      <c r="A87" s="3">
        <v>85</v>
      </c>
      <c r="B87">
        <v>25078</v>
      </c>
      <c r="C87" t="s">
        <v>26</v>
      </c>
      <c r="D87" t="s">
        <v>27</v>
      </c>
      <c r="E87" t="s">
        <v>30</v>
      </c>
      <c r="F87" t="s">
        <v>87</v>
      </c>
      <c r="G87" s="1" t="str">
        <f>HYPERLINK("https://new.land.naver.com/complexes/25078", "클릭")</f>
        <v>클릭</v>
      </c>
      <c r="H87">
        <v>2000</v>
      </c>
      <c r="I87">
        <v>10</v>
      </c>
      <c r="J87">
        <v>180</v>
      </c>
      <c r="K87">
        <v>59</v>
      </c>
      <c r="L87" t="s">
        <v>135</v>
      </c>
      <c r="M87" t="s">
        <v>138</v>
      </c>
      <c r="N87" t="s">
        <v>246</v>
      </c>
      <c r="O87">
        <v>48000</v>
      </c>
      <c r="P87" t="s">
        <v>246</v>
      </c>
      <c r="Q87">
        <v>33000</v>
      </c>
      <c r="R87">
        <v>15000</v>
      </c>
      <c r="S87" s="2">
        <v>0.6875</v>
      </c>
      <c r="T87">
        <v>46300</v>
      </c>
      <c r="U87" s="2">
        <v>3.6717062634989202E-2</v>
      </c>
      <c r="V87">
        <v>30000</v>
      </c>
      <c r="W87" s="2">
        <v>1.6</v>
      </c>
      <c r="AA87" t="s">
        <v>204</v>
      </c>
    </row>
    <row r="88" spans="1:27" x14ac:dyDescent="0.3">
      <c r="A88" s="3">
        <v>86</v>
      </c>
      <c r="B88">
        <v>26273</v>
      </c>
      <c r="C88" t="s">
        <v>26</v>
      </c>
      <c r="D88" t="s">
        <v>27</v>
      </c>
      <c r="E88" t="s">
        <v>28</v>
      </c>
      <c r="F88" t="s">
        <v>93</v>
      </c>
      <c r="G88" s="1" t="str">
        <f>HYPERLINK("https://new.land.naver.com/complexes/26273", "클릭")</f>
        <v>클릭</v>
      </c>
      <c r="H88">
        <v>2006</v>
      </c>
      <c r="I88">
        <v>11</v>
      </c>
      <c r="J88">
        <v>59</v>
      </c>
      <c r="K88">
        <v>59</v>
      </c>
      <c r="L88" t="s">
        <v>136</v>
      </c>
      <c r="M88" t="s">
        <v>137</v>
      </c>
      <c r="N88" t="s">
        <v>258</v>
      </c>
      <c r="O88">
        <v>48000</v>
      </c>
      <c r="P88" t="s">
        <v>258</v>
      </c>
      <c r="Q88">
        <v>34000</v>
      </c>
      <c r="R88">
        <v>14000</v>
      </c>
      <c r="S88" s="2">
        <v>0.70833333333333337</v>
      </c>
      <c r="T88">
        <v>50500</v>
      </c>
      <c r="U88" s="2">
        <v>-4.9504950495049507E-2</v>
      </c>
      <c r="V88">
        <v>30100</v>
      </c>
      <c r="W88" s="2">
        <v>1.59468438538206</v>
      </c>
      <c r="AA88" t="s">
        <v>198</v>
      </c>
    </row>
    <row r="89" spans="1:27" x14ac:dyDescent="0.3">
      <c r="A89" s="3">
        <v>87</v>
      </c>
      <c r="B89">
        <v>17511</v>
      </c>
      <c r="C89" t="s">
        <v>26</v>
      </c>
      <c r="D89" t="s">
        <v>27</v>
      </c>
      <c r="E89" t="s">
        <v>28</v>
      </c>
      <c r="F89" t="s">
        <v>125</v>
      </c>
      <c r="G89" s="1" t="str">
        <f>HYPERLINK("https://new.land.naver.com/complexes/17511", "클릭")</f>
        <v>클릭</v>
      </c>
      <c r="H89">
        <v>2006</v>
      </c>
      <c r="I89">
        <v>8</v>
      </c>
      <c r="J89">
        <v>70</v>
      </c>
      <c r="K89">
        <v>118</v>
      </c>
      <c r="L89" t="s">
        <v>135</v>
      </c>
      <c r="M89" t="s">
        <v>139</v>
      </c>
      <c r="N89" t="s">
        <v>560</v>
      </c>
      <c r="O89">
        <v>47000</v>
      </c>
      <c r="P89" t="s">
        <v>560</v>
      </c>
      <c r="Q89">
        <v>38000</v>
      </c>
      <c r="R89">
        <v>9000</v>
      </c>
      <c r="S89" s="2">
        <v>0.80851063829787229</v>
      </c>
      <c r="V89">
        <v>27900</v>
      </c>
      <c r="W89" s="2">
        <v>1.684587813620072</v>
      </c>
      <c r="AA89" t="s">
        <v>198</v>
      </c>
    </row>
    <row r="90" spans="1:27" x14ac:dyDescent="0.3">
      <c r="A90" s="3">
        <v>88</v>
      </c>
      <c r="B90">
        <v>18830</v>
      </c>
      <c r="C90" t="s">
        <v>26</v>
      </c>
      <c r="D90" t="s">
        <v>27</v>
      </c>
      <c r="E90" t="s">
        <v>28</v>
      </c>
      <c r="F90" t="s">
        <v>115</v>
      </c>
      <c r="G90" s="1" t="str">
        <f>HYPERLINK("https://new.land.naver.com/complexes/18830", "클릭")</f>
        <v>클릭</v>
      </c>
      <c r="H90">
        <v>2006</v>
      </c>
      <c r="I90">
        <v>1</v>
      </c>
      <c r="J90">
        <v>71</v>
      </c>
      <c r="K90">
        <v>84</v>
      </c>
      <c r="L90" t="s">
        <v>135</v>
      </c>
      <c r="M90" t="s">
        <v>137</v>
      </c>
      <c r="N90" t="s">
        <v>156</v>
      </c>
      <c r="O90">
        <v>47000</v>
      </c>
      <c r="P90" t="s">
        <v>197</v>
      </c>
      <c r="Q90">
        <v>38000</v>
      </c>
      <c r="R90">
        <v>9000</v>
      </c>
      <c r="S90" s="2">
        <v>0.80851063829787229</v>
      </c>
      <c r="T90">
        <v>55500</v>
      </c>
      <c r="U90" s="2">
        <v>-0.15315315315315309</v>
      </c>
      <c r="V90">
        <v>30400</v>
      </c>
      <c r="W90" s="2">
        <v>1.5460526315789469</v>
      </c>
      <c r="AA90" t="s">
        <v>198</v>
      </c>
    </row>
    <row r="91" spans="1:27" x14ac:dyDescent="0.3">
      <c r="A91" s="3">
        <v>89</v>
      </c>
      <c r="B91">
        <v>9908</v>
      </c>
      <c r="C91" t="s">
        <v>26</v>
      </c>
      <c r="D91" t="s">
        <v>27</v>
      </c>
      <c r="E91" t="s">
        <v>31</v>
      </c>
      <c r="F91" t="s">
        <v>117</v>
      </c>
      <c r="G91" s="1" t="str">
        <f>HYPERLINK("https://new.land.naver.com/complexes/9908", "클릭")</f>
        <v>클릭</v>
      </c>
      <c r="H91">
        <v>2000</v>
      </c>
      <c r="I91">
        <v>1</v>
      </c>
      <c r="J91">
        <v>112</v>
      </c>
      <c r="K91">
        <v>84</v>
      </c>
      <c r="L91" t="s">
        <v>136</v>
      </c>
      <c r="M91" t="s">
        <v>137</v>
      </c>
      <c r="N91" t="s">
        <v>185</v>
      </c>
      <c r="O91">
        <v>46000</v>
      </c>
      <c r="P91" t="s">
        <v>185</v>
      </c>
      <c r="Q91">
        <v>35000</v>
      </c>
      <c r="R91">
        <v>11000</v>
      </c>
      <c r="S91" s="2">
        <v>0.76086956521739135</v>
      </c>
      <c r="T91">
        <v>50000</v>
      </c>
      <c r="U91" s="2">
        <v>-0.08</v>
      </c>
      <c r="V91">
        <v>25700</v>
      </c>
      <c r="W91" s="2">
        <v>1.7898832684824899</v>
      </c>
      <c r="AA91" t="s">
        <v>198</v>
      </c>
    </row>
    <row r="92" spans="1:27" x14ac:dyDescent="0.3">
      <c r="A92" s="3">
        <v>90</v>
      </c>
      <c r="B92">
        <v>26181</v>
      </c>
      <c r="C92" t="s">
        <v>26</v>
      </c>
      <c r="D92" t="s">
        <v>27</v>
      </c>
      <c r="E92" t="s">
        <v>29</v>
      </c>
      <c r="F92" t="s">
        <v>315</v>
      </c>
      <c r="G92" s="1" t="str">
        <f>HYPERLINK("https://new.land.naver.com/complexes/26181", "클릭")</f>
        <v>클릭</v>
      </c>
      <c r="H92">
        <v>2007</v>
      </c>
      <c r="I92">
        <v>10</v>
      </c>
      <c r="J92">
        <v>30</v>
      </c>
      <c r="K92">
        <v>71</v>
      </c>
      <c r="M92" t="s">
        <v>137</v>
      </c>
      <c r="N92" t="s">
        <v>362</v>
      </c>
      <c r="O92">
        <v>45000</v>
      </c>
      <c r="AA92" t="s">
        <v>290</v>
      </c>
    </row>
    <row r="93" spans="1:27" x14ac:dyDescent="0.3">
      <c r="A93" s="3">
        <v>91</v>
      </c>
      <c r="B93">
        <v>15536</v>
      </c>
      <c r="C93" t="s">
        <v>26</v>
      </c>
      <c r="D93" t="s">
        <v>27</v>
      </c>
      <c r="E93" t="s">
        <v>28</v>
      </c>
      <c r="F93" t="s">
        <v>232</v>
      </c>
      <c r="G93" s="1" t="str">
        <f>HYPERLINK("https://new.land.naver.com/complexes/15536", "클릭")</f>
        <v>클릭</v>
      </c>
      <c r="H93">
        <v>2003</v>
      </c>
      <c r="I93">
        <v>11</v>
      </c>
      <c r="J93">
        <v>89</v>
      </c>
      <c r="K93">
        <v>71</v>
      </c>
      <c r="L93" t="s">
        <v>135</v>
      </c>
      <c r="M93" t="s">
        <v>137</v>
      </c>
      <c r="N93" t="s">
        <v>181</v>
      </c>
      <c r="O93">
        <v>45000</v>
      </c>
      <c r="P93" t="s">
        <v>181</v>
      </c>
      <c r="Q93">
        <v>27000</v>
      </c>
      <c r="R93">
        <v>18000</v>
      </c>
      <c r="S93" s="2">
        <v>0.6</v>
      </c>
      <c r="V93">
        <v>25700</v>
      </c>
      <c r="W93" s="2">
        <v>1.7509727626459139</v>
      </c>
      <c r="AA93" t="s">
        <v>198</v>
      </c>
    </row>
    <row r="94" spans="1:27" x14ac:dyDescent="0.3">
      <c r="A94" s="3">
        <v>92</v>
      </c>
      <c r="B94">
        <v>19530</v>
      </c>
      <c r="C94" t="s">
        <v>26</v>
      </c>
      <c r="D94" t="s">
        <v>27</v>
      </c>
      <c r="E94" t="s">
        <v>28</v>
      </c>
      <c r="F94" t="s">
        <v>123</v>
      </c>
      <c r="G94" s="1" t="str">
        <f>HYPERLINK("https://new.land.naver.com/complexes/19530", "클릭")</f>
        <v>클릭</v>
      </c>
      <c r="H94">
        <v>2007</v>
      </c>
      <c r="I94">
        <v>3</v>
      </c>
      <c r="J94">
        <v>210</v>
      </c>
      <c r="K94">
        <v>84</v>
      </c>
      <c r="L94" t="s">
        <v>135</v>
      </c>
      <c r="M94" t="s">
        <v>137</v>
      </c>
      <c r="N94" t="s">
        <v>187</v>
      </c>
      <c r="O94">
        <v>44500</v>
      </c>
      <c r="P94" t="s">
        <v>187</v>
      </c>
      <c r="Q94">
        <v>32000</v>
      </c>
      <c r="R94">
        <v>12500</v>
      </c>
      <c r="S94" s="2">
        <v>0.7191011235955056</v>
      </c>
      <c r="T94">
        <v>50000</v>
      </c>
      <c r="U94" s="2">
        <v>-0.11</v>
      </c>
      <c r="V94">
        <v>27400</v>
      </c>
      <c r="W94" s="2">
        <v>1.6240875912408761</v>
      </c>
      <c r="AA94" t="s">
        <v>198</v>
      </c>
    </row>
    <row r="95" spans="1:27" x14ac:dyDescent="0.3">
      <c r="A95" s="3">
        <v>93</v>
      </c>
      <c r="B95">
        <v>17511</v>
      </c>
      <c r="C95" t="s">
        <v>26</v>
      </c>
      <c r="D95" t="s">
        <v>27</v>
      </c>
      <c r="E95" t="s">
        <v>28</v>
      </c>
      <c r="F95" t="s">
        <v>125</v>
      </c>
      <c r="G95" s="1" t="str">
        <f>HYPERLINK("https://new.land.naver.com/complexes/17511", "클릭")</f>
        <v>클릭</v>
      </c>
      <c r="H95">
        <v>2006</v>
      </c>
      <c r="I95">
        <v>8</v>
      </c>
      <c r="J95">
        <v>70</v>
      </c>
      <c r="K95">
        <v>108</v>
      </c>
      <c r="L95" t="s">
        <v>135</v>
      </c>
      <c r="M95" t="s">
        <v>139</v>
      </c>
      <c r="N95" t="s">
        <v>620</v>
      </c>
      <c r="O95">
        <v>43500</v>
      </c>
      <c r="P95" t="s">
        <v>620</v>
      </c>
      <c r="Q95">
        <v>32000</v>
      </c>
      <c r="R95">
        <v>11500</v>
      </c>
      <c r="S95" s="2">
        <v>0.73563218390804597</v>
      </c>
      <c r="V95">
        <v>26700</v>
      </c>
      <c r="W95" s="2">
        <v>1.629213483146067</v>
      </c>
      <c r="AA95" t="s">
        <v>199</v>
      </c>
    </row>
    <row r="96" spans="1:27" x14ac:dyDescent="0.3">
      <c r="A96" s="3">
        <v>94</v>
      </c>
      <c r="B96">
        <v>3080</v>
      </c>
      <c r="C96" t="s">
        <v>26</v>
      </c>
      <c r="D96" t="s">
        <v>27</v>
      </c>
      <c r="E96" t="s">
        <v>31</v>
      </c>
      <c r="F96" t="s">
        <v>102</v>
      </c>
      <c r="G96" s="1" t="str">
        <f>HYPERLINK("https://new.land.naver.com/complexes/3080", "클릭")</f>
        <v>클릭</v>
      </c>
      <c r="H96">
        <v>2003</v>
      </c>
      <c r="I96">
        <v>3</v>
      </c>
      <c r="J96">
        <v>2044</v>
      </c>
      <c r="K96">
        <v>59</v>
      </c>
      <c r="L96" t="s">
        <v>135</v>
      </c>
      <c r="M96" t="s">
        <v>138</v>
      </c>
      <c r="N96" t="s">
        <v>275</v>
      </c>
      <c r="O96">
        <v>43000</v>
      </c>
      <c r="P96" t="s">
        <v>284</v>
      </c>
      <c r="Q96">
        <v>31000</v>
      </c>
      <c r="R96">
        <v>12000</v>
      </c>
      <c r="S96" s="2">
        <v>0.72093023255813948</v>
      </c>
      <c r="T96">
        <v>55800</v>
      </c>
      <c r="U96" s="2">
        <v>-0.2293906810035842</v>
      </c>
      <c r="V96">
        <v>27700</v>
      </c>
      <c r="W96" s="2">
        <v>1.552346570397112</v>
      </c>
      <c r="AA96" t="s">
        <v>198</v>
      </c>
    </row>
    <row r="97" spans="1:27" x14ac:dyDescent="0.3">
      <c r="A97" s="3">
        <v>95</v>
      </c>
      <c r="B97">
        <v>10509</v>
      </c>
      <c r="C97" t="s">
        <v>26</v>
      </c>
      <c r="D97" t="s">
        <v>27</v>
      </c>
      <c r="E97" t="s">
        <v>28</v>
      </c>
      <c r="F97" t="s">
        <v>98</v>
      </c>
      <c r="G97" s="1" t="str">
        <f>HYPERLINK("https://new.land.naver.com/complexes/10509", "클릭")</f>
        <v>클릭</v>
      </c>
      <c r="H97">
        <v>2004</v>
      </c>
      <c r="I97">
        <v>12</v>
      </c>
      <c r="J97">
        <v>361</v>
      </c>
      <c r="K97">
        <v>59</v>
      </c>
      <c r="L97" t="s">
        <v>135</v>
      </c>
      <c r="M97" t="s">
        <v>138</v>
      </c>
      <c r="N97" t="s">
        <v>271</v>
      </c>
      <c r="O97">
        <v>43000</v>
      </c>
      <c r="P97" t="s">
        <v>271</v>
      </c>
      <c r="Q97">
        <v>34000</v>
      </c>
      <c r="R97">
        <v>9000</v>
      </c>
      <c r="S97" s="2">
        <v>0.79069767441860461</v>
      </c>
      <c r="T97">
        <v>58000</v>
      </c>
      <c r="U97" s="2">
        <v>-0.25862068965517238</v>
      </c>
      <c r="V97">
        <v>29000</v>
      </c>
      <c r="W97" s="2">
        <v>1.482758620689655</v>
      </c>
      <c r="AA97" t="s">
        <v>198</v>
      </c>
    </row>
    <row r="98" spans="1:27" x14ac:dyDescent="0.3">
      <c r="A98" s="3">
        <v>96</v>
      </c>
      <c r="B98">
        <v>17511</v>
      </c>
      <c r="C98" t="s">
        <v>26</v>
      </c>
      <c r="D98" t="s">
        <v>27</v>
      </c>
      <c r="E98" t="s">
        <v>28</v>
      </c>
      <c r="F98" t="s">
        <v>125</v>
      </c>
      <c r="G98" s="1" t="str">
        <f>HYPERLINK("https://new.land.naver.com/complexes/17511", "클릭")</f>
        <v>클릭</v>
      </c>
      <c r="H98">
        <v>2006</v>
      </c>
      <c r="I98">
        <v>8</v>
      </c>
      <c r="J98">
        <v>70</v>
      </c>
      <c r="K98">
        <v>84</v>
      </c>
      <c r="L98" t="s">
        <v>135</v>
      </c>
      <c r="M98" t="s">
        <v>137</v>
      </c>
      <c r="N98" t="s">
        <v>183</v>
      </c>
      <c r="O98">
        <v>43000</v>
      </c>
      <c r="P98" t="s">
        <v>183</v>
      </c>
      <c r="Q98">
        <v>30000</v>
      </c>
      <c r="R98">
        <v>13000</v>
      </c>
      <c r="S98" s="2">
        <v>0.69767441860465118</v>
      </c>
      <c r="T98">
        <v>38600</v>
      </c>
      <c r="U98" s="2">
        <v>0.1139896373056995</v>
      </c>
      <c r="V98">
        <v>22400</v>
      </c>
      <c r="W98" s="2">
        <v>1.919642857142857</v>
      </c>
      <c r="AA98" t="s">
        <v>198</v>
      </c>
    </row>
    <row r="99" spans="1:27" x14ac:dyDescent="0.3">
      <c r="A99" s="3">
        <v>97</v>
      </c>
      <c r="B99">
        <v>10147</v>
      </c>
      <c r="C99" t="s">
        <v>26</v>
      </c>
      <c r="D99" t="s">
        <v>27</v>
      </c>
      <c r="E99" t="s">
        <v>28</v>
      </c>
      <c r="F99" t="s">
        <v>105</v>
      </c>
      <c r="G99" s="1" t="str">
        <f>HYPERLINK("https://new.land.naver.com/complexes/10147", "클릭")</f>
        <v>클릭</v>
      </c>
      <c r="H99">
        <v>2004</v>
      </c>
      <c r="I99">
        <v>10</v>
      </c>
      <c r="J99">
        <v>203</v>
      </c>
      <c r="K99">
        <v>66</v>
      </c>
      <c r="L99" t="s">
        <v>135</v>
      </c>
      <c r="M99" t="s">
        <v>138</v>
      </c>
      <c r="N99" t="s">
        <v>260</v>
      </c>
      <c r="O99">
        <v>43000</v>
      </c>
      <c r="P99" t="s">
        <v>260</v>
      </c>
      <c r="Q99">
        <v>33000</v>
      </c>
      <c r="R99">
        <v>10000</v>
      </c>
      <c r="S99" s="2">
        <v>0.76744186046511631</v>
      </c>
      <c r="V99">
        <v>28400</v>
      </c>
      <c r="W99" s="2">
        <v>1.5140845070422539</v>
      </c>
      <c r="AA99" t="s">
        <v>198</v>
      </c>
    </row>
    <row r="100" spans="1:27" x14ac:dyDescent="0.3">
      <c r="A100" s="3">
        <v>98</v>
      </c>
      <c r="B100">
        <v>22957</v>
      </c>
      <c r="C100" t="s">
        <v>26</v>
      </c>
      <c r="D100" t="s">
        <v>27</v>
      </c>
      <c r="E100" t="s">
        <v>31</v>
      </c>
      <c r="F100" t="s">
        <v>84</v>
      </c>
      <c r="G100" s="1" t="str">
        <f>HYPERLINK("https://new.land.naver.com/complexes/22957", "클릭")</f>
        <v>클릭</v>
      </c>
      <c r="H100">
        <v>2007</v>
      </c>
      <c r="I100">
        <v>7</v>
      </c>
      <c r="J100">
        <v>492</v>
      </c>
      <c r="K100">
        <v>46</v>
      </c>
      <c r="L100" t="s">
        <v>136</v>
      </c>
      <c r="M100" t="s">
        <v>235</v>
      </c>
      <c r="N100" t="s">
        <v>481</v>
      </c>
      <c r="O100">
        <v>43000</v>
      </c>
      <c r="P100" t="s">
        <v>257</v>
      </c>
      <c r="Q100">
        <v>30000</v>
      </c>
      <c r="R100">
        <v>13000</v>
      </c>
      <c r="S100" s="2">
        <v>0.69767441860465118</v>
      </c>
      <c r="V100">
        <v>25000</v>
      </c>
      <c r="W100" s="2">
        <v>1.72</v>
      </c>
      <c r="AA100" t="s">
        <v>198</v>
      </c>
    </row>
    <row r="101" spans="1:27" x14ac:dyDescent="0.3">
      <c r="A101" s="3">
        <v>99</v>
      </c>
      <c r="B101">
        <v>8038</v>
      </c>
      <c r="C101" t="s">
        <v>26</v>
      </c>
      <c r="D101" t="s">
        <v>27</v>
      </c>
      <c r="E101" t="s">
        <v>28</v>
      </c>
      <c r="F101" t="s">
        <v>126</v>
      </c>
      <c r="G101" s="1" t="str">
        <f>HYPERLINK("https://new.land.naver.com/complexes/8038", "클릭")</f>
        <v>클릭</v>
      </c>
      <c r="H101">
        <v>2000</v>
      </c>
      <c r="I101">
        <v>10</v>
      </c>
      <c r="J101">
        <v>168</v>
      </c>
      <c r="K101">
        <v>84</v>
      </c>
      <c r="L101" t="s">
        <v>135</v>
      </c>
      <c r="M101" t="s">
        <v>137</v>
      </c>
      <c r="N101" t="s">
        <v>183</v>
      </c>
      <c r="O101">
        <v>43000</v>
      </c>
      <c r="P101" t="s">
        <v>183</v>
      </c>
      <c r="Q101">
        <v>35000</v>
      </c>
      <c r="R101">
        <v>8000</v>
      </c>
      <c r="S101" s="2">
        <v>0.81395348837209303</v>
      </c>
      <c r="T101">
        <v>54500</v>
      </c>
      <c r="U101" s="2">
        <v>-0.21100917431192659</v>
      </c>
      <c r="V101">
        <v>28500</v>
      </c>
      <c r="W101" s="2">
        <v>1.508771929824561</v>
      </c>
      <c r="AA101" t="s">
        <v>198</v>
      </c>
    </row>
    <row r="102" spans="1:27" x14ac:dyDescent="0.3">
      <c r="A102" s="3">
        <v>100</v>
      </c>
      <c r="B102">
        <v>15536</v>
      </c>
      <c r="C102" t="s">
        <v>26</v>
      </c>
      <c r="D102" t="s">
        <v>27</v>
      </c>
      <c r="E102" t="s">
        <v>28</v>
      </c>
      <c r="F102" t="s">
        <v>232</v>
      </c>
      <c r="G102" s="1" t="str">
        <f>HYPERLINK("https://new.land.naver.com/complexes/15536", "클릭")</f>
        <v>클릭</v>
      </c>
      <c r="H102">
        <v>2003</v>
      </c>
      <c r="I102">
        <v>11</v>
      </c>
      <c r="J102">
        <v>89</v>
      </c>
      <c r="K102">
        <v>73</v>
      </c>
      <c r="L102" t="s">
        <v>135</v>
      </c>
      <c r="M102" t="s">
        <v>137</v>
      </c>
      <c r="N102" t="s">
        <v>150</v>
      </c>
      <c r="O102">
        <v>42000</v>
      </c>
      <c r="P102" t="s">
        <v>150</v>
      </c>
      <c r="Q102">
        <v>27000</v>
      </c>
      <c r="R102">
        <v>15000</v>
      </c>
      <c r="S102" s="2">
        <v>0.6428571428571429</v>
      </c>
      <c r="AA102" t="s">
        <v>407</v>
      </c>
    </row>
    <row r="103" spans="1:27" x14ac:dyDescent="0.3">
      <c r="A103" s="3">
        <v>101</v>
      </c>
      <c r="B103">
        <v>8800</v>
      </c>
      <c r="C103" t="s">
        <v>26</v>
      </c>
      <c r="D103" t="s">
        <v>27</v>
      </c>
      <c r="E103" t="s">
        <v>28</v>
      </c>
      <c r="F103" t="s">
        <v>108</v>
      </c>
      <c r="G103" s="1" t="str">
        <f>HYPERLINK("https://new.land.naver.com/complexes/8800", "클릭")</f>
        <v>클릭</v>
      </c>
      <c r="H103">
        <v>2000</v>
      </c>
      <c r="I103">
        <v>10</v>
      </c>
      <c r="J103">
        <v>370</v>
      </c>
      <c r="K103">
        <v>59</v>
      </c>
      <c r="L103" t="s">
        <v>136</v>
      </c>
      <c r="M103" t="s">
        <v>235</v>
      </c>
      <c r="N103" t="s">
        <v>266</v>
      </c>
      <c r="O103">
        <v>41000</v>
      </c>
      <c r="P103" t="s">
        <v>266</v>
      </c>
      <c r="Q103">
        <v>25000</v>
      </c>
      <c r="R103">
        <v>16000</v>
      </c>
      <c r="S103" s="2">
        <v>0.6097560975609756</v>
      </c>
      <c r="T103">
        <v>50500</v>
      </c>
      <c r="U103" s="2">
        <v>-0.18811881188118809</v>
      </c>
      <c r="V103">
        <v>25400</v>
      </c>
      <c r="W103" s="2">
        <v>1.6141732283464569</v>
      </c>
      <c r="AA103" t="s">
        <v>198</v>
      </c>
    </row>
    <row r="104" spans="1:27" x14ac:dyDescent="0.3">
      <c r="A104" s="3">
        <v>102</v>
      </c>
      <c r="B104">
        <v>9908</v>
      </c>
      <c r="C104" t="s">
        <v>26</v>
      </c>
      <c r="D104" t="s">
        <v>27</v>
      </c>
      <c r="E104" t="s">
        <v>31</v>
      </c>
      <c r="F104" t="s">
        <v>117</v>
      </c>
      <c r="G104" s="1" t="str">
        <f>HYPERLINK("https://new.land.naver.com/complexes/9908", "클릭")</f>
        <v>클릭</v>
      </c>
      <c r="H104">
        <v>2000</v>
      </c>
      <c r="I104">
        <v>1</v>
      </c>
      <c r="J104">
        <v>112</v>
      </c>
      <c r="K104">
        <v>59</v>
      </c>
      <c r="L104" t="s">
        <v>136</v>
      </c>
      <c r="M104" t="s">
        <v>138</v>
      </c>
      <c r="N104" t="s">
        <v>270</v>
      </c>
      <c r="O104">
        <v>40000</v>
      </c>
      <c r="P104" t="s">
        <v>270</v>
      </c>
      <c r="Q104">
        <v>27000</v>
      </c>
      <c r="R104">
        <v>13000</v>
      </c>
      <c r="S104" s="2">
        <v>0.67500000000000004</v>
      </c>
      <c r="T104">
        <v>45000</v>
      </c>
      <c r="U104" s="2">
        <v>-0.1111111111111111</v>
      </c>
      <c r="V104">
        <v>20200</v>
      </c>
      <c r="W104" s="2">
        <v>1.98019801980198</v>
      </c>
      <c r="AA104" t="s">
        <v>198</v>
      </c>
    </row>
    <row r="105" spans="1:27" x14ac:dyDescent="0.3">
      <c r="A105" s="3">
        <v>103</v>
      </c>
      <c r="B105">
        <v>13255</v>
      </c>
      <c r="C105" t="s">
        <v>26</v>
      </c>
      <c r="D105" t="s">
        <v>27</v>
      </c>
      <c r="E105" t="s">
        <v>28</v>
      </c>
      <c r="F105" t="s">
        <v>128</v>
      </c>
      <c r="G105" s="1" t="str">
        <f>HYPERLINK("https://new.land.naver.com/complexes/13255", "클릭")</f>
        <v>클릭</v>
      </c>
      <c r="H105">
        <v>2003</v>
      </c>
      <c r="I105">
        <v>8</v>
      </c>
      <c r="J105">
        <v>46</v>
      </c>
      <c r="K105">
        <v>84</v>
      </c>
      <c r="N105" t="s">
        <v>181</v>
      </c>
      <c r="O105">
        <v>40000</v>
      </c>
      <c r="P105" t="s">
        <v>181</v>
      </c>
      <c r="Q105">
        <v>30000</v>
      </c>
      <c r="R105">
        <v>10000</v>
      </c>
      <c r="S105" s="2">
        <v>0.75</v>
      </c>
      <c r="T105">
        <v>30000</v>
      </c>
      <c r="U105" s="2">
        <v>0.33333333333333331</v>
      </c>
      <c r="AA105" t="s">
        <v>206</v>
      </c>
    </row>
    <row r="106" spans="1:27" x14ac:dyDescent="0.3">
      <c r="A106" s="3">
        <v>104</v>
      </c>
      <c r="B106">
        <v>22739</v>
      </c>
      <c r="C106" t="s">
        <v>26</v>
      </c>
      <c r="D106" t="s">
        <v>27</v>
      </c>
      <c r="E106" t="s">
        <v>28</v>
      </c>
      <c r="F106" t="s">
        <v>325</v>
      </c>
      <c r="G106" s="1" t="str">
        <f>HYPERLINK("https://new.land.naver.com/complexes/22739", "클릭")</f>
        <v>클릭</v>
      </c>
      <c r="H106">
        <v>2004</v>
      </c>
      <c r="I106">
        <v>4</v>
      </c>
      <c r="J106">
        <v>15</v>
      </c>
      <c r="K106">
        <v>77</v>
      </c>
      <c r="L106" t="s">
        <v>135</v>
      </c>
      <c r="M106" t="s">
        <v>137</v>
      </c>
      <c r="N106" t="s">
        <v>358</v>
      </c>
      <c r="O106">
        <v>40000</v>
      </c>
      <c r="P106" t="s">
        <v>358</v>
      </c>
      <c r="Q106">
        <v>20000</v>
      </c>
      <c r="R106">
        <v>20000</v>
      </c>
      <c r="S106" s="2">
        <v>0.5</v>
      </c>
      <c r="V106">
        <v>18100</v>
      </c>
      <c r="W106" s="2">
        <v>2.209944751381216</v>
      </c>
      <c r="AA106" t="s">
        <v>198</v>
      </c>
    </row>
    <row r="107" spans="1:27" x14ac:dyDescent="0.3">
      <c r="A107" s="3">
        <v>105</v>
      </c>
      <c r="B107">
        <v>110236</v>
      </c>
      <c r="C107" t="s">
        <v>26</v>
      </c>
      <c r="D107" t="s">
        <v>27</v>
      </c>
      <c r="E107" t="s">
        <v>28</v>
      </c>
      <c r="F107" t="s">
        <v>129</v>
      </c>
      <c r="G107" s="1" t="str">
        <f>HYPERLINK("https://new.land.naver.com/complexes/110236", "클릭")</f>
        <v>클릭</v>
      </c>
      <c r="H107">
        <v>2000</v>
      </c>
      <c r="I107">
        <v>5</v>
      </c>
      <c r="J107">
        <v>19</v>
      </c>
      <c r="K107">
        <v>84</v>
      </c>
      <c r="L107" t="s">
        <v>135</v>
      </c>
      <c r="M107" t="s">
        <v>137</v>
      </c>
      <c r="N107" t="s">
        <v>160</v>
      </c>
      <c r="O107">
        <v>39000</v>
      </c>
      <c r="P107" t="s">
        <v>160</v>
      </c>
      <c r="Q107">
        <v>32000</v>
      </c>
      <c r="R107">
        <v>7000</v>
      </c>
      <c r="S107" s="2">
        <v>0.82051282051282048</v>
      </c>
      <c r="T107">
        <v>40500</v>
      </c>
      <c r="U107" s="2">
        <v>-3.7037037037037028E-2</v>
      </c>
      <c r="V107">
        <v>22600</v>
      </c>
      <c r="W107" s="2">
        <v>1.7256637168141591</v>
      </c>
      <c r="AA107" t="s">
        <v>198</v>
      </c>
    </row>
    <row r="108" spans="1:27" x14ac:dyDescent="0.3">
      <c r="A108" s="3">
        <v>106</v>
      </c>
      <c r="B108">
        <v>101236</v>
      </c>
      <c r="C108" t="s">
        <v>26</v>
      </c>
      <c r="D108" t="s">
        <v>27</v>
      </c>
      <c r="E108" t="s">
        <v>28</v>
      </c>
      <c r="F108" t="s">
        <v>131</v>
      </c>
      <c r="G108" s="1" t="str">
        <f>HYPERLINK("https://new.land.naver.com/complexes/101236", "클릭")</f>
        <v>클릭</v>
      </c>
      <c r="H108">
        <v>2004</v>
      </c>
      <c r="I108">
        <v>8</v>
      </c>
      <c r="J108">
        <v>15</v>
      </c>
      <c r="K108">
        <v>84</v>
      </c>
      <c r="L108" t="s">
        <v>135</v>
      </c>
      <c r="M108" t="s">
        <v>137</v>
      </c>
      <c r="N108" t="s">
        <v>189</v>
      </c>
      <c r="O108">
        <v>37000</v>
      </c>
      <c r="P108" t="s">
        <v>189</v>
      </c>
      <c r="Q108">
        <v>32000</v>
      </c>
      <c r="R108">
        <v>5000</v>
      </c>
      <c r="S108" s="2">
        <v>0.86486486486486491</v>
      </c>
      <c r="T108">
        <v>29500</v>
      </c>
      <c r="U108" s="2">
        <v>0.25423728813559321</v>
      </c>
      <c r="V108">
        <v>20900</v>
      </c>
      <c r="W108" s="2">
        <v>1.770334928229665</v>
      </c>
      <c r="AA108" t="s">
        <v>207</v>
      </c>
    </row>
    <row r="109" spans="1:27" x14ac:dyDescent="0.3">
      <c r="A109" s="3">
        <v>107</v>
      </c>
      <c r="B109">
        <v>8038</v>
      </c>
      <c r="C109" t="s">
        <v>26</v>
      </c>
      <c r="D109" t="s">
        <v>27</v>
      </c>
      <c r="E109" t="s">
        <v>28</v>
      </c>
      <c r="F109" t="s">
        <v>126</v>
      </c>
      <c r="G109" s="1" t="str">
        <f>HYPERLINK("https://new.land.naver.com/complexes/8038", "클릭")</f>
        <v>클릭</v>
      </c>
      <c r="H109">
        <v>2000</v>
      </c>
      <c r="I109">
        <v>10</v>
      </c>
      <c r="J109">
        <v>168</v>
      </c>
      <c r="K109">
        <v>59</v>
      </c>
      <c r="L109" t="s">
        <v>136</v>
      </c>
      <c r="M109" t="s">
        <v>138</v>
      </c>
      <c r="N109" t="s">
        <v>271</v>
      </c>
      <c r="O109">
        <v>35500</v>
      </c>
      <c r="P109" t="s">
        <v>271</v>
      </c>
      <c r="Q109">
        <v>26000</v>
      </c>
      <c r="R109">
        <v>9500</v>
      </c>
      <c r="S109" s="2">
        <v>0.73239436619718312</v>
      </c>
      <c r="T109">
        <v>43000</v>
      </c>
      <c r="U109" s="2">
        <v>-0.1744186046511628</v>
      </c>
      <c r="V109">
        <v>22500</v>
      </c>
      <c r="W109" s="2">
        <v>1.5777777777777779</v>
      </c>
      <c r="AA109" t="s">
        <v>198</v>
      </c>
    </row>
    <row r="110" spans="1:27" x14ac:dyDescent="0.3">
      <c r="A110" s="3">
        <v>108</v>
      </c>
      <c r="B110">
        <v>15536</v>
      </c>
      <c r="C110" t="s">
        <v>26</v>
      </c>
      <c r="D110" t="s">
        <v>27</v>
      </c>
      <c r="E110" t="s">
        <v>28</v>
      </c>
      <c r="F110" t="s">
        <v>232</v>
      </c>
      <c r="G110" s="1" t="str">
        <f>HYPERLINK("https://new.land.naver.com/complexes/15536", "클릭")</f>
        <v>클릭</v>
      </c>
      <c r="H110">
        <v>2003</v>
      </c>
      <c r="I110">
        <v>11</v>
      </c>
      <c r="J110">
        <v>89</v>
      </c>
      <c r="K110">
        <v>57</v>
      </c>
      <c r="L110" t="s">
        <v>135</v>
      </c>
      <c r="M110" t="s">
        <v>138</v>
      </c>
      <c r="N110" t="s">
        <v>263</v>
      </c>
      <c r="O110">
        <v>35000</v>
      </c>
      <c r="P110" t="s">
        <v>263</v>
      </c>
      <c r="Q110">
        <v>24000</v>
      </c>
      <c r="R110">
        <v>11000</v>
      </c>
      <c r="S110" s="2">
        <v>0.68571428571428572</v>
      </c>
      <c r="T110">
        <v>30000</v>
      </c>
      <c r="U110" s="2">
        <v>0.16666666666666671</v>
      </c>
      <c r="V110">
        <v>22800</v>
      </c>
      <c r="W110" s="2">
        <v>1.5350877192982459</v>
      </c>
      <c r="AA110" t="s">
        <v>198</v>
      </c>
    </row>
    <row r="111" spans="1:27" x14ac:dyDescent="0.3">
      <c r="A111" s="3">
        <v>109</v>
      </c>
      <c r="B111">
        <v>8038</v>
      </c>
      <c r="C111" t="s">
        <v>26</v>
      </c>
      <c r="D111" t="s">
        <v>27</v>
      </c>
      <c r="E111" t="s">
        <v>28</v>
      </c>
      <c r="F111" t="s">
        <v>126</v>
      </c>
      <c r="G111" s="1" t="str">
        <f>HYPERLINK("https://new.land.naver.com/complexes/8038", "클릭")</f>
        <v>클릭</v>
      </c>
      <c r="H111">
        <v>2000</v>
      </c>
      <c r="I111">
        <v>10</v>
      </c>
      <c r="J111">
        <v>168</v>
      </c>
      <c r="K111">
        <v>55</v>
      </c>
      <c r="L111" t="s">
        <v>136</v>
      </c>
      <c r="M111" t="s">
        <v>138</v>
      </c>
      <c r="N111" t="s">
        <v>248</v>
      </c>
      <c r="O111">
        <v>35000</v>
      </c>
      <c r="P111" t="s">
        <v>248</v>
      </c>
      <c r="Q111">
        <v>25000</v>
      </c>
      <c r="R111">
        <v>10000</v>
      </c>
      <c r="S111" s="2">
        <v>0.7142857142857143</v>
      </c>
      <c r="V111">
        <v>20300</v>
      </c>
      <c r="W111" s="2">
        <v>1.7241379310344831</v>
      </c>
      <c r="AA111" t="s">
        <v>287</v>
      </c>
    </row>
    <row r="112" spans="1:27" x14ac:dyDescent="0.3">
      <c r="A112" s="3">
        <v>110</v>
      </c>
      <c r="B112">
        <v>3080</v>
      </c>
      <c r="C112" t="s">
        <v>26</v>
      </c>
      <c r="D112" t="s">
        <v>27</v>
      </c>
      <c r="E112" t="s">
        <v>31</v>
      </c>
      <c r="F112" t="s">
        <v>102</v>
      </c>
      <c r="G112" s="1" t="str">
        <f>HYPERLINK("https://new.land.naver.com/complexes/3080", "클릭")</f>
        <v>클릭</v>
      </c>
      <c r="H112">
        <v>2003</v>
      </c>
      <c r="I112">
        <v>3</v>
      </c>
      <c r="J112">
        <v>2044</v>
      </c>
      <c r="K112">
        <v>49</v>
      </c>
      <c r="L112" t="s">
        <v>136</v>
      </c>
      <c r="M112" t="s">
        <v>235</v>
      </c>
      <c r="N112" t="s">
        <v>356</v>
      </c>
      <c r="O112">
        <v>34000</v>
      </c>
      <c r="P112" t="s">
        <v>356</v>
      </c>
      <c r="Q112">
        <v>25000</v>
      </c>
      <c r="R112">
        <v>9000</v>
      </c>
      <c r="S112" s="2">
        <v>0.73529411764705888</v>
      </c>
      <c r="V112">
        <v>20200</v>
      </c>
      <c r="W112" s="2">
        <v>1.6831683168316831</v>
      </c>
      <c r="AA112" t="s">
        <v>198</v>
      </c>
    </row>
    <row r="113" spans="1:27" x14ac:dyDescent="0.3">
      <c r="A113" s="3">
        <v>111</v>
      </c>
      <c r="B113">
        <v>13255</v>
      </c>
      <c r="C113" t="s">
        <v>26</v>
      </c>
      <c r="D113" t="s">
        <v>27</v>
      </c>
      <c r="E113" t="s">
        <v>28</v>
      </c>
      <c r="F113" t="s">
        <v>128</v>
      </c>
      <c r="G113" s="1" t="str">
        <f>HYPERLINK("https://new.land.naver.com/complexes/13255", "클릭")</f>
        <v>클릭</v>
      </c>
      <c r="H113">
        <v>2003</v>
      </c>
      <c r="I113">
        <v>8</v>
      </c>
      <c r="J113">
        <v>46</v>
      </c>
      <c r="K113">
        <v>68</v>
      </c>
      <c r="L113" t="s">
        <v>135</v>
      </c>
      <c r="M113" t="s">
        <v>137</v>
      </c>
      <c r="N113" t="s">
        <v>263</v>
      </c>
      <c r="O113">
        <v>33000</v>
      </c>
      <c r="P113" t="s">
        <v>263</v>
      </c>
      <c r="Q113">
        <v>28000</v>
      </c>
      <c r="R113">
        <v>5000</v>
      </c>
      <c r="S113" s="2">
        <v>0.84848484848484851</v>
      </c>
      <c r="V113">
        <v>17300</v>
      </c>
      <c r="W113" s="2">
        <v>1.9075144508670521</v>
      </c>
      <c r="AA113" t="s">
        <v>412</v>
      </c>
    </row>
    <row r="114" spans="1:27" x14ac:dyDescent="0.3">
      <c r="A114" s="3">
        <v>112</v>
      </c>
      <c r="B114">
        <v>101236</v>
      </c>
      <c r="C114" t="s">
        <v>26</v>
      </c>
      <c r="D114" t="s">
        <v>27</v>
      </c>
      <c r="E114" t="s">
        <v>28</v>
      </c>
      <c r="F114" t="s">
        <v>131</v>
      </c>
      <c r="G114" s="1" t="str">
        <f>HYPERLINK("https://new.land.naver.com/complexes/101236", "클릭")</f>
        <v>클릭</v>
      </c>
      <c r="H114">
        <v>2004</v>
      </c>
      <c r="I114">
        <v>8</v>
      </c>
      <c r="J114">
        <v>15</v>
      </c>
      <c r="K114">
        <v>62</v>
      </c>
      <c r="L114" t="s">
        <v>135</v>
      </c>
      <c r="M114" t="s">
        <v>338</v>
      </c>
      <c r="N114" t="s">
        <v>371</v>
      </c>
      <c r="O114">
        <v>30000</v>
      </c>
      <c r="AA114" t="s">
        <v>391</v>
      </c>
    </row>
    <row r="115" spans="1:27" x14ac:dyDescent="0.3">
      <c r="A115" s="3">
        <v>113</v>
      </c>
      <c r="B115">
        <v>2805</v>
      </c>
      <c r="C115" t="s">
        <v>26</v>
      </c>
      <c r="D115" t="s">
        <v>27</v>
      </c>
      <c r="E115" t="s">
        <v>30</v>
      </c>
      <c r="F115" t="s">
        <v>94</v>
      </c>
      <c r="G115" s="1" t="str">
        <f>HYPERLINK("https://new.land.naver.com/complexes/2805", "클릭")</f>
        <v>클릭</v>
      </c>
      <c r="H115">
        <v>2000</v>
      </c>
      <c r="I115">
        <v>4</v>
      </c>
      <c r="J115">
        <v>230</v>
      </c>
      <c r="K115">
        <v>36</v>
      </c>
      <c r="L115" t="s">
        <v>136</v>
      </c>
      <c r="M115" t="s">
        <v>236</v>
      </c>
      <c r="N115" t="s">
        <v>500</v>
      </c>
      <c r="O115">
        <v>29000</v>
      </c>
      <c r="P115" t="s">
        <v>500</v>
      </c>
      <c r="Q115">
        <v>21000</v>
      </c>
      <c r="R115">
        <v>8000</v>
      </c>
      <c r="S115" s="2">
        <v>0.72413793103448276</v>
      </c>
      <c r="V115">
        <v>17400</v>
      </c>
      <c r="W115" s="2">
        <v>1.666666666666667</v>
      </c>
      <c r="AA115" t="s">
        <v>198</v>
      </c>
    </row>
    <row r="116" spans="1:27" x14ac:dyDescent="0.3">
      <c r="A116" s="3">
        <v>114</v>
      </c>
      <c r="B116">
        <v>3080</v>
      </c>
      <c r="C116" t="s">
        <v>26</v>
      </c>
      <c r="D116" t="s">
        <v>27</v>
      </c>
      <c r="E116" t="s">
        <v>31</v>
      </c>
      <c r="F116" t="s">
        <v>102</v>
      </c>
      <c r="G116" s="1" t="str">
        <f>HYPERLINK("https://new.land.naver.com/complexes/3080", "클릭")</f>
        <v>클릭</v>
      </c>
      <c r="H116">
        <v>2003</v>
      </c>
      <c r="I116">
        <v>3</v>
      </c>
      <c r="J116">
        <v>2044</v>
      </c>
      <c r="K116">
        <v>39</v>
      </c>
      <c r="L116" t="s">
        <v>136</v>
      </c>
      <c r="M116" t="s">
        <v>236</v>
      </c>
      <c r="N116" t="s">
        <v>485</v>
      </c>
      <c r="O116">
        <v>24200</v>
      </c>
      <c r="P116" t="s">
        <v>485</v>
      </c>
      <c r="Q116">
        <v>16000</v>
      </c>
      <c r="R116">
        <v>8200</v>
      </c>
      <c r="S116" s="2">
        <v>0.66115702479338845</v>
      </c>
      <c r="V116">
        <v>17300</v>
      </c>
      <c r="W116" s="2">
        <v>1.398843930635838</v>
      </c>
      <c r="AA116" t="s">
        <v>198</v>
      </c>
    </row>
    <row r="117" spans="1:27" x14ac:dyDescent="0.3">
      <c r="A117" s="3">
        <v>115</v>
      </c>
      <c r="B117">
        <v>8812</v>
      </c>
      <c r="C117" t="s">
        <v>26</v>
      </c>
      <c r="D117" t="s">
        <v>27</v>
      </c>
      <c r="E117" t="s">
        <v>28</v>
      </c>
      <c r="F117" t="s">
        <v>103</v>
      </c>
      <c r="G117" s="1" t="str">
        <f>HYPERLINK("https://new.land.naver.com/complexes/8812", "클릭")</f>
        <v>클릭</v>
      </c>
      <c r="H117">
        <v>2001</v>
      </c>
      <c r="I117">
        <v>4</v>
      </c>
      <c r="J117">
        <v>136</v>
      </c>
      <c r="K117">
        <v>46</v>
      </c>
      <c r="L117" t="s">
        <v>135</v>
      </c>
      <c r="M117" t="s">
        <v>236</v>
      </c>
      <c r="N117" t="s">
        <v>371</v>
      </c>
      <c r="O117">
        <v>23000</v>
      </c>
      <c r="P117" t="s">
        <v>371</v>
      </c>
      <c r="Q117">
        <v>16000</v>
      </c>
      <c r="R117">
        <v>7000</v>
      </c>
      <c r="S117" s="2">
        <v>0.69565217391304346</v>
      </c>
      <c r="V117">
        <v>13200</v>
      </c>
      <c r="W117" s="2">
        <v>1.742424242424242</v>
      </c>
      <c r="AA117" t="s">
        <v>198</v>
      </c>
    </row>
    <row r="118" spans="1:27" x14ac:dyDescent="0.3">
      <c r="A118" s="3">
        <v>116</v>
      </c>
      <c r="B118">
        <v>8812</v>
      </c>
      <c r="C118" t="s">
        <v>26</v>
      </c>
      <c r="D118" t="s">
        <v>27</v>
      </c>
      <c r="E118" t="s">
        <v>28</v>
      </c>
      <c r="F118" t="s">
        <v>103</v>
      </c>
      <c r="G118" s="1" t="str">
        <f>HYPERLINK("https://new.land.naver.com/complexes/8812", "클릭")</f>
        <v>클릭</v>
      </c>
      <c r="H118">
        <v>2001</v>
      </c>
      <c r="I118">
        <v>4</v>
      </c>
      <c r="J118">
        <v>136</v>
      </c>
      <c r="K118">
        <v>36</v>
      </c>
      <c r="L118" t="s">
        <v>135</v>
      </c>
      <c r="M118" t="s">
        <v>236</v>
      </c>
      <c r="N118" t="s">
        <v>484</v>
      </c>
      <c r="O118">
        <v>20000</v>
      </c>
      <c r="V118">
        <v>11500</v>
      </c>
      <c r="W118" s="2">
        <v>1.7391304347826091</v>
      </c>
      <c r="AA118" t="s">
        <v>198</v>
      </c>
    </row>
    <row r="119" spans="1:27" x14ac:dyDescent="0.3">
      <c r="A119" s="3">
        <v>117</v>
      </c>
      <c r="B119">
        <v>23569</v>
      </c>
      <c r="C119" t="s">
        <v>26</v>
      </c>
      <c r="D119" t="s">
        <v>27</v>
      </c>
      <c r="E119" t="s">
        <v>31</v>
      </c>
      <c r="F119" t="s">
        <v>294</v>
      </c>
      <c r="G119" s="1" t="str">
        <f>HYPERLINK("https://new.land.naver.com/complexes/23569", "클릭")</f>
        <v>클릭</v>
      </c>
      <c r="H119">
        <v>2002</v>
      </c>
      <c r="I119">
        <v>12</v>
      </c>
      <c r="J119">
        <v>19</v>
      </c>
      <c r="K119">
        <v>75</v>
      </c>
      <c r="L119" t="s">
        <v>135</v>
      </c>
      <c r="M119" t="s">
        <v>137</v>
      </c>
      <c r="P119" t="s">
        <v>141</v>
      </c>
      <c r="Q119">
        <v>30000</v>
      </c>
      <c r="V119">
        <v>42900</v>
      </c>
    </row>
    <row r="120" spans="1:27" x14ac:dyDescent="0.3">
      <c r="A120" s="3">
        <v>118</v>
      </c>
      <c r="B120">
        <v>23137</v>
      </c>
      <c r="C120" t="s">
        <v>26</v>
      </c>
      <c r="D120" t="s">
        <v>27</v>
      </c>
      <c r="E120" t="s">
        <v>29</v>
      </c>
      <c r="F120" t="s">
        <v>133</v>
      </c>
      <c r="G120" s="1" t="str">
        <f>HYPERLINK("https://new.land.naver.com/complexes/23137", "클릭")</f>
        <v>클릭</v>
      </c>
      <c r="H120">
        <v>2002</v>
      </c>
      <c r="I120">
        <v>5</v>
      </c>
      <c r="J120">
        <v>19</v>
      </c>
      <c r="K120">
        <v>84</v>
      </c>
      <c r="L120" t="s">
        <v>135</v>
      </c>
      <c r="M120" t="s">
        <v>137</v>
      </c>
      <c r="P120" t="s">
        <v>162</v>
      </c>
      <c r="Q120">
        <v>35000</v>
      </c>
      <c r="T120">
        <v>40000</v>
      </c>
    </row>
    <row r="121" spans="1:27" x14ac:dyDescent="0.3">
      <c r="A121" s="3">
        <v>119</v>
      </c>
      <c r="B121">
        <v>19662</v>
      </c>
      <c r="C121" t="s">
        <v>26</v>
      </c>
      <c r="D121" t="s">
        <v>27</v>
      </c>
      <c r="E121" t="s">
        <v>28</v>
      </c>
      <c r="F121" t="s">
        <v>100</v>
      </c>
      <c r="G121" s="1" t="str">
        <f>HYPERLINK("https://new.land.naver.com/complexes/19662", "클릭")</f>
        <v>클릭</v>
      </c>
      <c r="H121">
        <v>2005</v>
      </c>
      <c r="I121">
        <v>9</v>
      </c>
      <c r="J121">
        <v>60</v>
      </c>
      <c r="K121">
        <v>69</v>
      </c>
      <c r="P121" t="s">
        <v>341</v>
      </c>
      <c r="Q121">
        <v>30000</v>
      </c>
    </row>
    <row r="122" spans="1:27" x14ac:dyDescent="0.3">
      <c r="A122" s="3">
        <v>120</v>
      </c>
      <c r="B122">
        <v>19128</v>
      </c>
      <c r="C122" t="s">
        <v>26</v>
      </c>
      <c r="D122" t="s">
        <v>27</v>
      </c>
      <c r="E122" t="s">
        <v>28</v>
      </c>
      <c r="F122" t="s">
        <v>107</v>
      </c>
      <c r="G122" s="1" t="str">
        <f>HYPERLINK("https://new.land.naver.com/complexes/19128", "클릭")</f>
        <v>클릭</v>
      </c>
      <c r="H122">
        <v>2005</v>
      </c>
      <c r="I122">
        <v>9</v>
      </c>
      <c r="J122">
        <v>83</v>
      </c>
      <c r="K122">
        <v>119</v>
      </c>
      <c r="L122" t="s">
        <v>135</v>
      </c>
      <c r="M122" t="s">
        <v>139</v>
      </c>
      <c r="P122" t="s">
        <v>621</v>
      </c>
      <c r="Q122">
        <v>52000</v>
      </c>
      <c r="V122">
        <v>35800</v>
      </c>
    </row>
  </sheetData>
  <phoneticPr fontId="4" type="noConversion"/>
  <conditionalFormatting sqref="H2:H1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22">
    <cfRule type="containsBlanks" dxfId="5" priority="4">
      <formula>LEN(TRIM(R2))=0</formula>
    </cfRule>
    <cfRule type="cellIs" dxfId="4" priority="5" operator="lessThanOrEqual">
      <formula>10000</formula>
    </cfRule>
  </conditionalFormatting>
  <conditionalFormatting sqref="S2:S122">
    <cfRule type="cellIs" dxfId="3" priority="1" operator="greaterThanOrEqual">
      <formula>0.7</formula>
    </cfRule>
  </conditionalFormatting>
  <conditionalFormatting sqref="U2:U1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02"/>
  <sheetViews>
    <sheetView workbookViewId="0"/>
  </sheetViews>
  <sheetFormatPr defaultRowHeight="16.5" x14ac:dyDescent="0.3"/>
  <cols>
    <col min="1" max="1" width="4" bestFit="1" customWidth="1"/>
    <col min="2" max="2" width="6.75" bestFit="1" customWidth="1"/>
    <col min="3" max="3" width="4.375" bestFit="1" customWidth="1"/>
    <col min="4" max="4" width="8.25" bestFit="1" customWidth="1"/>
    <col min="5" max="5" width="4.375" bestFit="1" customWidth="1"/>
    <col min="6" max="6" width="15" bestFit="1" customWidth="1"/>
    <col min="7" max="7" width="7.875" style="1" bestFit="1" customWidth="1"/>
    <col min="8" max="8" width="5.625" bestFit="1" customWidth="1"/>
    <col min="9" max="9" width="4.375" bestFit="1" customWidth="1"/>
    <col min="10" max="10" width="5" bestFit="1" customWidth="1"/>
    <col min="11" max="12" width="5.625" bestFit="1" customWidth="1"/>
    <col min="13" max="13" width="5.25" bestFit="1" customWidth="1"/>
    <col min="14" max="14" width="5.625" bestFit="1" customWidth="1"/>
    <col min="15" max="15" width="9" bestFit="1" customWidth="1"/>
    <col min="16" max="16" width="5.625" bestFit="1" customWidth="1"/>
    <col min="17" max="17" width="9" bestFit="1" customWidth="1"/>
    <col min="18" max="18" width="8" bestFit="1" customWidth="1"/>
    <col min="19" max="19" width="20" style="2" bestFit="1" customWidth="1"/>
    <col min="20" max="20" width="9" bestFit="1" customWidth="1"/>
    <col min="21" max="21" width="22" style="2" bestFit="1" customWidth="1"/>
    <col min="22" max="22" width="9" bestFit="1" customWidth="1"/>
    <col min="23" max="23" width="19" style="2" bestFit="1" customWidth="1"/>
    <col min="24" max="25" width="7.125" bestFit="1" customWidth="1"/>
    <col min="26" max="26" width="5.625" bestFit="1" customWidth="1"/>
    <col min="27" max="27" width="10.75" bestFit="1" customWidth="1"/>
  </cols>
  <sheetData>
    <row r="1" spans="1:27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3">
        <v>0</v>
      </c>
      <c r="B2">
        <v>1456</v>
      </c>
      <c r="C2" t="s">
        <v>26</v>
      </c>
      <c r="D2" t="s">
        <v>27</v>
      </c>
      <c r="E2" t="s">
        <v>28</v>
      </c>
      <c r="F2" t="s">
        <v>529</v>
      </c>
      <c r="G2" s="1" t="str">
        <f>HYPERLINK("https://new.land.naver.com/complexes/1456", "클릭")</f>
        <v>클릭</v>
      </c>
      <c r="H2">
        <v>1993</v>
      </c>
      <c r="I2">
        <v>7</v>
      </c>
      <c r="J2">
        <v>440</v>
      </c>
      <c r="K2">
        <v>161</v>
      </c>
      <c r="L2" t="s">
        <v>135</v>
      </c>
      <c r="M2" t="s">
        <v>551</v>
      </c>
      <c r="N2" t="s">
        <v>555</v>
      </c>
      <c r="O2">
        <v>190000</v>
      </c>
      <c r="P2" t="s">
        <v>555</v>
      </c>
      <c r="Q2">
        <v>100000</v>
      </c>
      <c r="R2">
        <v>90000</v>
      </c>
      <c r="S2" s="2">
        <v>0.52631578947368418</v>
      </c>
      <c r="V2">
        <v>103200</v>
      </c>
      <c r="W2" s="2">
        <v>1.841085271317829</v>
      </c>
      <c r="AA2" t="s">
        <v>198</v>
      </c>
    </row>
    <row r="3" spans="1:27" x14ac:dyDescent="0.3">
      <c r="A3" s="3">
        <v>1</v>
      </c>
      <c r="B3">
        <v>1451</v>
      </c>
      <c r="C3" t="s">
        <v>26</v>
      </c>
      <c r="D3" t="s">
        <v>27</v>
      </c>
      <c r="E3" t="s">
        <v>30</v>
      </c>
      <c r="F3" t="s">
        <v>530</v>
      </c>
      <c r="G3" s="1" t="str">
        <f>HYPERLINK("https://new.land.naver.com/complexes/1451", "클릭")</f>
        <v>클릭</v>
      </c>
      <c r="H3">
        <v>1993</v>
      </c>
      <c r="I3">
        <v>11</v>
      </c>
      <c r="J3">
        <v>422</v>
      </c>
      <c r="K3">
        <v>158</v>
      </c>
      <c r="L3" t="s">
        <v>135</v>
      </c>
      <c r="M3" t="s">
        <v>139</v>
      </c>
      <c r="N3" t="s">
        <v>556</v>
      </c>
      <c r="O3">
        <v>180000</v>
      </c>
      <c r="P3" t="s">
        <v>556</v>
      </c>
      <c r="Q3">
        <v>95000</v>
      </c>
      <c r="R3">
        <v>85000</v>
      </c>
      <c r="S3" s="2">
        <v>0.52777777777777779</v>
      </c>
      <c r="V3">
        <v>89700</v>
      </c>
      <c r="W3" s="2">
        <v>2.0066889632107019</v>
      </c>
      <c r="AA3" t="s">
        <v>198</v>
      </c>
    </row>
    <row r="4" spans="1:27" x14ac:dyDescent="0.3">
      <c r="A4" s="3">
        <v>2</v>
      </c>
      <c r="B4">
        <v>1459</v>
      </c>
      <c r="C4" t="s">
        <v>26</v>
      </c>
      <c r="D4" t="s">
        <v>27</v>
      </c>
      <c r="E4" t="s">
        <v>28</v>
      </c>
      <c r="F4" t="s">
        <v>531</v>
      </c>
      <c r="G4" s="1" t="str">
        <f>HYPERLINK("https://new.land.naver.com/complexes/1459", "클릭")</f>
        <v>클릭</v>
      </c>
      <c r="H4">
        <v>1992</v>
      </c>
      <c r="I4">
        <v>9</v>
      </c>
      <c r="J4">
        <v>466</v>
      </c>
      <c r="K4">
        <v>158</v>
      </c>
      <c r="L4" t="s">
        <v>135</v>
      </c>
      <c r="M4" t="s">
        <v>139</v>
      </c>
      <c r="N4" t="s">
        <v>558</v>
      </c>
      <c r="O4">
        <v>175000</v>
      </c>
      <c r="P4" t="s">
        <v>558</v>
      </c>
      <c r="Q4">
        <v>85000</v>
      </c>
      <c r="R4">
        <v>90000</v>
      </c>
      <c r="S4" s="2">
        <v>0.48571428571428571</v>
      </c>
      <c r="V4">
        <v>100000</v>
      </c>
      <c r="W4" s="2">
        <v>1.75</v>
      </c>
      <c r="AA4" t="s">
        <v>198</v>
      </c>
    </row>
    <row r="5" spans="1:27" x14ac:dyDescent="0.3">
      <c r="A5" s="3">
        <v>3</v>
      </c>
      <c r="B5">
        <v>1457</v>
      </c>
      <c r="C5" t="s">
        <v>26</v>
      </c>
      <c r="D5" t="s">
        <v>27</v>
      </c>
      <c r="E5" t="s">
        <v>28</v>
      </c>
      <c r="F5" t="s">
        <v>532</v>
      </c>
      <c r="G5" s="1" t="str">
        <f>HYPERLINK("https://new.land.naver.com/complexes/1457", "클릭")</f>
        <v>클릭</v>
      </c>
      <c r="H5">
        <v>1992</v>
      </c>
      <c r="I5">
        <v>11</v>
      </c>
      <c r="J5">
        <v>480</v>
      </c>
      <c r="K5">
        <v>172</v>
      </c>
      <c r="L5" t="s">
        <v>135</v>
      </c>
      <c r="M5" t="s">
        <v>552</v>
      </c>
      <c r="N5" t="s">
        <v>559</v>
      </c>
      <c r="O5">
        <v>172000</v>
      </c>
      <c r="P5" t="s">
        <v>559</v>
      </c>
      <c r="Q5">
        <v>120000</v>
      </c>
      <c r="R5">
        <v>52000</v>
      </c>
      <c r="S5" s="2">
        <v>0.69767441860465118</v>
      </c>
      <c r="V5">
        <v>94900</v>
      </c>
      <c r="W5" s="2">
        <v>1.812434141201265</v>
      </c>
      <c r="AA5" t="s">
        <v>198</v>
      </c>
    </row>
    <row r="6" spans="1:27" x14ac:dyDescent="0.3">
      <c r="A6" s="3">
        <v>4</v>
      </c>
      <c r="B6">
        <v>1448</v>
      </c>
      <c r="C6" t="s">
        <v>26</v>
      </c>
      <c r="D6" t="s">
        <v>27</v>
      </c>
      <c r="E6" t="s">
        <v>30</v>
      </c>
      <c r="F6" t="s">
        <v>533</v>
      </c>
      <c r="G6" s="1" t="str">
        <f>HYPERLINK("https://new.land.naver.com/complexes/1448", "클릭")</f>
        <v>클릭</v>
      </c>
      <c r="H6">
        <v>1993</v>
      </c>
      <c r="I6">
        <v>9</v>
      </c>
      <c r="J6">
        <v>250</v>
      </c>
      <c r="K6">
        <v>133</v>
      </c>
      <c r="L6" t="s">
        <v>135</v>
      </c>
      <c r="M6" t="s">
        <v>139</v>
      </c>
      <c r="N6" t="s">
        <v>560</v>
      </c>
      <c r="O6">
        <v>170000</v>
      </c>
      <c r="P6" t="s">
        <v>560</v>
      </c>
      <c r="Q6">
        <v>89000</v>
      </c>
      <c r="R6">
        <v>81000</v>
      </c>
      <c r="S6" s="2">
        <v>0.52352941176470591</v>
      </c>
      <c r="V6">
        <v>87800</v>
      </c>
      <c r="W6" s="2">
        <v>1.93621867881549</v>
      </c>
      <c r="AA6" t="s">
        <v>198</v>
      </c>
    </row>
    <row r="7" spans="1:27" x14ac:dyDescent="0.3">
      <c r="A7" s="3">
        <v>5</v>
      </c>
      <c r="B7">
        <v>1450</v>
      </c>
      <c r="C7" t="s">
        <v>26</v>
      </c>
      <c r="D7" t="s">
        <v>27</v>
      </c>
      <c r="E7" t="s">
        <v>30</v>
      </c>
      <c r="F7" t="s">
        <v>42</v>
      </c>
      <c r="G7" s="1" t="str">
        <f>HYPERLINK("https://new.land.naver.com/complexes/1450", "클릭")</f>
        <v>클릭</v>
      </c>
      <c r="H7">
        <v>1992</v>
      </c>
      <c r="I7">
        <v>9</v>
      </c>
      <c r="J7">
        <v>548</v>
      </c>
      <c r="K7">
        <v>154</v>
      </c>
      <c r="L7" t="s">
        <v>135</v>
      </c>
      <c r="M7" t="s">
        <v>551</v>
      </c>
      <c r="N7" t="s">
        <v>561</v>
      </c>
      <c r="O7">
        <v>170000</v>
      </c>
      <c r="P7" t="s">
        <v>561</v>
      </c>
      <c r="Q7">
        <v>83000</v>
      </c>
      <c r="R7">
        <v>87000</v>
      </c>
      <c r="S7" s="2">
        <v>0.48823529411764699</v>
      </c>
      <c r="V7">
        <v>80800</v>
      </c>
      <c r="W7" s="2">
        <v>2.1039603960396041</v>
      </c>
      <c r="AA7" t="s">
        <v>198</v>
      </c>
    </row>
    <row r="8" spans="1:27" x14ac:dyDescent="0.3">
      <c r="A8" s="3">
        <v>6</v>
      </c>
      <c r="B8">
        <v>1453</v>
      </c>
      <c r="C8" t="s">
        <v>26</v>
      </c>
      <c r="D8" t="s">
        <v>27</v>
      </c>
      <c r="E8" t="s">
        <v>30</v>
      </c>
      <c r="F8" t="s">
        <v>535</v>
      </c>
      <c r="G8" s="1" t="str">
        <f>HYPERLINK("https://new.land.naver.com/complexes/1453", "클릭")</f>
        <v>클릭</v>
      </c>
      <c r="H8">
        <v>1993</v>
      </c>
      <c r="I8">
        <v>11</v>
      </c>
      <c r="J8">
        <v>386</v>
      </c>
      <c r="K8">
        <v>183</v>
      </c>
      <c r="L8" t="s">
        <v>135</v>
      </c>
      <c r="M8" t="s">
        <v>551</v>
      </c>
      <c r="N8" t="s">
        <v>563</v>
      </c>
      <c r="O8">
        <v>170000</v>
      </c>
      <c r="P8" t="s">
        <v>563</v>
      </c>
      <c r="Q8">
        <v>95000</v>
      </c>
      <c r="R8">
        <v>75000</v>
      </c>
      <c r="S8" s="2">
        <v>0.55882352941176472</v>
      </c>
      <c r="V8">
        <v>95600</v>
      </c>
      <c r="W8" s="2">
        <v>1.7782426778242679</v>
      </c>
      <c r="AA8" t="s">
        <v>198</v>
      </c>
    </row>
    <row r="9" spans="1:27" x14ac:dyDescent="0.3">
      <c r="A9" s="3">
        <v>7</v>
      </c>
      <c r="B9">
        <v>1457</v>
      </c>
      <c r="C9" t="s">
        <v>26</v>
      </c>
      <c r="D9" t="s">
        <v>27</v>
      </c>
      <c r="E9" t="s">
        <v>28</v>
      </c>
      <c r="F9" t="s">
        <v>532</v>
      </c>
      <c r="G9" s="1" t="str">
        <f>HYPERLINK("https://new.land.naver.com/complexes/1457", "클릭")</f>
        <v>클릭</v>
      </c>
      <c r="H9">
        <v>1992</v>
      </c>
      <c r="I9">
        <v>11</v>
      </c>
      <c r="J9">
        <v>480</v>
      </c>
      <c r="K9">
        <v>152</v>
      </c>
      <c r="L9" t="s">
        <v>135</v>
      </c>
      <c r="M9" t="s">
        <v>139</v>
      </c>
      <c r="N9" t="s">
        <v>564</v>
      </c>
      <c r="O9">
        <v>168000</v>
      </c>
      <c r="P9" t="s">
        <v>564</v>
      </c>
      <c r="Q9">
        <v>80000</v>
      </c>
      <c r="R9">
        <v>88000</v>
      </c>
      <c r="S9" s="2">
        <v>0.47619047619047622</v>
      </c>
      <c r="V9">
        <v>98500</v>
      </c>
      <c r="W9" s="2">
        <v>1.7055837563451779</v>
      </c>
      <c r="AA9" t="s">
        <v>198</v>
      </c>
    </row>
    <row r="10" spans="1:27" x14ac:dyDescent="0.3">
      <c r="A10" s="3">
        <v>8</v>
      </c>
      <c r="B10">
        <v>1446</v>
      </c>
      <c r="C10" t="s">
        <v>26</v>
      </c>
      <c r="D10" t="s">
        <v>27</v>
      </c>
      <c r="E10" t="s">
        <v>30</v>
      </c>
      <c r="F10" t="s">
        <v>536</v>
      </c>
      <c r="G10" s="1" t="str">
        <f>HYPERLINK("https://new.land.naver.com/complexes/1446", "클릭")</f>
        <v>클릭</v>
      </c>
      <c r="H10">
        <v>1994</v>
      </c>
      <c r="I10">
        <v>4</v>
      </c>
      <c r="J10">
        <v>386</v>
      </c>
      <c r="K10">
        <v>145</v>
      </c>
      <c r="L10" t="s">
        <v>135</v>
      </c>
      <c r="M10" t="s">
        <v>551</v>
      </c>
      <c r="N10" t="s">
        <v>567</v>
      </c>
      <c r="O10">
        <v>160000</v>
      </c>
      <c r="P10" t="s">
        <v>567</v>
      </c>
      <c r="Q10">
        <v>82500</v>
      </c>
      <c r="R10">
        <v>77500</v>
      </c>
      <c r="S10" s="2">
        <v>0.515625</v>
      </c>
      <c r="V10">
        <v>81600</v>
      </c>
      <c r="W10" s="2">
        <v>1.9607843137254899</v>
      </c>
      <c r="AA10" t="s">
        <v>198</v>
      </c>
    </row>
    <row r="11" spans="1:27" x14ac:dyDescent="0.3">
      <c r="A11" s="3">
        <v>9</v>
      </c>
      <c r="B11">
        <v>1452</v>
      </c>
      <c r="C11" t="s">
        <v>26</v>
      </c>
      <c r="D11" t="s">
        <v>27</v>
      </c>
      <c r="E11" t="s">
        <v>30</v>
      </c>
      <c r="F11" t="s">
        <v>537</v>
      </c>
      <c r="G11" s="1" t="str">
        <f>HYPERLINK("https://new.land.naver.com/complexes/1452", "클릭")</f>
        <v>클릭</v>
      </c>
      <c r="H11">
        <v>1993</v>
      </c>
      <c r="I11">
        <v>8</v>
      </c>
      <c r="J11">
        <v>566</v>
      </c>
      <c r="K11">
        <v>172</v>
      </c>
      <c r="L11" t="s">
        <v>135</v>
      </c>
      <c r="M11" t="s">
        <v>553</v>
      </c>
      <c r="N11" t="s">
        <v>568</v>
      </c>
      <c r="O11">
        <v>160000</v>
      </c>
      <c r="P11" t="s">
        <v>568</v>
      </c>
      <c r="Q11">
        <v>100000</v>
      </c>
      <c r="R11">
        <v>60000</v>
      </c>
      <c r="S11" s="2">
        <v>0.625</v>
      </c>
      <c r="V11">
        <v>94700</v>
      </c>
      <c r="W11" s="2">
        <v>1.6895459345300949</v>
      </c>
      <c r="AA11" t="s">
        <v>643</v>
      </c>
    </row>
    <row r="12" spans="1:27" x14ac:dyDescent="0.3">
      <c r="A12" s="3">
        <v>10</v>
      </c>
      <c r="B12">
        <v>1456</v>
      </c>
      <c r="C12" t="s">
        <v>26</v>
      </c>
      <c r="D12" t="s">
        <v>27</v>
      </c>
      <c r="E12" t="s">
        <v>28</v>
      </c>
      <c r="F12" t="s">
        <v>529</v>
      </c>
      <c r="G12" s="1" t="str">
        <f>HYPERLINK("https://new.land.naver.com/complexes/1456", "클릭")</f>
        <v>클릭</v>
      </c>
      <c r="H12">
        <v>1993</v>
      </c>
      <c r="I12">
        <v>7</v>
      </c>
      <c r="J12">
        <v>440</v>
      </c>
      <c r="K12">
        <v>131</v>
      </c>
      <c r="L12" t="s">
        <v>135</v>
      </c>
      <c r="M12" t="s">
        <v>139</v>
      </c>
      <c r="N12" t="s">
        <v>569</v>
      </c>
      <c r="O12">
        <v>160000</v>
      </c>
      <c r="P12" t="s">
        <v>569</v>
      </c>
      <c r="Q12">
        <v>92000</v>
      </c>
      <c r="R12">
        <v>68000</v>
      </c>
      <c r="S12" s="2">
        <v>0.57499999999999996</v>
      </c>
      <c r="V12">
        <v>96500</v>
      </c>
      <c r="W12" s="2">
        <v>1.658031088082901</v>
      </c>
      <c r="AA12" t="s">
        <v>198</v>
      </c>
    </row>
    <row r="13" spans="1:27" x14ac:dyDescent="0.3">
      <c r="A13" s="3">
        <v>11</v>
      </c>
      <c r="B13">
        <v>1457</v>
      </c>
      <c r="C13" t="s">
        <v>26</v>
      </c>
      <c r="D13" t="s">
        <v>27</v>
      </c>
      <c r="E13" t="s">
        <v>28</v>
      </c>
      <c r="F13" t="s">
        <v>532</v>
      </c>
      <c r="G13" s="1" t="str">
        <f>HYPERLINK("https://new.land.naver.com/complexes/1457", "클릭")</f>
        <v>클릭</v>
      </c>
      <c r="H13">
        <v>1992</v>
      </c>
      <c r="I13">
        <v>11</v>
      </c>
      <c r="J13">
        <v>480</v>
      </c>
      <c r="K13">
        <v>134</v>
      </c>
      <c r="L13" t="s">
        <v>135</v>
      </c>
      <c r="M13" t="s">
        <v>139</v>
      </c>
      <c r="N13" t="s">
        <v>570</v>
      </c>
      <c r="O13">
        <v>160000</v>
      </c>
      <c r="P13" t="s">
        <v>570</v>
      </c>
      <c r="Q13">
        <v>90000</v>
      </c>
      <c r="R13">
        <v>70000</v>
      </c>
      <c r="S13" s="2">
        <v>0.5625</v>
      </c>
      <c r="V13">
        <v>98200</v>
      </c>
      <c r="W13" s="2">
        <v>1.629327902240326</v>
      </c>
      <c r="AA13" t="s">
        <v>198</v>
      </c>
    </row>
    <row r="14" spans="1:27" x14ac:dyDescent="0.3">
      <c r="A14" s="3">
        <v>12</v>
      </c>
      <c r="B14">
        <v>1459</v>
      </c>
      <c r="C14" t="s">
        <v>26</v>
      </c>
      <c r="D14" t="s">
        <v>27</v>
      </c>
      <c r="E14" t="s">
        <v>28</v>
      </c>
      <c r="F14" t="s">
        <v>531</v>
      </c>
      <c r="G14" s="1" t="str">
        <f>HYPERLINK("https://new.land.naver.com/complexes/1459", "클릭")</f>
        <v>클릭</v>
      </c>
      <c r="H14">
        <v>1992</v>
      </c>
      <c r="I14">
        <v>9</v>
      </c>
      <c r="J14">
        <v>466</v>
      </c>
      <c r="K14">
        <v>133</v>
      </c>
      <c r="L14" t="s">
        <v>135</v>
      </c>
      <c r="M14" t="s">
        <v>139</v>
      </c>
      <c r="N14" t="s">
        <v>571</v>
      </c>
      <c r="O14">
        <v>160000</v>
      </c>
      <c r="P14" t="s">
        <v>571</v>
      </c>
      <c r="Q14">
        <v>95000</v>
      </c>
      <c r="R14">
        <v>65000</v>
      </c>
      <c r="S14" s="2">
        <v>0.59375</v>
      </c>
      <c r="V14">
        <v>95700</v>
      </c>
      <c r="W14" s="2">
        <v>1.671891327063741</v>
      </c>
      <c r="AA14" t="s">
        <v>198</v>
      </c>
    </row>
    <row r="15" spans="1:27" x14ac:dyDescent="0.3">
      <c r="A15" s="3">
        <v>13</v>
      </c>
      <c r="B15">
        <v>1447</v>
      </c>
      <c r="C15" t="s">
        <v>26</v>
      </c>
      <c r="D15" t="s">
        <v>27</v>
      </c>
      <c r="E15" t="s">
        <v>30</v>
      </c>
      <c r="F15" t="s">
        <v>538</v>
      </c>
      <c r="G15" s="1" t="str">
        <f>HYPERLINK("https://new.land.naver.com/complexes/1447", "클릭")</f>
        <v>클릭</v>
      </c>
      <c r="H15">
        <v>1993</v>
      </c>
      <c r="I15">
        <v>10</v>
      </c>
      <c r="J15">
        <v>196</v>
      </c>
      <c r="K15">
        <v>133</v>
      </c>
      <c r="L15" t="s">
        <v>135</v>
      </c>
      <c r="M15" t="s">
        <v>139</v>
      </c>
      <c r="N15" t="s">
        <v>560</v>
      </c>
      <c r="O15">
        <v>155000</v>
      </c>
      <c r="P15" t="s">
        <v>560</v>
      </c>
      <c r="Q15">
        <v>76000</v>
      </c>
      <c r="R15">
        <v>79000</v>
      </c>
      <c r="S15" s="2">
        <v>0.49032258064516132</v>
      </c>
      <c r="V15">
        <v>77600</v>
      </c>
      <c r="W15" s="2">
        <v>1.9974226804123709</v>
      </c>
      <c r="AA15" t="s">
        <v>287</v>
      </c>
    </row>
    <row r="16" spans="1:27" x14ac:dyDescent="0.3">
      <c r="A16" s="3">
        <v>14</v>
      </c>
      <c r="B16">
        <v>1457</v>
      </c>
      <c r="C16" t="s">
        <v>26</v>
      </c>
      <c r="D16" t="s">
        <v>27</v>
      </c>
      <c r="E16" t="s">
        <v>28</v>
      </c>
      <c r="F16" t="s">
        <v>532</v>
      </c>
      <c r="G16" s="1" t="str">
        <f>HYPERLINK("https://new.land.naver.com/complexes/1457", "클릭")</f>
        <v>클릭</v>
      </c>
      <c r="H16">
        <v>1992</v>
      </c>
      <c r="I16">
        <v>11</v>
      </c>
      <c r="J16">
        <v>480</v>
      </c>
      <c r="K16">
        <v>122</v>
      </c>
      <c r="L16" t="s">
        <v>135</v>
      </c>
      <c r="M16" t="s">
        <v>139</v>
      </c>
      <c r="N16" t="s">
        <v>574</v>
      </c>
      <c r="O16">
        <v>153000</v>
      </c>
      <c r="P16" t="s">
        <v>574</v>
      </c>
      <c r="Q16">
        <v>70000</v>
      </c>
      <c r="R16">
        <v>83000</v>
      </c>
      <c r="S16" s="2">
        <v>0.45751633986928097</v>
      </c>
      <c r="V16">
        <v>89800</v>
      </c>
      <c r="W16" s="2">
        <v>1.703786191536748</v>
      </c>
      <c r="AA16" t="s">
        <v>198</v>
      </c>
    </row>
    <row r="17" spans="1:27" x14ac:dyDescent="0.3">
      <c r="A17" s="3">
        <v>15</v>
      </c>
      <c r="B17">
        <v>1442</v>
      </c>
      <c r="C17" t="s">
        <v>26</v>
      </c>
      <c r="D17" t="s">
        <v>27</v>
      </c>
      <c r="E17" t="s">
        <v>28</v>
      </c>
      <c r="F17" t="s">
        <v>540</v>
      </c>
      <c r="G17" s="1" t="str">
        <f>HYPERLINK("https://new.land.naver.com/complexes/1442", "클릭")</f>
        <v>클릭</v>
      </c>
      <c r="H17">
        <v>1992</v>
      </c>
      <c r="I17">
        <v>9</v>
      </c>
      <c r="J17">
        <v>384</v>
      </c>
      <c r="K17">
        <v>175</v>
      </c>
      <c r="L17" t="s">
        <v>135</v>
      </c>
      <c r="M17" t="s">
        <v>139</v>
      </c>
      <c r="N17" t="s">
        <v>575</v>
      </c>
      <c r="O17">
        <v>150000</v>
      </c>
      <c r="P17" t="s">
        <v>575</v>
      </c>
      <c r="Q17">
        <v>62000</v>
      </c>
      <c r="R17">
        <v>88000</v>
      </c>
      <c r="S17" s="2">
        <v>0.41333333333333327</v>
      </c>
      <c r="V17">
        <v>70100</v>
      </c>
      <c r="W17" s="2">
        <v>2.1398002853067051</v>
      </c>
      <c r="AA17" t="s">
        <v>198</v>
      </c>
    </row>
    <row r="18" spans="1:27" x14ac:dyDescent="0.3">
      <c r="A18" s="3">
        <v>16</v>
      </c>
      <c r="B18">
        <v>1453</v>
      </c>
      <c r="C18" t="s">
        <v>26</v>
      </c>
      <c r="D18" t="s">
        <v>27</v>
      </c>
      <c r="E18" t="s">
        <v>30</v>
      </c>
      <c r="F18" t="s">
        <v>535</v>
      </c>
      <c r="G18" s="1" t="str">
        <f>HYPERLINK("https://new.land.naver.com/complexes/1453", "클릭")</f>
        <v>클릭</v>
      </c>
      <c r="H18">
        <v>1993</v>
      </c>
      <c r="I18">
        <v>11</v>
      </c>
      <c r="J18">
        <v>386</v>
      </c>
      <c r="K18">
        <v>134</v>
      </c>
      <c r="L18" t="s">
        <v>135</v>
      </c>
      <c r="M18" t="s">
        <v>139</v>
      </c>
      <c r="N18" t="s">
        <v>560</v>
      </c>
      <c r="O18">
        <v>150000</v>
      </c>
      <c r="P18" t="s">
        <v>560</v>
      </c>
      <c r="Q18">
        <v>85000</v>
      </c>
      <c r="R18">
        <v>65000</v>
      </c>
      <c r="S18" s="2">
        <v>0.56666666666666665</v>
      </c>
      <c r="V18">
        <v>81500</v>
      </c>
      <c r="W18" s="2">
        <v>1.8404907975460121</v>
      </c>
      <c r="AA18" t="s">
        <v>198</v>
      </c>
    </row>
    <row r="19" spans="1:27" x14ac:dyDescent="0.3">
      <c r="A19" s="3">
        <v>17</v>
      </c>
      <c r="B19">
        <v>1458</v>
      </c>
      <c r="C19" t="s">
        <v>26</v>
      </c>
      <c r="D19" t="s">
        <v>27</v>
      </c>
      <c r="E19" t="s">
        <v>28</v>
      </c>
      <c r="F19" t="s">
        <v>541</v>
      </c>
      <c r="G19" s="1" t="str">
        <f>HYPERLINK("https://new.land.naver.com/complexes/1458", "클릭")</f>
        <v>클릭</v>
      </c>
      <c r="H19">
        <v>1994</v>
      </c>
      <c r="I19">
        <v>7</v>
      </c>
      <c r="J19">
        <v>578</v>
      </c>
      <c r="K19">
        <v>150</v>
      </c>
      <c r="L19" t="s">
        <v>135</v>
      </c>
      <c r="M19" t="s">
        <v>139</v>
      </c>
      <c r="N19" t="s">
        <v>576</v>
      </c>
      <c r="O19">
        <v>150000</v>
      </c>
      <c r="P19" t="s">
        <v>576</v>
      </c>
      <c r="Q19">
        <v>85000</v>
      </c>
      <c r="R19">
        <v>65000</v>
      </c>
      <c r="S19" s="2">
        <v>0.56666666666666665</v>
      </c>
      <c r="V19">
        <v>95600</v>
      </c>
      <c r="W19" s="2">
        <v>1.5690376569037661</v>
      </c>
      <c r="AA19" t="s">
        <v>198</v>
      </c>
    </row>
    <row r="20" spans="1:27" x14ac:dyDescent="0.3">
      <c r="A20" s="3">
        <v>18</v>
      </c>
      <c r="B20">
        <v>1451</v>
      </c>
      <c r="C20" t="s">
        <v>26</v>
      </c>
      <c r="D20" t="s">
        <v>27</v>
      </c>
      <c r="E20" t="s">
        <v>30</v>
      </c>
      <c r="F20" t="s">
        <v>530</v>
      </c>
      <c r="G20" s="1" t="str">
        <f>HYPERLINK("https://new.land.naver.com/complexes/1451", "클릭")</f>
        <v>클릭</v>
      </c>
      <c r="H20">
        <v>1993</v>
      </c>
      <c r="I20">
        <v>11</v>
      </c>
      <c r="J20">
        <v>422</v>
      </c>
      <c r="K20">
        <v>132</v>
      </c>
      <c r="L20" t="s">
        <v>135</v>
      </c>
      <c r="M20" t="s">
        <v>139</v>
      </c>
      <c r="N20" t="s">
        <v>571</v>
      </c>
      <c r="O20">
        <v>145000</v>
      </c>
      <c r="P20" t="s">
        <v>571</v>
      </c>
      <c r="Q20">
        <v>72000</v>
      </c>
      <c r="R20">
        <v>73000</v>
      </c>
      <c r="S20" s="2">
        <v>0.49655172413793103</v>
      </c>
      <c r="V20">
        <v>82600</v>
      </c>
      <c r="W20" s="2">
        <v>1.75544794188862</v>
      </c>
      <c r="AA20" t="s">
        <v>198</v>
      </c>
    </row>
    <row r="21" spans="1:27" x14ac:dyDescent="0.3">
      <c r="A21" s="3">
        <v>19</v>
      </c>
      <c r="B21">
        <v>1452</v>
      </c>
      <c r="C21" t="s">
        <v>26</v>
      </c>
      <c r="D21" t="s">
        <v>27</v>
      </c>
      <c r="E21" t="s">
        <v>30</v>
      </c>
      <c r="F21" t="s">
        <v>537</v>
      </c>
      <c r="G21" s="1" t="str">
        <f>HYPERLINK("https://new.land.naver.com/complexes/1452", "클릭")</f>
        <v>클릭</v>
      </c>
      <c r="H21">
        <v>1993</v>
      </c>
      <c r="I21">
        <v>8</v>
      </c>
      <c r="J21">
        <v>566</v>
      </c>
      <c r="K21">
        <v>117</v>
      </c>
      <c r="L21" t="s">
        <v>135</v>
      </c>
      <c r="M21" t="s">
        <v>139</v>
      </c>
      <c r="N21" t="s">
        <v>581</v>
      </c>
      <c r="O21">
        <v>140000</v>
      </c>
      <c r="P21" t="s">
        <v>581</v>
      </c>
      <c r="Q21">
        <v>75000</v>
      </c>
      <c r="R21">
        <v>65000</v>
      </c>
      <c r="S21" s="2">
        <v>0.5357142857142857</v>
      </c>
      <c r="V21">
        <v>83800</v>
      </c>
      <c r="W21" s="2">
        <v>1.670644391408115</v>
      </c>
      <c r="AA21" t="s">
        <v>198</v>
      </c>
    </row>
    <row r="22" spans="1:27" x14ac:dyDescent="0.3">
      <c r="A22" s="3">
        <v>20</v>
      </c>
      <c r="B22">
        <v>3016</v>
      </c>
      <c r="C22" t="s">
        <v>26</v>
      </c>
      <c r="D22" t="s">
        <v>27</v>
      </c>
      <c r="E22" t="s">
        <v>28</v>
      </c>
      <c r="F22" t="s">
        <v>543</v>
      </c>
      <c r="G22" s="1" t="str">
        <f>HYPERLINK("https://new.land.naver.com/complexes/3016", "클릭")</f>
        <v>클릭</v>
      </c>
      <c r="H22">
        <v>1992</v>
      </c>
      <c r="I22">
        <v>10</v>
      </c>
      <c r="J22">
        <v>516</v>
      </c>
      <c r="K22">
        <v>164</v>
      </c>
      <c r="L22" t="s">
        <v>135</v>
      </c>
      <c r="M22" t="s">
        <v>551</v>
      </c>
      <c r="N22" t="s">
        <v>582</v>
      </c>
      <c r="O22">
        <v>140000</v>
      </c>
      <c r="P22" t="s">
        <v>582</v>
      </c>
      <c r="Q22">
        <v>85000</v>
      </c>
      <c r="R22">
        <v>55000</v>
      </c>
      <c r="S22" s="2">
        <v>0.6071428571428571</v>
      </c>
      <c r="V22">
        <v>85100</v>
      </c>
      <c r="W22" s="2">
        <v>1.6451233842538191</v>
      </c>
      <c r="AA22" t="s">
        <v>198</v>
      </c>
    </row>
    <row r="23" spans="1:27" x14ac:dyDescent="0.3">
      <c r="A23" s="3">
        <v>21</v>
      </c>
      <c r="B23">
        <v>1441</v>
      </c>
      <c r="C23" t="s">
        <v>26</v>
      </c>
      <c r="D23" t="s">
        <v>27</v>
      </c>
      <c r="E23" t="s">
        <v>28</v>
      </c>
      <c r="F23" t="s">
        <v>334</v>
      </c>
      <c r="G23" s="1" t="str">
        <f>HYPERLINK("https://new.land.naver.com/complexes/1441", "클릭")</f>
        <v>클릭</v>
      </c>
      <c r="H23">
        <v>1993</v>
      </c>
      <c r="I23">
        <v>11</v>
      </c>
      <c r="J23">
        <v>1072</v>
      </c>
      <c r="K23">
        <v>164</v>
      </c>
      <c r="L23" t="s">
        <v>135</v>
      </c>
      <c r="M23" t="s">
        <v>551</v>
      </c>
      <c r="N23" t="s">
        <v>583</v>
      </c>
      <c r="O23">
        <v>140000</v>
      </c>
      <c r="P23" t="s">
        <v>583</v>
      </c>
      <c r="Q23">
        <v>55000</v>
      </c>
      <c r="R23">
        <v>85000</v>
      </c>
      <c r="S23" s="2">
        <v>0.39285714285714279</v>
      </c>
      <c r="V23">
        <v>70200</v>
      </c>
      <c r="W23" s="2">
        <v>1.994301994301994</v>
      </c>
      <c r="AA23" t="s">
        <v>198</v>
      </c>
    </row>
    <row r="24" spans="1:27" x14ac:dyDescent="0.3">
      <c r="A24" s="3">
        <v>22</v>
      </c>
      <c r="B24">
        <v>1458</v>
      </c>
      <c r="C24" t="s">
        <v>26</v>
      </c>
      <c r="D24" t="s">
        <v>27</v>
      </c>
      <c r="E24" t="s">
        <v>28</v>
      </c>
      <c r="F24" t="s">
        <v>541</v>
      </c>
      <c r="G24" s="1" t="str">
        <f>HYPERLINK("https://new.land.naver.com/complexes/1458", "클릭")</f>
        <v>클릭</v>
      </c>
      <c r="H24">
        <v>1994</v>
      </c>
      <c r="I24">
        <v>7</v>
      </c>
      <c r="J24">
        <v>578</v>
      </c>
      <c r="K24">
        <v>128</v>
      </c>
      <c r="L24" t="s">
        <v>135</v>
      </c>
      <c r="M24" t="s">
        <v>139</v>
      </c>
      <c r="N24" t="s">
        <v>584</v>
      </c>
      <c r="O24">
        <v>140000</v>
      </c>
      <c r="P24" t="s">
        <v>584</v>
      </c>
      <c r="Q24">
        <v>72000</v>
      </c>
      <c r="R24">
        <v>68000</v>
      </c>
      <c r="S24" s="2">
        <v>0.51428571428571423</v>
      </c>
      <c r="V24">
        <v>92000</v>
      </c>
      <c r="W24" s="2">
        <v>1.5217391304347829</v>
      </c>
      <c r="AA24" t="s">
        <v>198</v>
      </c>
    </row>
    <row r="25" spans="1:27" x14ac:dyDescent="0.3">
      <c r="A25" s="3">
        <v>23</v>
      </c>
      <c r="B25">
        <v>1449</v>
      </c>
      <c r="C25" t="s">
        <v>26</v>
      </c>
      <c r="D25" t="s">
        <v>27</v>
      </c>
      <c r="E25" t="s">
        <v>30</v>
      </c>
      <c r="F25" t="s">
        <v>544</v>
      </c>
      <c r="G25" s="1" t="str">
        <f>HYPERLINK("https://new.land.naver.com/complexes/1449", "클릭")</f>
        <v>클릭</v>
      </c>
      <c r="H25">
        <v>1994</v>
      </c>
      <c r="I25">
        <v>4</v>
      </c>
      <c r="J25">
        <v>372</v>
      </c>
      <c r="K25">
        <v>130</v>
      </c>
      <c r="L25" t="s">
        <v>135</v>
      </c>
      <c r="M25" t="s">
        <v>139</v>
      </c>
      <c r="N25" t="s">
        <v>560</v>
      </c>
      <c r="O25">
        <v>140000</v>
      </c>
      <c r="P25" t="s">
        <v>560</v>
      </c>
      <c r="Q25">
        <v>80000</v>
      </c>
      <c r="R25">
        <v>60000</v>
      </c>
      <c r="S25" s="2">
        <v>0.5714285714285714</v>
      </c>
      <c r="V25">
        <v>74200</v>
      </c>
      <c r="W25" s="2">
        <v>1.8867924528301889</v>
      </c>
      <c r="AA25" t="s">
        <v>198</v>
      </c>
    </row>
    <row r="26" spans="1:27" x14ac:dyDescent="0.3">
      <c r="A26" s="3">
        <v>24</v>
      </c>
      <c r="B26">
        <v>1457</v>
      </c>
      <c r="C26" t="s">
        <v>26</v>
      </c>
      <c r="D26" t="s">
        <v>27</v>
      </c>
      <c r="E26" t="s">
        <v>28</v>
      </c>
      <c r="F26" t="s">
        <v>532</v>
      </c>
      <c r="G26" s="1" t="str">
        <f>HYPERLINK("https://new.land.naver.com/complexes/1457", "클릭")</f>
        <v>클릭</v>
      </c>
      <c r="H26">
        <v>1992</v>
      </c>
      <c r="I26">
        <v>11</v>
      </c>
      <c r="J26">
        <v>480</v>
      </c>
      <c r="K26">
        <v>98</v>
      </c>
      <c r="L26" t="s">
        <v>135</v>
      </c>
      <c r="M26" t="s">
        <v>137</v>
      </c>
      <c r="N26" t="s">
        <v>167</v>
      </c>
      <c r="O26">
        <v>140000</v>
      </c>
      <c r="P26" t="s">
        <v>167</v>
      </c>
      <c r="Q26">
        <v>70000</v>
      </c>
      <c r="R26">
        <v>70000</v>
      </c>
      <c r="S26" s="2">
        <v>0.5</v>
      </c>
      <c r="V26">
        <v>84000</v>
      </c>
      <c r="W26" s="2">
        <v>1.666666666666667</v>
      </c>
      <c r="AA26" t="s">
        <v>198</v>
      </c>
    </row>
    <row r="27" spans="1:27" x14ac:dyDescent="0.3">
      <c r="A27" s="3">
        <v>25</v>
      </c>
      <c r="B27">
        <v>1459</v>
      </c>
      <c r="C27" t="s">
        <v>26</v>
      </c>
      <c r="D27" t="s">
        <v>27</v>
      </c>
      <c r="E27" t="s">
        <v>28</v>
      </c>
      <c r="F27" t="s">
        <v>531</v>
      </c>
      <c r="G27" s="1" t="str">
        <f>HYPERLINK("https://new.land.naver.com/complexes/1459", "클릭")</f>
        <v>클릭</v>
      </c>
      <c r="H27">
        <v>1992</v>
      </c>
      <c r="I27">
        <v>9</v>
      </c>
      <c r="J27">
        <v>466</v>
      </c>
      <c r="K27">
        <v>101</v>
      </c>
      <c r="L27" t="s">
        <v>135</v>
      </c>
      <c r="M27" t="s">
        <v>139</v>
      </c>
      <c r="N27" t="s">
        <v>586</v>
      </c>
      <c r="O27">
        <v>138000</v>
      </c>
      <c r="P27" t="s">
        <v>586</v>
      </c>
      <c r="Q27">
        <v>65000</v>
      </c>
      <c r="R27">
        <v>73000</v>
      </c>
      <c r="S27" s="2">
        <v>0.47101449275362323</v>
      </c>
      <c r="V27">
        <v>75400</v>
      </c>
      <c r="W27" s="2">
        <v>1.830238726790451</v>
      </c>
      <c r="AA27" t="s">
        <v>198</v>
      </c>
    </row>
    <row r="28" spans="1:27" x14ac:dyDescent="0.3">
      <c r="A28" s="3">
        <v>26</v>
      </c>
      <c r="B28">
        <v>1446</v>
      </c>
      <c r="C28" t="s">
        <v>26</v>
      </c>
      <c r="D28" t="s">
        <v>27</v>
      </c>
      <c r="E28" t="s">
        <v>30</v>
      </c>
      <c r="F28" t="s">
        <v>536</v>
      </c>
      <c r="G28" s="1" t="str">
        <f>HYPERLINK("https://new.land.naver.com/complexes/1446", "클릭")</f>
        <v>클릭</v>
      </c>
      <c r="H28">
        <v>1994</v>
      </c>
      <c r="I28">
        <v>4</v>
      </c>
      <c r="J28">
        <v>386</v>
      </c>
      <c r="K28">
        <v>133</v>
      </c>
      <c r="L28" t="s">
        <v>135</v>
      </c>
      <c r="M28" t="s">
        <v>139</v>
      </c>
      <c r="N28" t="s">
        <v>560</v>
      </c>
      <c r="O28">
        <v>135000</v>
      </c>
      <c r="P28" t="s">
        <v>560</v>
      </c>
      <c r="Q28">
        <v>83000</v>
      </c>
      <c r="R28">
        <v>52000</v>
      </c>
      <c r="S28" s="2">
        <v>0.61481481481481481</v>
      </c>
      <c r="V28">
        <v>74900</v>
      </c>
      <c r="W28" s="2">
        <v>1.802403204272363</v>
      </c>
      <c r="AA28" t="s">
        <v>200</v>
      </c>
    </row>
    <row r="29" spans="1:27" x14ac:dyDescent="0.3">
      <c r="A29" s="3">
        <v>27</v>
      </c>
      <c r="B29">
        <v>1452</v>
      </c>
      <c r="C29" t="s">
        <v>26</v>
      </c>
      <c r="D29" t="s">
        <v>27</v>
      </c>
      <c r="E29" t="s">
        <v>30</v>
      </c>
      <c r="F29" t="s">
        <v>537</v>
      </c>
      <c r="G29" s="1" t="str">
        <f>HYPERLINK("https://new.land.naver.com/complexes/1452", "클릭")</f>
        <v>클릭</v>
      </c>
      <c r="H29">
        <v>1993</v>
      </c>
      <c r="I29">
        <v>8</v>
      </c>
      <c r="J29">
        <v>566</v>
      </c>
      <c r="K29">
        <v>96</v>
      </c>
      <c r="L29" t="s">
        <v>135</v>
      </c>
      <c r="M29" t="s">
        <v>137</v>
      </c>
      <c r="N29" t="s">
        <v>588</v>
      </c>
      <c r="O29">
        <v>135000</v>
      </c>
      <c r="P29" t="s">
        <v>588</v>
      </c>
      <c r="Q29">
        <v>65000</v>
      </c>
      <c r="R29">
        <v>70000</v>
      </c>
      <c r="S29" s="2">
        <v>0.48148148148148151</v>
      </c>
      <c r="V29">
        <v>69100</v>
      </c>
      <c r="W29" s="2">
        <v>1.953690303907381</v>
      </c>
      <c r="AA29" t="s">
        <v>198</v>
      </c>
    </row>
    <row r="30" spans="1:27" x14ac:dyDescent="0.3">
      <c r="A30" s="3">
        <v>28</v>
      </c>
      <c r="B30">
        <v>3016</v>
      </c>
      <c r="C30" t="s">
        <v>26</v>
      </c>
      <c r="D30" t="s">
        <v>27</v>
      </c>
      <c r="E30" t="s">
        <v>28</v>
      </c>
      <c r="F30" t="s">
        <v>543</v>
      </c>
      <c r="G30" s="1" t="str">
        <f>HYPERLINK("https://new.land.naver.com/complexes/3016", "클릭")</f>
        <v>클릭</v>
      </c>
      <c r="H30">
        <v>1992</v>
      </c>
      <c r="I30">
        <v>10</v>
      </c>
      <c r="J30">
        <v>516</v>
      </c>
      <c r="K30">
        <v>127</v>
      </c>
      <c r="L30" t="s">
        <v>135</v>
      </c>
      <c r="M30" t="s">
        <v>139</v>
      </c>
      <c r="N30" t="s">
        <v>584</v>
      </c>
      <c r="O30">
        <v>135000</v>
      </c>
      <c r="P30" t="s">
        <v>584</v>
      </c>
      <c r="Q30">
        <v>75000</v>
      </c>
      <c r="R30">
        <v>60000</v>
      </c>
      <c r="S30" s="2">
        <v>0.55555555555555558</v>
      </c>
      <c r="V30">
        <v>85000</v>
      </c>
      <c r="W30" s="2">
        <v>1.588235294117647</v>
      </c>
      <c r="AA30" t="s">
        <v>198</v>
      </c>
    </row>
    <row r="31" spans="1:27" x14ac:dyDescent="0.3">
      <c r="A31" s="3">
        <v>29</v>
      </c>
      <c r="B31">
        <v>1448</v>
      </c>
      <c r="C31" t="s">
        <v>26</v>
      </c>
      <c r="D31" t="s">
        <v>27</v>
      </c>
      <c r="E31" t="s">
        <v>30</v>
      </c>
      <c r="F31" t="s">
        <v>533</v>
      </c>
      <c r="G31" s="1" t="str">
        <f>HYPERLINK("https://new.land.naver.com/complexes/1448", "클릭")</f>
        <v>클릭</v>
      </c>
      <c r="H31">
        <v>1993</v>
      </c>
      <c r="I31">
        <v>9</v>
      </c>
      <c r="J31">
        <v>250</v>
      </c>
      <c r="K31">
        <v>101</v>
      </c>
      <c r="L31" t="s">
        <v>135</v>
      </c>
      <c r="M31" t="s">
        <v>139</v>
      </c>
      <c r="N31" t="s">
        <v>590</v>
      </c>
      <c r="O31">
        <v>135000</v>
      </c>
      <c r="P31" t="s">
        <v>590</v>
      </c>
      <c r="Q31">
        <v>75000</v>
      </c>
      <c r="R31">
        <v>60000</v>
      </c>
      <c r="S31" s="2">
        <v>0.55555555555555558</v>
      </c>
      <c r="V31">
        <v>70100</v>
      </c>
      <c r="W31" s="2">
        <v>1.9258202567760341</v>
      </c>
      <c r="AA31" t="s">
        <v>198</v>
      </c>
    </row>
    <row r="32" spans="1:27" x14ac:dyDescent="0.3">
      <c r="A32" s="3">
        <v>30</v>
      </c>
      <c r="B32">
        <v>1450</v>
      </c>
      <c r="C32" t="s">
        <v>26</v>
      </c>
      <c r="D32" t="s">
        <v>27</v>
      </c>
      <c r="E32" t="s">
        <v>30</v>
      </c>
      <c r="F32" t="s">
        <v>42</v>
      </c>
      <c r="G32" s="1" t="str">
        <f>HYPERLINK("https://new.land.naver.com/complexes/1450", "클릭")</f>
        <v>클릭</v>
      </c>
      <c r="H32">
        <v>1992</v>
      </c>
      <c r="I32">
        <v>9</v>
      </c>
      <c r="J32">
        <v>548</v>
      </c>
      <c r="K32">
        <v>110</v>
      </c>
      <c r="L32" t="s">
        <v>135</v>
      </c>
      <c r="M32" t="s">
        <v>139</v>
      </c>
      <c r="N32" t="s">
        <v>591</v>
      </c>
      <c r="O32">
        <v>135000</v>
      </c>
      <c r="P32" t="s">
        <v>591</v>
      </c>
      <c r="Q32">
        <v>75000</v>
      </c>
      <c r="R32">
        <v>60000</v>
      </c>
      <c r="S32" s="2">
        <v>0.55555555555555558</v>
      </c>
      <c r="V32">
        <v>69900</v>
      </c>
      <c r="W32" s="2">
        <v>1.931330472103004</v>
      </c>
      <c r="AA32" t="s">
        <v>198</v>
      </c>
    </row>
    <row r="33" spans="1:27" x14ac:dyDescent="0.3">
      <c r="A33" s="3">
        <v>31</v>
      </c>
      <c r="B33">
        <v>1444</v>
      </c>
      <c r="C33" t="s">
        <v>26</v>
      </c>
      <c r="D33" t="s">
        <v>27</v>
      </c>
      <c r="E33" t="s">
        <v>28</v>
      </c>
      <c r="F33" t="s">
        <v>545</v>
      </c>
      <c r="G33" s="1" t="str">
        <f>HYPERLINK("https://new.land.naver.com/complexes/1444", "클릭")</f>
        <v>클릭</v>
      </c>
      <c r="H33">
        <v>1992</v>
      </c>
      <c r="I33">
        <v>12</v>
      </c>
      <c r="J33">
        <v>390</v>
      </c>
      <c r="K33">
        <v>165</v>
      </c>
      <c r="L33" t="s">
        <v>135</v>
      </c>
      <c r="M33" t="s">
        <v>551</v>
      </c>
      <c r="N33" t="s">
        <v>592</v>
      </c>
      <c r="O33">
        <v>135000</v>
      </c>
      <c r="P33" t="s">
        <v>592</v>
      </c>
      <c r="Q33">
        <v>70000</v>
      </c>
      <c r="R33">
        <v>65000</v>
      </c>
      <c r="S33" s="2">
        <v>0.51851851851851849</v>
      </c>
      <c r="V33">
        <v>65300</v>
      </c>
      <c r="W33" s="2">
        <v>2.0673813169984681</v>
      </c>
      <c r="AA33" t="s">
        <v>198</v>
      </c>
    </row>
    <row r="34" spans="1:27" x14ac:dyDescent="0.3">
      <c r="A34" s="3">
        <v>32</v>
      </c>
      <c r="B34">
        <v>1447</v>
      </c>
      <c r="C34" t="s">
        <v>26</v>
      </c>
      <c r="D34" t="s">
        <v>27</v>
      </c>
      <c r="E34" t="s">
        <v>30</v>
      </c>
      <c r="F34" t="s">
        <v>538</v>
      </c>
      <c r="G34" s="1" t="str">
        <f>HYPERLINK("https://new.land.naver.com/complexes/1447", "클릭")</f>
        <v>클릭</v>
      </c>
      <c r="H34">
        <v>1993</v>
      </c>
      <c r="I34">
        <v>10</v>
      </c>
      <c r="J34">
        <v>196</v>
      </c>
      <c r="K34">
        <v>102</v>
      </c>
      <c r="L34" t="s">
        <v>135</v>
      </c>
      <c r="M34" t="s">
        <v>139</v>
      </c>
      <c r="N34" t="s">
        <v>590</v>
      </c>
      <c r="O34">
        <v>130000</v>
      </c>
      <c r="P34" t="s">
        <v>590</v>
      </c>
      <c r="Q34">
        <v>55000</v>
      </c>
      <c r="R34">
        <v>75000</v>
      </c>
      <c r="S34" s="2">
        <v>0.42307692307692307</v>
      </c>
      <c r="V34">
        <v>66500</v>
      </c>
      <c r="W34" s="2">
        <v>1.9548872180451129</v>
      </c>
      <c r="AA34" t="s">
        <v>198</v>
      </c>
    </row>
    <row r="35" spans="1:27" x14ac:dyDescent="0.3">
      <c r="A35" s="3">
        <v>33</v>
      </c>
      <c r="B35">
        <v>1456</v>
      </c>
      <c r="C35" t="s">
        <v>26</v>
      </c>
      <c r="D35" t="s">
        <v>27</v>
      </c>
      <c r="E35" t="s">
        <v>28</v>
      </c>
      <c r="F35" t="s">
        <v>529</v>
      </c>
      <c r="G35" s="1" t="str">
        <f>HYPERLINK("https://new.land.naver.com/complexes/1456", "클릭")</f>
        <v>클릭</v>
      </c>
      <c r="H35">
        <v>1993</v>
      </c>
      <c r="I35">
        <v>7</v>
      </c>
      <c r="J35">
        <v>440</v>
      </c>
      <c r="K35">
        <v>101</v>
      </c>
      <c r="L35" t="s">
        <v>135</v>
      </c>
      <c r="M35" t="s">
        <v>139</v>
      </c>
      <c r="N35" t="s">
        <v>590</v>
      </c>
      <c r="O35">
        <v>130000</v>
      </c>
      <c r="P35" t="s">
        <v>590</v>
      </c>
      <c r="Q35">
        <v>75000</v>
      </c>
      <c r="R35">
        <v>55000</v>
      </c>
      <c r="S35" s="2">
        <v>0.57692307692307687</v>
      </c>
      <c r="V35">
        <v>82400</v>
      </c>
      <c r="W35" s="2">
        <v>1.5776699029126211</v>
      </c>
      <c r="AA35" t="s">
        <v>198</v>
      </c>
    </row>
    <row r="36" spans="1:27" x14ac:dyDescent="0.3">
      <c r="A36" s="3">
        <v>34</v>
      </c>
      <c r="B36">
        <v>1451</v>
      </c>
      <c r="C36" t="s">
        <v>26</v>
      </c>
      <c r="D36" t="s">
        <v>27</v>
      </c>
      <c r="E36" t="s">
        <v>30</v>
      </c>
      <c r="F36" t="s">
        <v>530</v>
      </c>
      <c r="G36" s="1" t="str">
        <f>HYPERLINK("https://new.land.naver.com/complexes/1451", "클릭")</f>
        <v>클릭</v>
      </c>
      <c r="H36">
        <v>1993</v>
      </c>
      <c r="I36">
        <v>11</v>
      </c>
      <c r="J36">
        <v>422</v>
      </c>
      <c r="K36">
        <v>101</v>
      </c>
      <c r="L36" t="s">
        <v>135</v>
      </c>
      <c r="M36" t="s">
        <v>137</v>
      </c>
      <c r="N36" t="s">
        <v>185</v>
      </c>
      <c r="O36">
        <v>130000</v>
      </c>
      <c r="P36" t="s">
        <v>185</v>
      </c>
      <c r="Q36">
        <v>67000</v>
      </c>
      <c r="R36">
        <v>63000</v>
      </c>
      <c r="S36" s="2">
        <v>0.51538461538461533</v>
      </c>
      <c r="V36">
        <v>68900</v>
      </c>
      <c r="W36" s="2">
        <v>1.8867924528301889</v>
      </c>
      <c r="AA36" t="s">
        <v>200</v>
      </c>
    </row>
    <row r="37" spans="1:27" x14ac:dyDescent="0.3">
      <c r="A37" s="3">
        <v>35</v>
      </c>
      <c r="B37">
        <v>1453</v>
      </c>
      <c r="C37" t="s">
        <v>26</v>
      </c>
      <c r="D37" t="s">
        <v>27</v>
      </c>
      <c r="E37" t="s">
        <v>30</v>
      </c>
      <c r="F37" t="s">
        <v>535</v>
      </c>
      <c r="G37" s="1" t="str">
        <f>HYPERLINK("https://new.land.naver.com/complexes/1453", "클릭")</f>
        <v>클릭</v>
      </c>
      <c r="H37">
        <v>1993</v>
      </c>
      <c r="I37">
        <v>11</v>
      </c>
      <c r="J37">
        <v>386</v>
      </c>
      <c r="K37">
        <v>101</v>
      </c>
      <c r="L37" t="s">
        <v>135</v>
      </c>
      <c r="M37" t="s">
        <v>139</v>
      </c>
      <c r="N37" t="s">
        <v>593</v>
      </c>
      <c r="O37">
        <v>130000</v>
      </c>
      <c r="P37" t="s">
        <v>593</v>
      </c>
      <c r="Q37">
        <v>77000</v>
      </c>
      <c r="R37">
        <v>53000</v>
      </c>
      <c r="S37" s="2">
        <v>0.59230769230769231</v>
      </c>
      <c r="V37">
        <v>69600</v>
      </c>
      <c r="W37" s="2">
        <v>1.867816091954023</v>
      </c>
      <c r="AA37" t="s">
        <v>198</v>
      </c>
    </row>
    <row r="38" spans="1:27" x14ac:dyDescent="0.3">
      <c r="A38" s="3">
        <v>36</v>
      </c>
      <c r="B38">
        <v>1458</v>
      </c>
      <c r="C38" t="s">
        <v>26</v>
      </c>
      <c r="D38" t="s">
        <v>27</v>
      </c>
      <c r="E38" t="s">
        <v>28</v>
      </c>
      <c r="F38" t="s">
        <v>541</v>
      </c>
      <c r="G38" s="1" t="str">
        <f>HYPERLINK("https://new.land.naver.com/complexes/1458", "클릭")</f>
        <v>클릭</v>
      </c>
      <c r="H38">
        <v>1994</v>
      </c>
      <c r="I38">
        <v>7</v>
      </c>
      <c r="J38">
        <v>578</v>
      </c>
      <c r="K38">
        <v>100</v>
      </c>
      <c r="L38" t="s">
        <v>135</v>
      </c>
      <c r="M38" t="s">
        <v>137</v>
      </c>
      <c r="N38" t="s">
        <v>593</v>
      </c>
      <c r="O38">
        <v>130000</v>
      </c>
      <c r="P38" t="s">
        <v>593</v>
      </c>
      <c r="Q38">
        <v>75000</v>
      </c>
      <c r="R38">
        <v>55000</v>
      </c>
      <c r="S38" s="2">
        <v>0.57692307692307687</v>
      </c>
      <c r="V38">
        <v>78700</v>
      </c>
      <c r="W38" s="2">
        <v>1.6518424396442191</v>
      </c>
      <c r="AA38" t="s">
        <v>198</v>
      </c>
    </row>
    <row r="39" spans="1:27" x14ac:dyDescent="0.3">
      <c r="A39" s="3">
        <v>37</v>
      </c>
      <c r="B39">
        <v>1449</v>
      </c>
      <c r="C39" t="s">
        <v>26</v>
      </c>
      <c r="D39" t="s">
        <v>27</v>
      </c>
      <c r="E39" t="s">
        <v>30</v>
      </c>
      <c r="F39" t="s">
        <v>544</v>
      </c>
      <c r="G39" s="1" t="str">
        <f>HYPERLINK("https://new.land.naver.com/complexes/1449", "클릭")</f>
        <v>클릭</v>
      </c>
      <c r="H39">
        <v>1994</v>
      </c>
      <c r="I39">
        <v>4</v>
      </c>
      <c r="J39">
        <v>372</v>
      </c>
      <c r="K39">
        <v>101</v>
      </c>
      <c r="L39" t="s">
        <v>135</v>
      </c>
      <c r="M39" t="s">
        <v>139</v>
      </c>
      <c r="N39" t="s">
        <v>594</v>
      </c>
      <c r="O39">
        <v>130000</v>
      </c>
      <c r="P39" t="s">
        <v>594</v>
      </c>
      <c r="Q39">
        <v>58000</v>
      </c>
      <c r="R39">
        <v>72000</v>
      </c>
      <c r="S39" s="2">
        <v>0.44615384615384618</v>
      </c>
      <c r="V39">
        <v>66300</v>
      </c>
      <c r="W39" s="2">
        <v>1.9607843137254899</v>
      </c>
      <c r="AA39" t="s">
        <v>198</v>
      </c>
    </row>
    <row r="40" spans="1:27" x14ac:dyDescent="0.3">
      <c r="A40" s="3">
        <v>38</v>
      </c>
      <c r="B40">
        <v>1443</v>
      </c>
      <c r="C40" t="s">
        <v>26</v>
      </c>
      <c r="D40" t="s">
        <v>27</v>
      </c>
      <c r="E40" t="s">
        <v>28</v>
      </c>
      <c r="F40" t="s">
        <v>546</v>
      </c>
      <c r="G40" s="1" t="str">
        <f>HYPERLINK("https://new.land.naver.com/complexes/1443", "클릭")</f>
        <v>클릭</v>
      </c>
      <c r="H40">
        <v>1992</v>
      </c>
      <c r="I40">
        <v>12</v>
      </c>
      <c r="J40">
        <v>488</v>
      </c>
      <c r="K40">
        <v>133</v>
      </c>
      <c r="L40" t="s">
        <v>135</v>
      </c>
      <c r="M40" t="s">
        <v>139</v>
      </c>
      <c r="N40" t="s">
        <v>596</v>
      </c>
      <c r="O40">
        <v>123000</v>
      </c>
      <c r="P40" t="s">
        <v>596</v>
      </c>
      <c r="Q40">
        <v>50000</v>
      </c>
      <c r="R40">
        <v>73000</v>
      </c>
      <c r="S40" s="2">
        <v>0.4065040650406504</v>
      </c>
      <c r="V40">
        <v>59800</v>
      </c>
      <c r="W40" s="2">
        <v>2.0568561872909701</v>
      </c>
      <c r="AA40" t="s">
        <v>198</v>
      </c>
    </row>
    <row r="41" spans="1:27" x14ac:dyDescent="0.3">
      <c r="A41" s="3">
        <v>39</v>
      </c>
      <c r="B41">
        <v>1446</v>
      </c>
      <c r="C41" t="s">
        <v>26</v>
      </c>
      <c r="D41" t="s">
        <v>27</v>
      </c>
      <c r="E41" t="s">
        <v>30</v>
      </c>
      <c r="F41" t="s">
        <v>536</v>
      </c>
      <c r="G41" s="1" t="str">
        <f>HYPERLINK("https://new.land.naver.com/complexes/1446", "클릭")</f>
        <v>클릭</v>
      </c>
      <c r="H41">
        <v>1994</v>
      </c>
      <c r="I41">
        <v>4</v>
      </c>
      <c r="J41">
        <v>386</v>
      </c>
      <c r="K41">
        <v>102</v>
      </c>
      <c r="L41" t="s">
        <v>135</v>
      </c>
      <c r="M41" t="s">
        <v>139</v>
      </c>
      <c r="N41" t="s">
        <v>590</v>
      </c>
      <c r="O41">
        <v>120000</v>
      </c>
      <c r="P41" t="s">
        <v>590</v>
      </c>
      <c r="Q41">
        <v>65000</v>
      </c>
      <c r="R41">
        <v>55000</v>
      </c>
      <c r="S41" s="2">
        <v>0.54166666666666663</v>
      </c>
      <c r="V41">
        <v>65600</v>
      </c>
      <c r="W41" s="2">
        <v>1.8292682926829269</v>
      </c>
      <c r="AA41" t="s">
        <v>198</v>
      </c>
    </row>
    <row r="42" spans="1:27" x14ac:dyDescent="0.3">
      <c r="A42" s="3">
        <v>40</v>
      </c>
      <c r="B42">
        <v>3016</v>
      </c>
      <c r="C42" t="s">
        <v>26</v>
      </c>
      <c r="D42" t="s">
        <v>27</v>
      </c>
      <c r="E42" t="s">
        <v>28</v>
      </c>
      <c r="F42" t="s">
        <v>543</v>
      </c>
      <c r="G42" s="1" t="str">
        <f>HYPERLINK("https://new.land.naver.com/complexes/3016", "클릭")</f>
        <v>클릭</v>
      </c>
      <c r="H42">
        <v>1992</v>
      </c>
      <c r="I42">
        <v>10</v>
      </c>
      <c r="J42">
        <v>516</v>
      </c>
      <c r="K42">
        <v>99</v>
      </c>
      <c r="L42" t="s">
        <v>135</v>
      </c>
      <c r="M42" t="s">
        <v>137</v>
      </c>
      <c r="N42" t="s">
        <v>588</v>
      </c>
      <c r="O42">
        <v>120000</v>
      </c>
      <c r="P42" t="s">
        <v>588</v>
      </c>
      <c r="Q42">
        <v>68000</v>
      </c>
      <c r="R42">
        <v>52000</v>
      </c>
      <c r="S42" s="2">
        <v>0.56666666666666665</v>
      </c>
      <c r="V42">
        <v>73500</v>
      </c>
      <c r="W42" s="2">
        <v>1.6326530612244901</v>
      </c>
      <c r="AA42" t="s">
        <v>198</v>
      </c>
    </row>
    <row r="43" spans="1:27" x14ac:dyDescent="0.3">
      <c r="A43" s="3">
        <v>41</v>
      </c>
      <c r="B43">
        <v>1480</v>
      </c>
      <c r="C43" t="s">
        <v>26</v>
      </c>
      <c r="D43" t="s">
        <v>27</v>
      </c>
      <c r="E43" t="s">
        <v>30</v>
      </c>
      <c r="F43" t="s">
        <v>36</v>
      </c>
      <c r="G43" s="1" t="str">
        <f>HYPERLINK("https://new.land.naver.com/complexes/1480", "클릭")</f>
        <v>클릭</v>
      </c>
      <c r="H43">
        <v>1993</v>
      </c>
      <c r="I43">
        <v>3</v>
      </c>
      <c r="J43">
        <v>530</v>
      </c>
      <c r="K43">
        <v>84</v>
      </c>
      <c r="L43" t="s">
        <v>135</v>
      </c>
      <c r="M43" t="s">
        <v>137</v>
      </c>
      <c r="N43" t="s">
        <v>144</v>
      </c>
      <c r="O43">
        <v>119000</v>
      </c>
      <c r="P43" t="s">
        <v>144</v>
      </c>
      <c r="Q43">
        <v>65000</v>
      </c>
      <c r="R43">
        <v>54000</v>
      </c>
      <c r="S43" s="2">
        <v>0.54621848739495793</v>
      </c>
      <c r="T43">
        <v>140000</v>
      </c>
      <c r="U43" s="2">
        <v>-0.15</v>
      </c>
      <c r="V43">
        <v>73700</v>
      </c>
      <c r="W43" s="2">
        <v>1.614654002713704</v>
      </c>
      <c r="AA43" t="s">
        <v>198</v>
      </c>
    </row>
    <row r="44" spans="1:27" x14ac:dyDescent="0.3">
      <c r="A44" s="3">
        <v>42</v>
      </c>
      <c r="B44">
        <v>1441</v>
      </c>
      <c r="C44" t="s">
        <v>26</v>
      </c>
      <c r="D44" t="s">
        <v>27</v>
      </c>
      <c r="E44" t="s">
        <v>28</v>
      </c>
      <c r="F44" t="s">
        <v>334</v>
      </c>
      <c r="G44" s="1" t="str">
        <f>HYPERLINK("https://new.land.naver.com/complexes/1441", "클릭")</f>
        <v>클릭</v>
      </c>
      <c r="H44">
        <v>1993</v>
      </c>
      <c r="I44">
        <v>11</v>
      </c>
      <c r="J44">
        <v>1072</v>
      </c>
      <c r="K44">
        <v>134</v>
      </c>
      <c r="L44" t="s">
        <v>135</v>
      </c>
      <c r="M44" t="s">
        <v>139</v>
      </c>
      <c r="N44" t="s">
        <v>599</v>
      </c>
      <c r="O44">
        <v>115000</v>
      </c>
      <c r="P44" t="s">
        <v>599</v>
      </c>
      <c r="Q44">
        <v>58000</v>
      </c>
      <c r="R44">
        <v>57000</v>
      </c>
      <c r="S44" s="2">
        <v>0.5043478260869565</v>
      </c>
      <c r="V44">
        <v>63700</v>
      </c>
      <c r="W44" s="2">
        <v>1.805337519623234</v>
      </c>
      <c r="AA44" t="s">
        <v>198</v>
      </c>
    </row>
    <row r="45" spans="1:27" x14ac:dyDescent="0.3">
      <c r="A45" s="3">
        <v>43</v>
      </c>
      <c r="B45">
        <v>1481</v>
      </c>
      <c r="C45" t="s">
        <v>26</v>
      </c>
      <c r="D45" t="s">
        <v>27</v>
      </c>
      <c r="E45" t="s">
        <v>30</v>
      </c>
      <c r="F45" t="s">
        <v>39</v>
      </c>
      <c r="G45" s="1" t="str">
        <f>HYPERLINK("https://new.land.naver.com/complexes/1481", "클릭")</f>
        <v>클릭</v>
      </c>
      <c r="H45">
        <v>1992</v>
      </c>
      <c r="I45">
        <v>11</v>
      </c>
      <c r="J45">
        <v>552</v>
      </c>
      <c r="K45">
        <v>84</v>
      </c>
      <c r="L45" t="s">
        <v>135</v>
      </c>
      <c r="M45" t="s">
        <v>137</v>
      </c>
      <c r="N45" t="s">
        <v>147</v>
      </c>
      <c r="O45">
        <v>110000</v>
      </c>
      <c r="P45" t="s">
        <v>147</v>
      </c>
      <c r="Q45">
        <v>60000</v>
      </c>
      <c r="R45">
        <v>50000</v>
      </c>
      <c r="S45" s="2">
        <v>0.54545454545454541</v>
      </c>
      <c r="T45">
        <v>127000</v>
      </c>
      <c r="U45" s="2">
        <v>-0.13385826771653539</v>
      </c>
      <c r="V45">
        <v>66700</v>
      </c>
      <c r="W45" s="2">
        <v>1.6491754122938529</v>
      </c>
      <c r="AA45" t="s">
        <v>198</v>
      </c>
    </row>
    <row r="46" spans="1:27" x14ac:dyDescent="0.3">
      <c r="A46" s="3">
        <v>44</v>
      </c>
      <c r="B46">
        <v>1442</v>
      </c>
      <c r="C46" t="s">
        <v>26</v>
      </c>
      <c r="D46" t="s">
        <v>27</v>
      </c>
      <c r="E46" t="s">
        <v>28</v>
      </c>
      <c r="F46" t="s">
        <v>540</v>
      </c>
      <c r="G46" s="1" t="str">
        <f>HYPERLINK("https://new.land.naver.com/complexes/1442", "클릭")</f>
        <v>클릭</v>
      </c>
      <c r="H46">
        <v>1992</v>
      </c>
      <c r="I46">
        <v>9</v>
      </c>
      <c r="J46">
        <v>384</v>
      </c>
      <c r="K46">
        <v>132</v>
      </c>
      <c r="L46" t="s">
        <v>135</v>
      </c>
      <c r="M46" t="s">
        <v>139</v>
      </c>
      <c r="N46" t="s">
        <v>569</v>
      </c>
      <c r="O46">
        <v>110000</v>
      </c>
      <c r="P46" t="s">
        <v>569</v>
      </c>
      <c r="Q46">
        <v>50000</v>
      </c>
      <c r="R46">
        <v>60000</v>
      </c>
      <c r="S46" s="2">
        <v>0.45454545454545447</v>
      </c>
      <c r="V46">
        <v>60400</v>
      </c>
      <c r="W46" s="2">
        <v>1.821192052980132</v>
      </c>
      <c r="AA46" t="s">
        <v>198</v>
      </c>
    </row>
    <row r="47" spans="1:27" x14ac:dyDescent="0.3">
      <c r="A47" s="3">
        <v>45</v>
      </c>
      <c r="B47">
        <v>1444</v>
      </c>
      <c r="C47" t="s">
        <v>26</v>
      </c>
      <c r="D47" t="s">
        <v>27</v>
      </c>
      <c r="E47" t="s">
        <v>28</v>
      </c>
      <c r="F47" t="s">
        <v>545</v>
      </c>
      <c r="G47" s="1" t="str">
        <f>HYPERLINK("https://new.land.naver.com/complexes/1444", "클릭")</f>
        <v>클릭</v>
      </c>
      <c r="H47">
        <v>1992</v>
      </c>
      <c r="I47">
        <v>12</v>
      </c>
      <c r="J47">
        <v>390</v>
      </c>
      <c r="K47">
        <v>118</v>
      </c>
      <c r="L47" t="s">
        <v>135</v>
      </c>
      <c r="M47" t="s">
        <v>139</v>
      </c>
      <c r="N47" t="s">
        <v>603</v>
      </c>
      <c r="O47">
        <v>110000</v>
      </c>
      <c r="P47" t="s">
        <v>603</v>
      </c>
      <c r="Q47">
        <v>63000</v>
      </c>
      <c r="R47">
        <v>47000</v>
      </c>
      <c r="S47" s="2">
        <v>0.57272727272727275</v>
      </c>
      <c r="V47">
        <v>61600</v>
      </c>
      <c r="W47" s="2">
        <v>1.785714285714286</v>
      </c>
      <c r="AA47" t="s">
        <v>198</v>
      </c>
    </row>
    <row r="48" spans="1:27" x14ac:dyDescent="0.3">
      <c r="A48" s="3">
        <v>46</v>
      </c>
      <c r="B48">
        <v>1482</v>
      </c>
      <c r="C48" t="s">
        <v>26</v>
      </c>
      <c r="D48" t="s">
        <v>27</v>
      </c>
      <c r="E48" t="s">
        <v>30</v>
      </c>
      <c r="F48" t="s">
        <v>41</v>
      </c>
      <c r="G48" s="1" t="str">
        <f>HYPERLINK("https://new.land.naver.com/complexes/1482", "클릭")</f>
        <v>클릭</v>
      </c>
      <c r="H48">
        <v>1993</v>
      </c>
      <c r="I48">
        <v>4</v>
      </c>
      <c r="J48">
        <v>780</v>
      </c>
      <c r="K48">
        <v>84</v>
      </c>
      <c r="L48" t="s">
        <v>135</v>
      </c>
      <c r="M48" t="s">
        <v>137</v>
      </c>
      <c r="N48" t="s">
        <v>148</v>
      </c>
      <c r="O48">
        <v>109500</v>
      </c>
      <c r="P48" t="s">
        <v>148</v>
      </c>
      <c r="Q48">
        <v>63000</v>
      </c>
      <c r="R48">
        <v>46500</v>
      </c>
      <c r="S48" s="2">
        <v>0.57534246575342463</v>
      </c>
      <c r="T48">
        <v>127700</v>
      </c>
      <c r="U48" s="2">
        <v>-0.14252153484729829</v>
      </c>
      <c r="V48">
        <v>68600</v>
      </c>
      <c r="W48" s="2">
        <v>1.5962099125364431</v>
      </c>
      <c r="AA48" t="s">
        <v>198</v>
      </c>
    </row>
    <row r="49" spans="1:27" x14ac:dyDescent="0.3">
      <c r="A49" s="3">
        <v>47</v>
      </c>
      <c r="B49">
        <v>1450</v>
      </c>
      <c r="C49" t="s">
        <v>26</v>
      </c>
      <c r="D49" t="s">
        <v>27</v>
      </c>
      <c r="E49" t="s">
        <v>30</v>
      </c>
      <c r="F49" t="s">
        <v>42</v>
      </c>
      <c r="G49" s="1" t="str">
        <f>HYPERLINK("https://new.land.naver.com/complexes/1450", "클릭")</f>
        <v>클릭</v>
      </c>
      <c r="H49">
        <v>1992</v>
      </c>
      <c r="I49">
        <v>9</v>
      </c>
      <c r="J49">
        <v>548</v>
      </c>
      <c r="K49">
        <v>84</v>
      </c>
      <c r="L49" t="s">
        <v>135</v>
      </c>
      <c r="M49" t="s">
        <v>137</v>
      </c>
      <c r="N49" t="s">
        <v>149</v>
      </c>
      <c r="O49">
        <v>105000</v>
      </c>
      <c r="P49" t="s">
        <v>149</v>
      </c>
      <c r="Q49">
        <v>63000</v>
      </c>
      <c r="R49">
        <v>42000</v>
      </c>
      <c r="S49" s="2">
        <v>0.6</v>
      </c>
      <c r="T49">
        <v>85000</v>
      </c>
      <c r="U49" s="2">
        <v>0.23529411764705879</v>
      </c>
      <c r="V49">
        <v>61000</v>
      </c>
      <c r="W49" s="2">
        <v>1.721311475409836</v>
      </c>
      <c r="AA49" t="s">
        <v>200</v>
      </c>
    </row>
    <row r="50" spans="1:27" x14ac:dyDescent="0.3">
      <c r="A50" s="3">
        <v>48</v>
      </c>
      <c r="B50">
        <v>1450</v>
      </c>
      <c r="C50" t="s">
        <v>26</v>
      </c>
      <c r="D50" t="s">
        <v>27</v>
      </c>
      <c r="E50" t="s">
        <v>30</v>
      </c>
      <c r="F50" t="s">
        <v>42</v>
      </c>
      <c r="G50" s="1" t="str">
        <f>HYPERLINK("https://new.land.naver.com/complexes/1450", "클릭")</f>
        <v>클릭</v>
      </c>
      <c r="H50">
        <v>1992</v>
      </c>
      <c r="I50">
        <v>9</v>
      </c>
      <c r="J50">
        <v>548</v>
      </c>
      <c r="K50">
        <v>85</v>
      </c>
      <c r="L50" t="s">
        <v>135</v>
      </c>
      <c r="M50" t="s">
        <v>137</v>
      </c>
      <c r="N50" t="s">
        <v>158</v>
      </c>
      <c r="O50">
        <v>105000</v>
      </c>
      <c r="P50" t="s">
        <v>158</v>
      </c>
      <c r="Q50">
        <v>60000</v>
      </c>
      <c r="R50">
        <v>45000</v>
      </c>
      <c r="S50" s="2">
        <v>0.5714285714285714</v>
      </c>
      <c r="V50">
        <v>61000</v>
      </c>
      <c r="W50" s="2">
        <v>1.721311475409836</v>
      </c>
      <c r="AA50" t="s">
        <v>200</v>
      </c>
    </row>
    <row r="51" spans="1:27" x14ac:dyDescent="0.3">
      <c r="A51" s="3">
        <v>49</v>
      </c>
      <c r="B51">
        <v>2505</v>
      </c>
      <c r="C51" t="s">
        <v>26</v>
      </c>
      <c r="D51" t="s">
        <v>27</v>
      </c>
      <c r="E51" t="s">
        <v>29</v>
      </c>
      <c r="F51" t="s">
        <v>43</v>
      </c>
      <c r="G51" s="1" t="str">
        <f>HYPERLINK("https://new.land.naver.com/complexes/2505", "클릭")</f>
        <v>클릭</v>
      </c>
      <c r="H51">
        <v>1998</v>
      </c>
      <c r="I51">
        <v>12</v>
      </c>
      <c r="J51">
        <v>1314</v>
      </c>
      <c r="K51">
        <v>84</v>
      </c>
      <c r="L51" t="s">
        <v>135</v>
      </c>
      <c r="M51" t="s">
        <v>137</v>
      </c>
      <c r="N51" t="s">
        <v>147</v>
      </c>
      <c r="O51">
        <v>100000</v>
      </c>
      <c r="P51" t="s">
        <v>147</v>
      </c>
      <c r="Q51">
        <v>45000</v>
      </c>
      <c r="R51">
        <v>55000</v>
      </c>
      <c r="S51" s="2">
        <v>0.45</v>
      </c>
      <c r="T51">
        <v>133000</v>
      </c>
      <c r="U51" s="2">
        <v>-0.24812030075187971</v>
      </c>
      <c r="V51">
        <v>62300</v>
      </c>
      <c r="W51" s="2">
        <v>1.605136436597111</v>
      </c>
      <c r="AA51" t="s">
        <v>198</v>
      </c>
    </row>
    <row r="52" spans="1:27" x14ac:dyDescent="0.3">
      <c r="A52" s="3">
        <v>50</v>
      </c>
      <c r="B52">
        <v>1442</v>
      </c>
      <c r="C52" t="s">
        <v>26</v>
      </c>
      <c r="D52" t="s">
        <v>27</v>
      </c>
      <c r="E52" t="s">
        <v>28</v>
      </c>
      <c r="F52" t="s">
        <v>540</v>
      </c>
      <c r="G52" s="1" t="str">
        <f>HYPERLINK("https://new.land.naver.com/complexes/1442", "클릭")</f>
        <v>클릭</v>
      </c>
      <c r="H52">
        <v>1992</v>
      </c>
      <c r="I52">
        <v>9</v>
      </c>
      <c r="J52">
        <v>384</v>
      </c>
      <c r="K52">
        <v>101</v>
      </c>
      <c r="L52" t="s">
        <v>135</v>
      </c>
      <c r="M52" t="s">
        <v>139</v>
      </c>
      <c r="N52" t="s">
        <v>586</v>
      </c>
      <c r="O52">
        <v>100000</v>
      </c>
      <c r="P52" t="s">
        <v>586</v>
      </c>
      <c r="Q52">
        <v>59000</v>
      </c>
      <c r="R52">
        <v>41000</v>
      </c>
      <c r="S52" s="2">
        <v>0.59</v>
      </c>
      <c r="V52">
        <v>54300</v>
      </c>
      <c r="W52" s="2">
        <v>1.8416206261510131</v>
      </c>
      <c r="AA52" t="s">
        <v>198</v>
      </c>
    </row>
    <row r="53" spans="1:27" x14ac:dyDescent="0.3">
      <c r="A53" s="3">
        <v>51</v>
      </c>
      <c r="B53">
        <v>1443</v>
      </c>
      <c r="C53" t="s">
        <v>26</v>
      </c>
      <c r="D53" t="s">
        <v>27</v>
      </c>
      <c r="E53" t="s">
        <v>28</v>
      </c>
      <c r="F53" t="s">
        <v>546</v>
      </c>
      <c r="G53" s="1" t="str">
        <f>HYPERLINK("https://new.land.naver.com/complexes/1443", "클릭")</f>
        <v>클릭</v>
      </c>
      <c r="H53">
        <v>1992</v>
      </c>
      <c r="I53">
        <v>12</v>
      </c>
      <c r="J53">
        <v>488</v>
      </c>
      <c r="K53">
        <v>101</v>
      </c>
      <c r="L53" t="s">
        <v>135</v>
      </c>
      <c r="M53" t="s">
        <v>139</v>
      </c>
      <c r="N53" t="s">
        <v>185</v>
      </c>
      <c r="O53">
        <v>99000</v>
      </c>
      <c r="P53" t="s">
        <v>185</v>
      </c>
      <c r="Q53">
        <v>55000</v>
      </c>
      <c r="R53">
        <v>44000</v>
      </c>
      <c r="S53" s="2">
        <v>0.55555555555555558</v>
      </c>
      <c r="V53">
        <v>55100</v>
      </c>
      <c r="W53" s="2">
        <v>1.7967332123411981</v>
      </c>
      <c r="AA53" t="s">
        <v>198</v>
      </c>
    </row>
    <row r="54" spans="1:27" x14ac:dyDescent="0.3">
      <c r="A54" s="3">
        <v>52</v>
      </c>
      <c r="B54">
        <v>1441</v>
      </c>
      <c r="C54" t="s">
        <v>26</v>
      </c>
      <c r="D54" t="s">
        <v>27</v>
      </c>
      <c r="E54" t="s">
        <v>28</v>
      </c>
      <c r="F54" t="s">
        <v>334</v>
      </c>
      <c r="G54" s="1" t="str">
        <f>HYPERLINK("https://new.land.naver.com/complexes/1441", "클릭")</f>
        <v>클릭</v>
      </c>
      <c r="H54">
        <v>1993</v>
      </c>
      <c r="I54">
        <v>11</v>
      </c>
      <c r="J54">
        <v>1072</v>
      </c>
      <c r="K54">
        <v>101</v>
      </c>
      <c r="L54" t="s">
        <v>135</v>
      </c>
      <c r="M54" t="s">
        <v>139</v>
      </c>
      <c r="N54" t="s">
        <v>608</v>
      </c>
      <c r="O54">
        <v>97000</v>
      </c>
      <c r="P54" t="s">
        <v>641</v>
      </c>
      <c r="Q54">
        <v>45000</v>
      </c>
      <c r="R54">
        <v>52000</v>
      </c>
      <c r="S54" s="2">
        <v>0.46391752577319589</v>
      </c>
      <c r="V54">
        <v>56000</v>
      </c>
      <c r="W54" s="2">
        <v>1.732142857142857</v>
      </c>
      <c r="AA54" t="s">
        <v>198</v>
      </c>
    </row>
    <row r="55" spans="1:27" x14ac:dyDescent="0.3">
      <c r="A55" s="3">
        <v>53</v>
      </c>
      <c r="B55">
        <v>1471</v>
      </c>
      <c r="C55" t="s">
        <v>26</v>
      </c>
      <c r="D55" t="s">
        <v>27</v>
      </c>
      <c r="E55" t="s">
        <v>28</v>
      </c>
      <c r="F55" t="s">
        <v>48</v>
      </c>
      <c r="G55" s="1" t="str">
        <f>HYPERLINK("https://new.land.naver.com/complexes/1471", "클릭")</f>
        <v>클릭</v>
      </c>
      <c r="H55">
        <v>1994</v>
      </c>
      <c r="I55">
        <v>8</v>
      </c>
      <c r="J55">
        <v>590</v>
      </c>
      <c r="K55">
        <v>84</v>
      </c>
      <c r="L55" t="s">
        <v>135</v>
      </c>
      <c r="M55" t="s">
        <v>137</v>
      </c>
      <c r="N55" t="s">
        <v>154</v>
      </c>
      <c r="O55">
        <v>95000</v>
      </c>
      <c r="P55" t="s">
        <v>154</v>
      </c>
      <c r="Q55">
        <v>56000</v>
      </c>
      <c r="R55">
        <v>39000</v>
      </c>
      <c r="S55" s="2">
        <v>0.58947368421052626</v>
      </c>
      <c r="T55">
        <v>109500</v>
      </c>
      <c r="U55" s="2">
        <v>-0.13242009132420091</v>
      </c>
      <c r="V55">
        <v>55700</v>
      </c>
      <c r="W55" s="2">
        <v>1.7055655296229799</v>
      </c>
      <c r="AA55" t="s">
        <v>198</v>
      </c>
    </row>
    <row r="56" spans="1:27" x14ac:dyDescent="0.3">
      <c r="A56" s="3">
        <v>54</v>
      </c>
      <c r="B56">
        <v>1444</v>
      </c>
      <c r="C56" t="s">
        <v>26</v>
      </c>
      <c r="D56" t="s">
        <v>27</v>
      </c>
      <c r="E56" t="s">
        <v>28</v>
      </c>
      <c r="F56" t="s">
        <v>545</v>
      </c>
      <c r="G56" s="1" t="str">
        <f>HYPERLINK("https://new.land.naver.com/complexes/1444", "클릭")</f>
        <v>클릭</v>
      </c>
      <c r="H56">
        <v>1992</v>
      </c>
      <c r="I56">
        <v>12</v>
      </c>
      <c r="J56">
        <v>390</v>
      </c>
      <c r="K56">
        <v>91</v>
      </c>
      <c r="L56" t="s">
        <v>135</v>
      </c>
      <c r="M56" t="s">
        <v>137</v>
      </c>
      <c r="N56" t="s">
        <v>144</v>
      </c>
      <c r="O56">
        <v>93000</v>
      </c>
      <c r="P56" t="s">
        <v>144</v>
      </c>
      <c r="Q56">
        <v>43000</v>
      </c>
      <c r="R56">
        <v>50000</v>
      </c>
      <c r="S56" s="2">
        <v>0.46236559139784938</v>
      </c>
      <c r="V56">
        <v>52600</v>
      </c>
      <c r="W56" s="2">
        <v>1.768060836501901</v>
      </c>
      <c r="AA56" t="s">
        <v>198</v>
      </c>
    </row>
    <row r="57" spans="1:27" x14ac:dyDescent="0.3">
      <c r="A57" s="3">
        <v>55</v>
      </c>
      <c r="B57">
        <v>1468</v>
      </c>
      <c r="C57" t="s">
        <v>26</v>
      </c>
      <c r="D57" t="s">
        <v>27</v>
      </c>
      <c r="E57" t="s">
        <v>31</v>
      </c>
      <c r="F57" t="s">
        <v>49</v>
      </c>
      <c r="G57" s="1" t="str">
        <f>HYPERLINK("https://new.land.naver.com/complexes/1468", "클릭")</f>
        <v>클릭</v>
      </c>
      <c r="H57">
        <v>1992</v>
      </c>
      <c r="I57">
        <v>11</v>
      </c>
      <c r="J57">
        <v>508</v>
      </c>
      <c r="K57">
        <v>84</v>
      </c>
      <c r="L57" t="s">
        <v>135</v>
      </c>
      <c r="M57" t="s">
        <v>137</v>
      </c>
      <c r="N57" t="s">
        <v>155</v>
      </c>
      <c r="O57">
        <v>92000</v>
      </c>
      <c r="P57" t="s">
        <v>155</v>
      </c>
      <c r="Q57">
        <v>45000</v>
      </c>
      <c r="R57">
        <v>47000</v>
      </c>
      <c r="S57" s="2">
        <v>0.4891304347826087</v>
      </c>
      <c r="T57">
        <v>100000</v>
      </c>
      <c r="U57" s="2">
        <v>-0.08</v>
      </c>
      <c r="V57">
        <v>54400</v>
      </c>
      <c r="W57" s="2">
        <v>1.6911764705882351</v>
      </c>
      <c r="AA57" t="s">
        <v>198</v>
      </c>
    </row>
    <row r="58" spans="1:27" x14ac:dyDescent="0.3">
      <c r="A58" s="3">
        <v>56</v>
      </c>
      <c r="B58">
        <v>1483</v>
      </c>
      <c r="C58" t="s">
        <v>26</v>
      </c>
      <c r="D58" t="s">
        <v>27</v>
      </c>
      <c r="E58" t="s">
        <v>30</v>
      </c>
      <c r="F58" t="s">
        <v>50</v>
      </c>
      <c r="G58" s="1" t="str">
        <f>HYPERLINK("https://new.land.naver.com/complexes/1483", "클릭")</f>
        <v>클릭</v>
      </c>
      <c r="H58">
        <v>1993</v>
      </c>
      <c r="I58">
        <v>11</v>
      </c>
      <c r="J58">
        <v>1035</v>
      </c>
      <c r="K58">
        <v>84</v>
      </c>
      <c r="L58" t="s">
        <v>135</v>
      </c>
      <c r="M58" t="s">
        <v>137</v>
      </c>
      <c r="N58" t="s">
        <v>147</v>
      </c>
      <c r="O58">
        <v>91500</v>
      </c>
      <c r="P58" t="s">
        <v>147</v>
      </c>
      <c r="Q58">
        <v>45000</v>
      </c>
      <c r="R58">
        <v>46500</v>
      </c>
      <c r="S58" s="2">
        <v>0.49180327868852458</v>
      </c>
      <c r="T58">
        <v>113500</v>
      </c>
      <c r="U58" s="2">
        <v>-0.19383259911894271</v>
      </c>
      <c r="V58">
        <v>55800</v>
      </c>
      <c r="W58" s="2">
        <v>1.639784946236559</v>
      </c>
      <c r="AA58" t="s">
        <v>198</v>
      </c>
    </row>
    <row r="59" spans="1:27" x14ac:dyDescent="0.3">
      <c r="A59" s="3">
        <v>57</v>
      </c>
      <c r="B59">
        <v>1472</v>
      </c>
      <c r="C59" t="s">
        <v>26</v>
      </c>
      <c r="D59" t="s">
        <v>27</v>
      </c>
      <c r="E59" t="s">
        <v>28</v>
      </c>
      <c r="F59" t="s">
        <v>52</v>
      </c>
      <c r="G59" s="1" t="str">
        <f>HYPERLINK("https://new.land.naver.com/complexes/1472", "클릭")</f>
        <v>클릭</v>
      </c>
      <c r="H59">
        <v>1992</v>
      </c>
      <c r="I59">
        <v>8</v>
      </c>
      <c r="J59">
        <v>438</v>
      </c>
      <c r="K59">
        <v>84</v>
      </c>
      <c r="L59" t="s">
        <v>135</v>
      </c>
      <c r="M59" t="s">
        <v>137</v>
      </c>
      <c r="N59" t="s">
        <v>150</v>
      </c>
      <c r="O59">
        <v>90000</v>
      </c>
      <c r="P59" t="s">
        <v>150</v>
      </c>
      <c r="Q59">
        <v>53000</v>
      </c>
      <c r="R59">
        <v>37000</v>
      </c>
      <c r="S59" s="2">
        <v>0.58888888888888891</v>
      </c>
      <c r="T59">
        <v>100000</v>
      </c>
      <c r="U59" s="2">
        <v>-0.1</v>
      </c>
      <c r="V59">
        <v>52500</v>
      </c>
      <c r="W59" s="2">
        <v>1.714285714285714</v>
      </c>
      <c r="AA59" t="s">
        <v>198</v>
      </c>
    </row>
    <row r="60" spans="1:27" x14ac:dyDescent="0.3">
      <c r="A60" s="3">
        <v>58</v>
      </c>
      <c r="B60">
        <v>1471</v>
      </c>
      <c r="C60" t="s">
        <v>26</v>
      </c>
      <c r="D60" t="s">
        <v>27</v>
      </c>
      <c r="E60" t="s">
        <v>28</v>
      </c>
      <c r="F60" t="s">
        <v>48</v>
      </c>
      <c r="G60" s="1" t="str">
        <f>HYPERLINK("https://new.land.naver.com/complexes/1471", "클릭")</f>
        <v>클릭</v>
      </c>
      <c r="H60">
        <v>1994</v>
      </c>
      <c r="I60">
        <v>8</v>
      </c>
      <c r="J60">
        <v>590</v>
      </c>
      <c r="K60">
        <v>85</v>
      </c>
      <c r="L60" t="s">
        <v>135</v>
      </c>
      <c r="M60" t="s">
        <v>137</v>
      </c>
      <c r="N60" t="s">
        <v>616</v>
      </c>
      <c r="O60">
        <v>90000</v>
      </c>
      <c r="P60" t="s">
        <v>616</v>
      </c>
      <c r="Q60">
        <v>61000</v>
      </c>
      <c r="R60">
        <v>29000</v>
      </c>
      <c r="S60" s="2">
        <v>0.67777777777777781</v>
      </c>
      <c r="V60">
        <v>55700</v>
      </c>
      <c r="W60" s="2">
        <v>1.6157989228007179</v>
      </c>
      <c r="AA60" t="s">
        <v>198</v>
      </c>
    </row>
    <row r="61" spans="1:27" x14ac:dyDescent="0.3">
      <c r="A61" s="3">
        <v>59</v>
      </c>
      <c r="B61">
        <v>1441</v>
      </c>
      <c r="C61" t="s">
        <v>26</v>
      </c>
      <c r="D61" t="s">
        <v>27</v>
      </c>
      <c r="E61" t="s">
        <v>28</v>
      </c>
      <c r="F61" t="s">
        <v>334</v>
      </c>
      <c r="G61" s="1" t="str">
        <f>HYPERLINK("https://new.land.naver.com/complexes/1441", "클릭")</f>
        <v>클릭</v>
      </c>
      <c r="H61">
        <v>1993</v>
      </c>
      <c r="I61">
        <v>11</v>
      </c>
      <c r="J61">
        <v>1072</v>
      </c>
      <c r="K61">
        <v>88</v>
      </c>
      <c r="L61" t="s">
        <v>135</v>
      </c>
      <c r="M61" t="s">
        <v>137</v>
      </c>
      <c r="N61" t="s">
        <v>168</v>
      </c>
      <c r="O61">
        <v>90000</v>
      </c>
      <c r="P61" t="s">
        <v>642</v>
      </c>
      <c r="Q61">
        <v>40000</v>
      </c>
      <c r="R61">
        <v>50000</v>
      </c>
      <c r="S61" s="2">
        <v>0.44444444444444442</v>
      </c>
      <c r="V61">
        <v>48600</v>
      </c>
      <c r="W61" s="2">
        <v>1.8518518518518521</v>
      </c>
      <c r="AA61" t="s">
        <v>198</v>
      </c>
    </row>
    <row r="62" spans="1:27" x14ac:dyDescent="0.3">
      <c r="A62" s="3">
        <v>60</v>
      </c>
      <c r="B62">
        <v>1467</v>
      </c>
      <c r="C62" t="s">
        <v>26</v>
      </c>
      <c r="D62" t="s">
        <v>27</v>
      </c>
      <c r="E62" t="s">
        <v>31</v>
      </c>
      <c r="F62" t="s">
        <v>53</v>
      </c>
      <c r="G62" s="1" t="str">
        <f>HYPERLINK("https://new.land.naver.com/complexes/1467", "클릭")</f>
        <v>클릭</v>
      </c>
      <c r="H62">
        <v>1992</v>
      </c>
      <c r="I62">
        <v>5</v>
      </c>
      <c r="J62">
        <v>620</v>
      </c>
      <c r="K62">
        <v>84</v>
      </c>
      <c r="L62" t="s">
        <v>135</v>
      </c>
      <c r="M62" t="s">
        <v>137</v>
      </c>
      <c r="N62" t="s">
        <v>147</v>
      </c>
      <c r="O62">
        <v>88000</v>
      </c>
      <c r="P62" t="s">
        <v>147</v>
      </c>
      <c r="Q62">
        <v>43000</v>
      </c>
      <c r="R62">
        <v>45000</v>
      </c>
      <c r="S62" s="2">
        <v>0.48863636363636359</v>
      </c>
      <c r="T62">
        <v>113000</v>
      </c>
      <c r="U62" s="2">
        <v>-0.22123893805309741</v>
      </c>
      <c r="V62">
        <v>57700</v>
      </c>
      <c r="W62" s="2">
        <v>1.525129982668977</v>
      </c>
      <c r="AA62" t="s">
        <v>198</v>
      </c>
    </row>
    <row r="63" spans="1:27" x14ac:dyDescent="0.3">
      <c r="A63" s="3">
        <v>61</v>
      </c>
      <c r="B63">
        <v>1467</v>
      </c>
      <c r="C63" t="s">
        <v>26</v>
      </c>
      <c r="D63" t="s">
        <v>27</v>
      </c>
      <c r="E63" t="s">
        <v>31</v>
      </c>
      <c r="F63" t="s">
        <v>53</v>
      </c>
      <c r="G63" s="1" t="str">
        <f>HYPERLINK("https://new.land.naver.com/complexes/1467", "클릭")</f>
        <v>클릭</v>
      </c>
      <c r="H63">
        <v>1992</v>
      </c>
      <c r="I63">
        <v>5</v>
      </c>
      <c r="J63">
        <v>620</v>
      </c>
      <c r="K63">
        <v>76</v>
      </c>
      <c r="L63" t="s">
        <v>135</v>
      </c>
      <c r="M63" t="s">
        <v>138</v>
      </c>
      <c r="N63" t="s">
        <v>348</v>
      </c>
      <c r="O63">
        <v>87000</v>
      </c>
      <c r="P63" t="s">
        <v>348</v>
      </c>
      <c r="Q63">
        <v>42000</v>
      </c>
      <c r="R63">
        <v>45000</v>
      </c>
      <c r="S63" s="2">
        <v>0.48275862068965519</v>
      </c>
      <c r="V63">
        <v>51200</v>
      </c>
      <c r="W63" s="2">
        <v>1.69921875</v>
      </c>
      <c r="AA63" t="s">
        <v>198</v>
      </c>
    </row>
    <row r="64" spans="1:27" x14ac:dyDescent="0.3">
      <c r="A64" s="3">
        <v>62</v>
      </c>
      <c r="B64">
        <v>1479</v>
      </c>
      <c r="C64" t="s">
        <v>26</v>
      </c>
      <c r="D64" t="s">
        <v>27</v>
      </c>
      <c r="E64" t="s">
        <v>30</v>
      </c>
      <c r="F64" t="s">
        <v>54</v>
      </c>
      <c r="G64" s="1" t="str">
        <f>HYPERLINK("https://new.land.naver.com/complexes/1479", "클릭")</f>
        <v>클릭</v>
      </c>
      <c r="H64">
        <v>1992</v>
      </c>
      <c r="I64">
        <v>8</v>
      </c>
      <c r="J64">
        <v>368</v>
      </c>
      <c r="K64">
        <v>84</v>
      </c>
      <c r="L64" t="s">
        <v>135</v>
      </c>
      <c r="M64" t="s">
        <v>137</v>
      </c>
      <c r="N64" t="s">
        <v>157</v>
      </c>
      <c r="O64">
        <v>85000</v>
      </c>
      <c r="P64" t="s">
        <v>157</v>
      </c>
      <c r="Q64">
        <v>51000</v>
      </c>
      <c r="R64">
        <v>34000</v>
      </c>
      <c r="S64" s="2">
        <v>0.6</v>
      </c>
      <c r="T64">
        <v>98000</v>
      </c>
      <c r="U64" s="2">
        <v>-0.1326530612244898</v>
      </c>
      <c r="V64">
        <v>52600</v>
      </c>
      <c r="W64" s="2">
        <v>1.6159695817490489</v>
      </c>
      <c r="AA64" t="s">
        <v>198</v>
      </c>
    </row>
    <row r="65" spans="1:27" x14ac:dyDescent="0.3">
      <c r="A65" s="3">
        <v>63</v>
      </c>
      <c r="B65">
        <v>3075</v>
      </c>
      <c r="C65" t="s">
        <v>26</v>
      </c>
      <c r="D65" t="s">
        <v>27</v>
      </c>
      <c r="E65" t="s">
        <v>31</v>
      </c>
      <c r="F65" t="s">
        <v>55</v>
      </c>
      <c r="G65" s="1" t="str">
        <f>HYPERLINK("https://new.land.naver.com/complexes/3075", "클릭")</f>
        <v>클릭</v>
      </c>
      <c r="H65">
        <v>1992</v>
      </c>
      <c r="I65">
        <v>6</v>
      </c>
      <c r="J65">
        <v>502</v>
      </c>
      <c r="K65">
        <v>84</v>
      </c>
      <c r="L65" t="s">
        <v>135</v>
      </c>
      <c r="M65" t="s">
        <v>137</v>
      </c>
      <c r="N65" t="s">
        <v>158</v>
      </c>
      <c r="O65">
        <v>85000</v>
      </c>
      <c r="P65" t="s">
        <v>158</v>
      </c>
      <c r="Q65">
        <v>46000</v>
      </c>
      <c r="R65">
        <v>39000</v>
      </c>
      <c r="S65" s="2">
        <v>0.54117647058823526</v>
      </c>
      <c r="T65">
        <v>105000</v>
      </c>
      <c r="U65" s="2">
        <v>-0.19047619047619049</v>
      </c>
      <c r="V65">
        <v>48500</v>
      </c>
      <c r="W65" s="2">
        <v>1.7525773195876291</v>
      </c>
      <c r="AA65" t="s">
        <v>198</v>
      </c>
    </row>
    <row r="66" spans="1:27" x14ac:dyDescent="0.3">
      <c r="A66" s="3">
        <v>64</v>
      </c>
      <c r="B66">
        <v>1441</v>
      </c>
      <c r="C66" t="s">
        <v>26</v>
      </c>
      <c r="D66" t="s">
        <v>27</v>
      </c>
      <c r="E66" t="s">
        <v>28</v>
      </c>
      <c r="F66" t="s">
        <v>334</v>
      </c>
      <c r="G66" s="1" t="str">
        <f>HYPERLINK("https://new.land.naver.com/complexes/1441", "클릭")</f>
        <v>클릭</v>
      </c>
      <c r="H66">
        <v>1993</v>
      </c>
      <c r="I66">
        <v>11</v>
      </c>
      <c r="J66">
        <v>1072</v>
      </c>
      <c r="K66">
        <v>91</v>
      </c>
      <c r="L66" t="s">
        <v>135</v>
      </c>
      <c r="M66" t="s">
        <v>137</v>
      </c>
      <c r="N66" t="s">
        <v>194</v>
      </c>
      <c r="O66">
        <v>85000</v>
      </c>
      <c r="P66" t="s">
        <v>194</v>
      </c>
      <c r="Q66">
        <v>42000</v>
      </c>
      <c r="R66">
        <v>43000</v>
      </c>
      <c r="S66" s="2">
        <v>0.49411764705882361</v>
      </c>
      <c r="V66">
        <v>41900</v>
      </c>
      <c r="W66" s="2">
        <v>2.028639618138425</v>
      </c>
      <c r="AA66" t="s">
        <v>198</v>
      </c>
    </row>
    <row r="67" spans="1:27" x14ac:dyDescent="0.3">
      <c r="A67" s="3">
        <v>65</v>
      </c>
      <c r="B67">
        <v>1477</v>
      </c>
      <c r="C67" t="s">
        <v>26</v>
      </c>
      <c r="D67" t="s">
        <v>27</v>
      </c>
      <c r="E67" t="s">
        <v>30</v>
      </c>
      <c r="F67" t="s">
        <v>56</v>
      </c>
      <c r="G67" s="1" t="str">
        <f>HYPERLINK("https://new.land.naver.com/complexes/1477", "클릭")</f>
        <v>클릭</v>
      </c>
      <c r="H67">
        <v>1993</v>
      </c>
      <c r="I67">
        <v>7</v>
      </c>
      <c r="J67">
        <v>752</v>
      </c>
      <c r="K67">
        <v>84</v>
      </c>
      <c r="L67" t="s">
        <v>135</v>
      </c>
      <c r="M67" t="s">
        <v>137</v>
      </c>
      <c r="N67" t="s">
        <v>150</v>
      </c>
      <c r="O67">
        <v>85000</v>
      </c>
      <c r="P67" t="s">
        <v>148</v>
      </c>
      <c r="Q67">
        <v>50000</v>
      </c>
      <c r="R67">
        <v>35000</v>
      </c>
      <c r="S67" s="2">
        <v>0.58823529411764708</v>
      </c>
      <c r="T67">
        <v>102000</v>
      </c>
      <c r="U67" s="2">
        <v>-0.16666666666666671</v>
      </c>
      <c r="V67">
        <v>49200</v>
      </c>
      <c r="W67" s="2">
        <v>1.7276422764227639</v>
      </c>
      <c r="AA67" t="s">
        <v>198</v>
      </c>
    </row>
    <row r="68" spans="1:27" x14ac:dyDescent="0.3">
      <c r="A68" s="3">
        <v>66</v>
      </c>
      <c r="B68">
        <v>1454</v>
      </c>
      <c r="C68" t="s">
        <v>26</v>
      </c>
      <c r="D68" t="s">
        <v>27</v>
      </c>
      <c r="E68" t="s">
        <v>31</v>
      </c>
      <c r="F68" t="s">
        <v>57</v>
      </c>
      <c r="G68" s="1" t="str">
        <f>HYPERLINK("https://new.land.naver.com/complexes/1454", "클릭")</f>
        <v>클릭</v>
      </c>
      <c r="H68">
        <v>1993</v>
      </c>
      <c r="I68">
        <v>4</v>
      </c>
      <c r="J68">
        <v>1482</v>
      </c>
      <c r="K68">
        <v>84</v>
      </c>
      <c r="L68" t="s">
        <v>135</v>
      </c>
      <c r="M68" t="s">
        <v>137</v>
      </c>
      <c r="N68" t="s">
        <v>150</v>
      </c>
      <c r="O68">
        <v>83000</v>
      </c>
      <c r="P68" t="s">
        <v>150</v>
      </c>
      <c r="Q68">
        <v>40000</v>
      </c>
      <c r="R68">
        <v>43000</v>
      </c>
      <c r="S68" s="2">
        <v>0.48192771084337349</v>
      </c>
      <c r="T68">
        <v>110000</v>
      </c>
      <c r="U68" s="2">
        <v>-0.24545454545454551</v>
      </c>
      <c r="V68">
        <v>49300</v>
      </c>
      <c r="W68" s="2">
        <v>1.683569979716024</v>
      </c>
      <c r="AA68" t="s">
        <v>198</v>
      </c>
    </row>
    <row r="69" spans="1:27" x14ac:dyDescent="0.3">
      <c r="A69" s="3">
        <v>67</v>
      </c>
      <c r="B69">
        <v>1478</v>
      </c>
      <c r="C69" t="s">
        <v>26</v>
      </c>
      <c r="D69" t="s">
        <v>27</v>
      </c>
      <c r="E69" t="s">
        <v>30</v>
      </c>
      <c r="F69" t="s">
        <v>60</v>
      </c>
      <c r="G69" s="1" t="str">
        <f>HYPERLINK("https://new.land.naver.com/complexes/1478", "클릭")</f>
        <v>클릭</v>
      </c>
      <c r="H69">
        <v>1993</v>
      </c>
      <c r="I69">
        <v>10</v>
      </c>
      <c r="J69">
        <v>656</v>
      </c>
      <c r="K69">
        <v>84</v>
      </c>
      <c r="L69" t="s">
        <v>135</v>
      </c>
      <c r="M69" t="s">
        <v>137</v>
      </c>
      <c r="N69" t="s">
        <v>147</v>
      </c>
      <c r="O69">
        <v>82000</v>
      </c>
      <c r="P69" t="s">
        <v>147</v>
      </c>
      <c r="Q69">
        <v>45000</v>
      </c>
      <c r="R69">
        <v>37000</v>
      </c>
      <c r="S69" s="2">
        <v>0.54878048780487809</v>
      </c>
      <c r="T69">
        <v>103000</v>
      </c>
      <c r="U69" s="2">
        <v>-0.20388349514563109</v>
      </c>
      <c r="V69">
        <v>54200</v>
      </c>
      <c r="W69" s="2">
        <v>1.512915129151291</v>
      </c>
      <c r="AA69" t="s">
        <v>198</v>
      </c>
    </row>
    <row r="70" spans="1:27" x14ac:dyDescent="0.3">
      <c r="A70" s="3">
        <v>68</v>
      </c>
      <c r="B70">
        <v>1465</v>
      </c>
      <c r="C70" t="s">
        <v>26</v>
      </c>
      <c r="D70" t="s">
        <v>27</v>
      </c>
      <c r="E70" t="s">
        <v>29</v>
      </c>
      <c r="F70" t="s">
        <v>61</v>
      </c>
      <c r="G70" s="1" t="str">
        <f>HYPERLINK("https://new.land.naver.com/complexes/1465", "클릭")</f>
        <v>클릭</v>
      </c>
      <c r="H70">
        <v>1995</v>
      </c>
      <c r="I70">
        <v>1</v>
      </c>
      <c r="J70">
        <v>708</v>
      </c>
      <c r="K70">
        <v>84</v>
      </c>
      <c r="L70" t="s">
        <v>135</v>
      </c>
      <c r="M70" t="s">
        <v>137</v>
      </c>
      <c r="N70" t="s">
        <v>147</v>
      </c>
      <c r="O70">
        <v>82000</v>
      </c>
      <c r="P70" t="s">
        <v>147</v>
      </c>
      <c r="Q70">
        <v>38000</v>
      </c>
      <c r="R70">
        <v>44000</v>
      </c>
      <c r="S70" s="2">
        <v>0.46341463414634149</v>
      </c>
      <c r="T70">
        <v>92000</v>
      </c>
      <c r="U70" s="2">
        <v>-0.108695652173913</v>
      </c>
      <c r="V70">
        <v>48700</v>
      </c>
      <c r="W70" s="2">
        <v>1.6837782340862419</v>
      </c>
      <c r="AA70" t="s">
        <v>198</v>
      </c>
    </row>
    <row r="71" spans="1:27" x14ac:dyDescent="0.3">
      <c r="A71" s="3">
        <v>69</v>
      </c>
      <c r="B71">
        <v>3001</v>
      </c>
      <c r="C71" t="s">
        <v>26</v>
      </c>
      <c r="D71" t="s">
        <v>27</v>
      </c>
      <c r="E71" t="s">
        <v>29</v>
      </c>
      <c r="F71" t="s">
        <v>62</v>
      </c>
      <c r="G71" s="1" t="str">
        <f>HYPERLINK("https://new.land.naver.com/complexes/3001", "클릭")</f>
        <v>클릭</v>
      </c>
      <c r="H71">
        <v>1995</v>
      </c>
      <c r="I71">
        <v>5</v>
      </c>
      <c r="J71">
        <v>952</v>
      </c>
      <c r="K71">
        <v>84</v>
      </c>
      <c r="L71" t="s">
        <v>135</v>
      </c>
      <c r="M71" t="s">
        <v>137</v>
      </c>
      <c r="N71" t="s">
        <v>155</v>
      </c>
      <c r="O71">
        <v>81000</v>
      </c>
      <c r="P71" t="s">
        <v>155</v>
      </c>
      <c r="Q71">
        <v>40000</v>
      </c>
      <c r="R71">
        <v>41000</v>
      </c>
      <c r="S71" s="2">
        <v>0.49382716049382708</v>
      </c>
      <c r="T71">
        <v>84000</v>
      </c>
      <c r="U71" s="2">
        <v>-3.5714285714285712E-2</v>
      </c>
      <c r="V71">
        <v>48600</v>
      </c>
      <c r="W71" s="2">
        <v>1.666666666666667</v>
      </c>
      <c r="AA71" t="s">
        <v>198</v>
      </c>
    </row>
    <row r="72" spans="1:27" x14ac:dyDescent="0.3">
      <c r="A72" s="3">
        <v>70</v>
      </c>
      <c r="B72">
        <v>1482</v>
      </c>
      <c r="C72" t="s">
        <v>26</v>
      </c>
      <c r="D72" t="s">
        <v>27</v>
      </c>
      <c r="E72" t="s">
        <v>30</v>
      </c>
      <c r="F72" t="s">
        <v>41</v>
      </c>
      <c r="G72" s="1" t="str">
        <f>HYPERLINK("https://new.land.naver.com/complexes/1482", "클릭")</f>
        <v>클릭</v>
      </c>
      <c r="H72">
        <v>1993</v>
      </c>
      <c r="I72">
        <v>4</v>
      </c>
      <c r="J72">
        <v>780</v>
      </c>
      <c r="K72">
        <v>59</v>
      </c>
      <c r="L72" t="s">
        <v>135</v>
      </c>
      <c r="M72" t="s">
        <v>138</v>
      </c>
      <c r="N72" t="s">
        <v>245</v>
      </c>
      <c r="O72">
        <v>81000</v>
      </c>
      <c r="P72" t="s">
        <v>245</v>
      </c>
      <c r="Q72">
        <v>50000</v>
      </c>
      <c r="R72">
        <v>31000</v>
      </c>
      <c r="S72" s="2">
        <v>0.61728395061728392</v>
      </c>
      <c r="T72">
        <v>89000</v>
      </c>
      <c r="U72" s="2">
        <v>-8.98876404494382E-2</v>
      </c>
      <c r="V72">
        <v>48800</v>
      </c>
      <c r="W72" s="2">
        <v>1.6598360655737709</v>
      </c>
      <c r="AA72" t="s">
        <v>198</v>
      </c>
    </row>
    <row r="73" spans="1:27" x14ac:dyDescent="0.3">
      <c r="A73" s="3">
        <v>71</v>
      </c>
      <c r="B73">
        <v>2505</v>
      </c>
      <c r="C73" t="s">
        <v>26</v>
      </c>
      <c r="D73" t="s">
        <v>27</v>
      </c>
      <c r="E73" t="s">
        <v>29</v>
      </c>
      <c r="F73" t="s">
        <v>43</v>
      </c>
      <c r="G73" s="1" t="str">
        <f>HYPERLINK("https://new.land.naver.com/complexes/2505", "클릭")</f>
        <v>클릭</v>
      </c>
      <c r="H73">
        <v>1998</v>
      </c>
      <c r="I73">
        <v>12</v>
      </c>
      <c r="J73">
        <v>1314</v>
      </c>
      <c r="K73">
        <v>59</v>
      </c>
      <c r="L73" t="s">
        <v>135</v>
      </c>
      <c r="M73" t="s">
        <v>235</v>
      </c>
      <c r="N73" t="s">
        <v>246</v>
      </c>
      <c r="O73">
        <v>80000</v>
      </c>
      <c r="P73" t="s">
        <v>246</v>
      </c>
      <c r="Q73">
        <v>40000</v>
      </c>
      <c r="R73">
        <v>40000</v>
      </c>
      <c r="S73" s="2">
        <v>0.5</v>
      </c>
      <c r="T73">
        <v>105000</v>
      </c>
      <c r="U73" s="2">
        <v>-0.23809523809523811</v>
      </c>
      <c r="V73">
        <v>52600</v>
      </c>
      <c r="W73" s="2">
        <v>1.520912547528517</v>
      </c>
      <c r="AA73" t="s">
        <v>198</v>
      </c>
    </row>
    <row r="74" spans="1:27" x14ac:dyDescent="0.3">
      <c r="A74" s="3">
        <v>72</v>
      </c>
      <c r="B74">
        <v>1481</v>
      </c>
      <c r="C74" t="s">
        <v>26</v>
      </c>
      <c r="D74" t="s">
        <v>27</v>
      </c>
      <c r="E74" t="s">
        <v>30</v>
      </c>
      <c r="F74" t="s">
        <v>39</v>
      </c>
      <c r="G74" s="1" t="str">
        <f>HYPERLINK("https://new.land.naver.com/complexes/1481", "클릭")</f>
        <v>클릭</v>
      </c>
      <c r="H74">
        <v>1992</v>
      </c>
      <c r="I74">
        <v>11</v>
      </c>
      <c r="J74">
        <v>552</v>
      </c>
      <c r="K74">
        <v>59</v>
      </c>
      <c r="L74" t="s">
        <v>135</v>
      </c>
      <c r="M74" t="s">
        <v>138</v>
      </c>
      <c r="N74" t="s">
        <v>247</v>
      </c>
      <c r="O74">
        <v>80000</v>
      </c>
      <c r="P74" t="s">
        <v>247</v>
      </c>
      <c r="Q74">
        <v>48000</v>
      </c>
      <c r="R74">
        <v>32000</v>
      </c>
      <c r="S74" s="2">
        <v>0.6</v>
      </c>
      <c r="T74">
        <v>93500</v>
      </c>
      <c r="U74" s="2">
        <v>-0.14438502673796791</v>
      </c>
      <c r="V74">
        <v>47300</v>
      </c>
      <c r="W74" s="2">
        <v>1.691331923890063</v>
      </c>
      <c r="AA74" t="s">
        <v>198</v>
      </c>
    </row>
    <row r="75" spans="1:27" x14ac:dyDescent="0.3">
      <c r="A75" s="3">
        <v>73</v>
      </c>
      <c r="B75">
        <v>2033</v>
      </c>
      <c r="C75" t="s">
        <v>26</v>
      </c>
      <c r="D75" t="s">
        <v>27</v>
      </c>
      <c r="E75" t="s">
        <v>28</v>
      </c>
      <c r="F75" t="s">
        <v>86</v>
      </c>
      <c r="G75" s="1" t="str">
        <f>HYPERLINK("https://new.land.naver.com/complexes/2033", "클릭")</f>
        <v>클릭</v>
      </c>
      <c r="H75">
        <v>1992</v>
      </c>
      <c r="I75">
        <v>12</v>
      </c>
      <c r="J75">
        <v>794</v>
      </c>
      <c r="K75">
        <v>127</v>
      </c>
      <c r="L75" t="s">
        <v>135</v>
      </c>
      <c r="M75" t="s">
        <v>139</v>
      </c>
      <c r="N75" t="s">
        <v>601</v>
      </c>
      <c r="O75">
        <v>80000</v>
      </c>
      <c r="P75" t="s">
        <v>601</v>
      </c>
      <c r="Q75">
        <v>40000</v>
      </c>
      <c r="R75">
        <v>40000</v>
      </c>
      <c r="S75" s="2">
        <v>0.5</v>
      </c>
      <c r="V75">
        <v>48200</v>
      </c>
      <c r="W75" s="2">
        <v>1.659751037344398</v>
      </c>
      <c r="AA75" t="s">
        <v>198</v>
      </c>
    </row>
    <row r="76" spans="1:27" x14ac:dyDescent="0.3">
      <c r="A76" s="3">
        <v>74</v>
      </c>
      <c r="B76">
        <v>1461</v>
      </c>
      <c r="C76" t="s">
        <v>26</v>
      </c>
      <c r="D76" t="s">
        <v>27</v>
      </c>
      <c r="E76" t="s">
        <v>29</v>
      </c>
      <c r="F76" t="s">
        <v>63</v>
      </c>
      <c r="G76" s="1" t="str">
        <f>HYPERLINK("https://new.land.naver.com/complexes/1461", "클릭")</f>
        <v>클릭</v>
      </c>
      <c r="H76">
        <v>1992</v>
      </c>
      <c r="I76">
        <v>11</v>
      </c>
      <c r="J76">
        <v>436</v>
      </c>
      <c r="K76">
        <v>84</v>
      </c>
      <c r="L76" t="s">
        <v>135</v>
      </c>
      <c r="M76" t="s">
        <v>137</v>
      </c>
      <c r="N76" t="s">
        <v>155</v>
      </c>
      <c r="O76">
        <v>79900</v>
      </c>
      <c r="P76" t="s">
        <v>155</v>
      </c>
      <c r="Q76">
        <v>40000</v>
      </c>
      <c r="R76">
        <v>39900</v>
      </c>
      <c r="S76" s="2">
        <v>0.50062578222778475</v>
      </c>
      <c r="T76">
        <v>86000</v>
      </c>
      <c r="U76" s="2">
        <v>-7.093023255813953E-2</v>
      </c>
      <c r="V76">
        <v>48600</v>
      </c>
      <c r="W76" s="2">
        <v>1.644032921810699</v>
      </c>
      <c r="AA76" t="s">
        <v>198</v>
      </c>
    </row>
    <row r="77" spans="1:27" x14ac:dyDescent="0.3">
      <c r="A77" s="3">
        <v>75</v>
      </c>
      <c r="B77">
        <v>1468</v>
      </c>
      <c r="C77" t="s">
        <v>26</v>
      </c>
      <c r="D77" t="s">
        <v>27</v>
      </c>
      <c r="E77" t="s">
        <v>31</v>
      </c>
      <c r="F77" t="s">
        <v>49</v>
      </c>
      <c r="G77" s="1" t="str">
        <f>HYPERLINK("https://new.land.naver.com/complexes/1468", "클릭")</f>
        <v>클릭</v>
      </c>
      <c r="H77">
        <v>1992</v>
      </c>
      <c r="I77">
        <v>11</v>
      </c>
      <c r="J77">
        <v>508</v>
      </c>
      <c r="K77">
        <v>59</v>
      </c>
      <c r="L77" t="s">
        <v>135</v>
      </c>
      <c r="M77" t="s">
        <v>138</v>
      </c>
      <c r="N77" t="s">
        <v>248</v>
      </c>
      <c r="O77">
        <v>78000</v>
      </c>
      <c r="P77" t="s">
        <v>248</v>
      </c>
      <c r="Q77">
        <v>36000</v>
      </c>
      <c r="R77">
        <v>42000</v>
      </c>
      <c r="S77" s="2">
        <v>0.46153846153846162</v>
      </c>
      <c r="T77">
        <v>84500</v>
      </c>
      <c r="U77" s="2">
        <v>-7.6923076923076927E-2</v>
      </c>
      <c r="V77">
        <v>42700</v>
      </c>
      <c r="W77" s="2">
        <v>1.826697892271663</v>
      </c>
      <c r="AA77" t="s">
        <v>198</v>
      </c>
    </row>
    <row r="78" spans="1:27" x14ac:dyDescent="0.3">
      <c r="A78" s="3">
        <v>76</v>
      </c>
      <c r="B78">
        <v>8481</v>
      </c>
      <c r="C78" t="s">
        <v>26</v>
      </c>
      <c r="D78" t="s">
        <v>27</v>
      </c>
      <c r="E78" t="s">
        <v>30</v>
      </c>
      <c r="F78" t="s">
        <v>64</v>
      </c>
      <c r="G78" s="1" t="str">
        <f>HYPERLINK("https://new.land.naver.com/complexes/8481", "클릭")</f>
        <v>클릭</v>
      </c>
      <c r="H78">
        <v>1993</v>
      </c>
      <c r="I78">
        <v>11</v>
      </c>
      <c r="J78">
        <v>870</v>
      </c>
      <c r="K78">
        <v>84</v>
      </c>
      <c r="L78" t="s">
        <v>135</v>
      </c>
      <c r="M78" t="s">
        <v>137</v>
      </c>
      <c r="N78" t="s">
        <v>148</v>
      </c>
      <c r="O78">
        <v>78000</v>
      </c>
      <c r="P78" t="s">
        <v>148</v>
      </c>
      <c r="Q78">
        <v>42000</v>
      </c>
      <c r="R78">
        <v>36000</v>
      </c>
      <c r="S78" s="2">
        <v>0.53846153846153844</v>
      </c>
      <c r="T78">
        <v>95000</v>
      </c>
      <c r="U78" s="2">
        <v>-0.1789473684210526</v>
      </c>
      <c r="V78">
        <v>46600</v>
      </c>
      <c r="W78" s="2">
        <v>1.67381974248927</v>
      </c>
      <c r="AA78" t="s">
        <v>198</v>
      </c>
    </row>
    <row r="79" spans="1:27" x14ac:dyDescent="0.3">
      <c r="A79" s="3">
        <v>77</v>
      </c>
      <c r="B79">
        <v>19492</v>
      </c>
      <c r="C79" t="s">
        <v>26</v>
      </c>
      <c r="D79" t="s">
        <v>27</v>
      </c>
      <c r="E79" t="s">
        <v>28</v>
      </c>
      <c r="F79" t="s">
        <v>65</v>
      </c>
      <c r="G79" s="1" t="str">
        <f>HYPERLINK("https://new.land.naver.com/complexes/19492", "클릭")</f>
        <v>클릭</v>
      </c>
      <c r="H79">
        <v>1992</v>
      </c>
      <c r="I79">
        <v>12</v>
      </c>
      <c r="J79">
        <v>800</v>
      </c>
      <c r="K79">
        <v>84</v>
      </c>
      <c r="L79" t="s">
        <v>135</v>
      </c>
      <c r="M79" t="s">
        <v>137</v>
      </c>
      <c r="N79" t="s">
        <v>149</v>
      </c>
      <c r="O79">
        <v>78000</v>
      </c>
      <c r="P79" t="s">
        <v>158</v>
      </c>
      <c r="Q79">
        <v>43000</v>
      </c>
      <c r="R79">
        <v>35000</v>
      </c>
      <c r="S79" s="2">
        <v>0.55128205128205132</v>
      </c>
      <c r="T79">
        <v>96500</v>
      </c>
      <c r="U79" s="2">
        <v>-0.19170984455958551</v>
      </c>
      <c r="V79">
        <v>48800</v>
      </c>
      <c r="W79" s="2">
        <v>1.598360655737705</v>
      </c>
      <c r="AA79" t="s">
        <v>198</v>
      </c>
    </row>
    <row r="80" spans="1:27" x14ac:dyDescent="0.3">
      <c r="A80" s="3">
        <v>78</v>
      </c>
      <c r="B80">
        <v>1480</v>
      </c>
      <c r="C80" t="s">
        <v>26</v>
      </c>
      <c r="D80" t="s">
        <v>27</v>
      </c>
      <c r="E80" t="s">
        <v>30</v>
      </c>
      <c r="F80" t="s">
        <v>36</v>
      </c>
      <c r="G80" s="1" t="str">
        <f>HYPERLINK("https://new.land.naver.com/complexes/1480", "클릭")</f>
        <v>클릭</v>
      </c>
      <c r="H80">
        <v>1993</v>
      </c>
      <c r="I80">
        <v>3</v>
      </c>
      <c r="J80">
        <v>530</v>
      </c>
      <c r="K80">
        <v>59</v>
      </c>
      <c r="L80" t="s">
        <v>135</v>
      </c>
      <c r="M80" t="s">
        <v>235</v>
      </c>
      <c r="N80" t="s">
        <v>250</v>
      </c>
      <c r="O80">
        <v>77000</v>
      </c>
      <c r="P80" t="s">
        <v>250</v>
      </c>
      <c r="Q80">
        <v>48000</v>
      </c>
      <c r="R80">
        <v>29000</v>
      </c>
      <c r="S80" s="2">
        <v>0.62337662337662336</v>
      </c>
      <c r="T80">
        <v>96000</v>
      </c>
      <c r="U80" s="2">
        <v>-0.19791666666666671</v>
      </c>
      <c r="V80">
        <v>49600</v>
      </c>
      <c r="W80" s="2">
        <v>1.55241935483871</v>
      </c>
      <c r="AA80" t="s">
        <v>198</v>
      </c>
    </row>
    <row r="81" spans="1:27" x14ac:dyDescent="0.3">
      <c r="A81" s="3">
        <v>79</v>
      </c>
      <c r="B81">
        <v>1472</v>
      </c>
      <c r="C81" t="s">
        <v>26</v>
      </c>
      <c r="D81" t="s">
        <v>27</v>
      </c>
      <c r="E81" t="s">
        <v>28</v>
      </c>
      <c r="F81" t="s">
        <v>52</v>
      </c>
      <c r="G81" s="1" t="str">
        <f>HYPERLINK("https://new.land.naver.com/complexes/1472", "클릭")</f>
        <v>클릭</v>
      </c>
      <c r="H81">
        <v>1992</v>
      </c>
      <c r="I81">
        <v>8</v>
      </c>
      <c r="J81">
        <v>438</v>
      </c>
      <c r="K81">
        <v>72</v>
      </c>
      <c r="L81" t="s">
        <v>135</v>
      </c>
      <c r="M81" t="s">
        <v>137</v>
      </c>
      <c r="N81" t="s">
        <v>259</v>
      </c>
      <c r="O81">
        <v>76000</v>
      </c>
      <c r="P81" t="s">
        <v>259</v>
      </c>
      <c r="Q81">
        <v>46000</v>
      </c>
      <c r="R81">
        <v>30000</v>
      </c>
      <c r="S81" s="2">
        <v>0.60526315789473684</v>
      </c>
      <c r="V81">
        <v>42100</v>
      </c>
      <c r="W81" s="2">
        <v>1.8052256532066511</v>
      </c>
      <c r="AA81" t="s">
        <v>198</v>
      </c>
    </row>
    <row r="82" spans="1:27" x14ac:dyDescent="0.3">
      <c r="A82" s="3">
        <v>80</v>
      </c>
      <c r="B82">
        <v>1473</v>
      </c>
      <c r="C82" t="s">
        <v>26</v>
      </c>
      <c r="D82" t="s">
        <v>27</v>
      </c>
      <c r="E82" t="s">
        <v>28</v>
      </c>
      <c r="F82" t="s">
        <v>73</v>
      </c>
      <c r="G82" s="1" t="str">
        <f>HYPERLINK("https://new.land.naver.com/complexes/1473", "클릭")</f>
        <v>클릭</v>
      </c>
      <c r="H82">
        <v>1992</v>
      </c>
      <c r="I82">
        <v>9</v>
      </c>
      <c r="J82">
        <v>321</v>
      </c>
      <c r="K82">
        <v>84</v>
      </c>
      <c r="L82" t="s">
        <v>135</v>
      </c>
      <c r="M82" t="s">
        <v>137</v>
      </c>
      <c r="N82" t="s">
        <v>150</v>
      </c>
      <c r="O82">
        <v>75000</v>
      </c>
      <c r="P82" t="s">
        <v>150</v>
      </c>
      <c r="Q82">
        <v>46000</v>
      </c>
      <c r="R82">
        <v>29000</v>
      </c>
      <c r="S82" s="2">
        <v>0.61333333333333329</v>
      </c>
      <c r="T82">
        <v>88000</v>
      </c>
      <c r="U82" s="2">
        <v>-0.14772727272727271</v>
      </c>
      <c r="V82">
        <v>41800</v>
      </c>
      <c r="W82" s="2">
        <v>1.794258373205742</v>
      </c>
      <c r="AA82" t="s">
        <v>198</v>
      </c>
    </row>
    <row r="83" spans="1:27" x14ac:dyDescent="0.3">
      <c r="A83" s="3">
        <v>81</v>
      </c>
      <c r="B83">
        <v>1462</v>
      </c>
      <c r="C83" t="s">
        <v>26</v>
      </c>
      <c r="D83" t="s">
        <v>27</v>
      </c>
      <c r="E83" t="s">
        <v>29</v>
      </c>
      <c r="F83" t="s">
        <v>219</v>
      </c>
      <c r="G83" s="1" t="str">
        <f>HYPERLINK("https://new.land.naver.com/complexes/1462", "클릭")</f>
        <v>클릭</v>
      </c>
      <c r="H83">
        <v>1993</v>
      </c>
      <c r="I83">
        <v>2</v>
      </c>
      <c r="J83">
        <v>750</v>
      </c>
      <c r="K83">
        <v>79</v>
      </c>
      <c r="L83" t="s">
        <v>135</v>
      </c>
      <c r="M83" t="s">
        <v>137</v>
      </c>
      <c r="N83" t="s">
        <v>169</v>
      </c>
      <c r="O83">
        <v>73000</v>
      </c>
      <c r="P83" t="s">
        <v>169</v>
      </c>
      <c r="Q83">
        <v>44000</v>
      </c>
      <c r="R83">
        <v>29000</v>
      </c>
      <c r="S83" s="2">
        <v>0.60273972602739723</v>
      </c>
      <c r="V83">
        <v>44400</v>
      </c>
      <c r="W83" s="2">
        <v>1.644144144144144</v>
      </c>
      <c r="AA83" t="s">
        <v>198</v>
      </c>
    </row>
    <row r="84" spans="1:27" x14ac:dyDescent="0.3">
      <c r="A84" s="3">
        <v>82</v>
      </c>
      <c r="B84">
        <v>8481</v>
      </c>
      <c r="C84" t="s">
        <v>26</v>
      </c>
      <c r="D84" t="s">
        <v>27</v>
      </c>
      <c r="E84" t="s">
        <v>30</v>
      </c>
      <c r="F84" t="s">
        <v>64</v>
      </c>
      <c r="G84" s="1" t="str">
        <f>HYPERLINK("https://new.land.naver.com/complexes/8481", "클릭")</f>
        <v>클릭</v>
      </c>
      <c r="H84">
        <v>1993</v>
      </c>
      <c r="I84">
        <v>11</v>
      </c>
      <c r="J84">
        <v>870</v>
      </c>
      <c r="K84">
        <v>79</v>
      </c>
      <c r="L84" t="s">
        <v>135</v>
      </c>
      <c r="M84" t="s">
        <v>137</v>
      </c>
      <c r="N84" t="s">
        <v>342</v>
      </c>
      <c r="O84">
        <v>72000</v>
      </c>
      <c r="V84">
        <v>39000</v>
      </c>
      <c r="W84" s="2">
        <v>1.846153846153846</v>
      </c>
      <c r="AA84" t="s">
        <v>199</v>
      </c>
    </row>
    <row r="85" spans="1:27" x14ac:dyDescent="0.3">
      <c r="A85" s="3">
        <v>83</v>
      </c>
      <c r="B85">
        <v>3023</v>
      </c>
      <c r="C85" t="s">
        <v>26</v>
      </c>
      <c r="D85" t="s">
        <v>27</v>
      </c>
      <c r="E85" t="s">
        <v>28</v>
      </c>
      <c r="F85" t="s">
        <v>212</v>
      </c>
      <c r="G85" s="1" t="str">
        <f>HYPERLINK("https://new.land.naver.com/complexes/3023", "클릭")</f>
        <v>클릭</v>
      </c>
      <c r="H85">
        <v>1993</v>
      </c>
      <c r="I85">
        <v>3</v>
      </c>
      <c r="J85">
        <v>683</v>
      </c>
      <c r="K85">
        <v>58</v>
      </c>
      <c r="L85" t="s">
        <v>136</v>
      </c>
      <c r="M85" t="s">
        <v>235</v>
      </c>
      <c r="N85" t="s">
        <v>254</v>
      </c>
      <c r="O85">
        <v>72000</v>
      </c>
      <c r="P85" t="s">
        <v>254</v>
      </c>
      <c r="Q85">
        <v>32000</v>
      </c>
      <c r="R85">
        <v>40000</v>
      </c>
      <c r="S85" s="2">
        <v>0.44444444444444442</v>
      </c>
      <c r="T85">
        <v>58750</v>
      </c>
      <c r="U85" s="2">
        <v>0.22553191489361701</v>
      </c>
      <c r="V85">
        <v>40400</v>
      </c>
      <c r="W85" s="2">
        <v>1.782178217821782</v>
      </c>
      <c r="AA85" t="s">
        <v>198</v>
      </c>
    </row>
    <row r="86" spans="1:27" x14ac:dyDescent="0.3">
      <c r="A86" s="3">
        <v>84</v>
      </c>
      <c r="B86">
        <v>1477</v>
      </c>
      <c r="C86" t="s">
        <v>26</v>
      </c>
      <c r="D86" t="s">
        <v>27</v>
      </c>
      <c r="E86" t="s">
        <v>30</v>
      </c>
      <c r="F86" t="s">
        <v>56</v>
      </c>
      <c r="G86" s="1" t="str">
        <f>HYPERLINK("https://new.land.naver.com/complexes/1477", "클릭")</f>
        <v>클릭</v>
      </c>
      <c r="H86">
        <v>1993</v>
      </c>
      <c r="I86">
        <v>7</v>
      </c>
      <c r="J86">
        <v>752</v>
      </c>
      <c r="K86">
        <v>59</v>
      </c>
      <c r="L86" t="s">
        <v>135</v>
      </c>
      <c r="M86" t="s">
        <v>138</v>
      </c>
      <c r="N86" t="s">
        <v>255</v>
      </c>
      <c r="O86">
        <v>72000</v>
      </c>
      <c r="P86" t="s">
        <v>255</v>
      </c>
      <c r="Q86">
        <v>35000</v>
      </c>
      <c r="R86">
        <v>37000</v>
      </c>
      <c r="S86" s="2">
        <v>0.4861111111111111</v>
      </c>
      <c r="T86">
        <v>82000</v>
      </c>
      <c r="U86" s="2">
        <v>-0.12195121951219511</v>
      </c>
      <c r="V86">
        <v>40500</v>
      </c>
      <c r="W86" s="2">
        <v>1.7777777777777779</v>
      </c>
      <c r="AA86" t="s">
        <v>198</v>
      </c>
    </row>
    <row r="87" spans="1:27" x14ac:dyDescent="0.3">
      <c r="A87" s="3">
        <v>85</v>
      </c>
      <c r="B87">
        <v>1993</v>
      </c>
      <c r="C87" t="s">
        <v>26</v>
      </c>
      <c r="D87" t="s">
        <v>27</v>
      </c>
      <c r="E87" t="s">
        <v>31</v>
      </c>
      <c r="F87" t="s">
        <v>76</v>
      </c>
      <c r="G87" s="1" t="str">
        <f>HYPERLINK("https://new.land.naver.com/complexes/1993", "클릭")</f>
        <v>클릭</v>
      </c>
      <c r="H87">
        <v>1993</v>
      </c>
      <c r="I87">
        <v>10</v>
      </c>
      <c r="J87">
        <v>796</v>
      </c>
      <c r="K87">
        <v>84</v>
      </c>
      <c r="L87" t="s">
        <v>135</v>
      </c>
      <c r="M87" t="s">
        <v>137</v>
      </c>
      <c r="N87" t="s">
        <v>150</v>
      </c>
      <c r="O87">
        <v>71000</v>
      </c>
      <c r="P87" t="s">
        <v>150</v>
      </c>
      <c r="Q87">
        <v>39000</v>
      </c>
      <c r="R87">
        <v>32000</v>
      </c>
      <c r="S87" s="2">
        <v>0.54929577464788737</v>
      </c>
      <c r="T87">
        <v>87000</v>
      </c>
      <c r="U87" s="2">
        <v>-0.18390804597701149</v>
      </c>
      <c r="V87">
        <v>41500</v>
      </c>
      <c r="W87" s="2">
        <v>1.7108433734939761</v>
      </c>
      <c r="AA87" t="s">
        <v>198</v>
      </c>
    </row>
    <row r="88" spans="1:27" x14ac:dyDescent="0.3">
      <c r="A88" s="3">
        <v>86</v>
      </c>
      <c r="B88">
        <v>1467</v>
      </c>
      <c r="C88" t="s">
        <v>26</v>
      </c>
      <c r="D88" t="s">
        <v>27</v>
      </c>
      <c r="E88" t="s">
        <v>31</v>
      </c>
      <c r="F88" t="s">
        <v>53</v>
      </c>
      <c r="G88" s="1" t="str">
        <f>HYPERLINK("https://new.land.naver.com/complexes/1467", "클릭")</f>
        <v>클릭</v>
      </c>
      <c r="H88">
        <v>1992</v>
      </c>
      <c r="I88">
        <v>5</v>
      </c>
      <c r="J88">
        <v>620</v>
      </c>
      <c r="K88">
        <v>59</v>
      </c>
      <c r="L88" t="s">
        <v>136</v>
      </c>
      <c r="M88" t="s">
        <v>235</v>
      </c>
      <c r="N88" t="s">
        <v>248</v>
      </c>
      <c r="O88">
        <v>70000</v>
      </c>
      <c r="P88" t="s">
        <v>248</v>
      </c>
      <c r="Q88">
        <v>35000</v>
      </c>
      <c r="R88">
        <v>35000</v>
      </c>
      <c r="S88" s="2">
        <v>0.5</v>
      </c>
      <c r="T88">
        <v>76000</v>
      </c>
      <c r="U88" s="2">
        <v>-7.8947368421052627E-2</v>
      </c>
      <c r="V88">
        <v>38900</v>
      </c>
      <c r="W88" s="2">
        <v>1.7994858611825191</v>
      </c>
      <c r="AA88" t="s">
        <v>198</v>
      </c>
    </row>
    <row r="89" spans="1:27" x14ac:dyDescent="0.3">
      <c r="A89" s="3">
        <v>87</v>
      </c>
      <c r="B89">
        <v>2595</v>
      </c>
      <c r="C89" t="s">
        <v>26</v>
      </c>
      <c r="D89" t="s">
        <v>27</v>
      </c>
      <c r="E89" t="s">
        <v>30</v>
      </c>
      <c r="F89" t="s">
        <v>297</v>
      </c>
      <c r="G89" s="1" t="str">
        <f>HYPERLINK("https://new.land.naver.com/complexes/2595", "클릭")</f>
        <v>클릭</v>
      </c>
      <c r="H89">
        <v>1992</v>
      </c>
      <c r="I89">
        <v>10</v>
      </c>
      <c r="J89">
        <v>1743</v>
      </c>
      <c r="K89">
        <v>60</v>
      </c>
      <c r="L89" t="s">
        <v>136</v>
      </c>
      <c r="M89" t="s">
        <v>138</v>
      </c>
      <c r="N89" t="s">
        <v>263</v>
      </c>
      <c r="O89">
        <v>70000</v>
      </c>
      <c r="P89" t="s">
        <v>263</v>
      </c>
      <c r="Q89">
        <v>32000</v>
      </c>
      <c r="R89">
        <v>38000</v>
      </c>
      <c r="S89" s="2">
        <v>0.45714285714285707</v>
      </c>
      <c r="V89">
        <v>41700</v>
      </c>
      <c r="W89" s="2">
        <v>1.678657074340528</v>
      </c>
      <c r="AA89" t="s">
        <v>198</v>
      </c>
    </row>
    <row r="90" spans="1:27" x14ac:dyDescent="0.3">
      <c r="A90" s="3">
        <v>88</v>
      </c>
      <c r="B90">
        <v>3023</v>
      </c>
      <c r="C90" t="s">
        <v>26</v>
      </c>
      <c r="D90" t="s">
        <v>27</v>
      </c>
      <c r="E90" t="s">
        <v>28</v>
      </c>
      <c r="F90" t="s">
        <v>212</v>
      </c>
      <c r="G90" s="1" t="str">
        <f>HYPERLINK("https://new.land.naver.com/complexes/3023", "클릭")</f>
        <v>클릭</v>
      </c>
      <c r="H90">
        <v>1993</v>
      </c>
      <c r="I90">
        <v>3</v>
      </c>
      <c r="J90">
        <v>683</v>
      </c>
      <c r="K90">
        <v>60</v>
      </c>
      <c r="L90" t="s">
        <v>136</v>
      </c>
      <c r="M90" t="s">
        <v>235</v>
      </c>
      <c r="N90" t="s">
        <v>247</v>
      </c>
      <c r="O90">
        <v>70000</v>
      </c>
      <c r="P90" t="s">
        <v>247</v>
      </c>
      <c r="Q90">
        <v>30000</v>
      </c>
      <c r="R90">
        <v>40000</v>
      </c>
      <c r="S90" s="2">
        <v>0.42857142857142849</v>
      </c>
      <c r="V90">
        <v>40800</v>
      </c>
      <c r="W90" s="2">
        <v>1.715686274509804</v>
      </c>
      <c r="AA90" t="s">
        <v>198</v>
      </c>
    </row>
    <row r="91" spans="1:27" x14ac:dyDescent="0.3">
      <c r="A91" s="3">
        <v>89</v>
      </c>
      <c r="B91">
        <v>1474</v>
      </c>
      <c r="C91" t="s">
        <v>26</v>
      </c>
      <c r="D91" t="s">
        <v>27</v>
      </c>
      <c r="E91" t="s">
        <v>28</v>
      </c>
      <c r="F91" t="s">
        <v>79</v>
      </c>
      <c r="G91" s="1" t="str">
        <f>HYPERLINK("https://new.land.naver.com/complexes/1474", "클릭")</f>
        <v>클릭</v>
      </c>
      <c r="H91">
        <v>1992</v>
      </c>
      <c r="I91">
        <v>9</v>
      </c>
      <c r="J91">
        <v>458</v>
      </c>
      <c r="K91">
        <v>84</v>
      </c>
      <c r="L91" t="s">
        <v>135</v>
      </c>
      <c r="M91" t="s">
        <v>137</v>
      </c>
      <c r="N91" t="s">
        <v>163</v>
      </c>
      <c r="O91">
        <v>68000</v>
      </c>
      <c r="P91" t="s">
        <v>163</v>
      </c>
      <c r="Q91">
        <v>44000</v>
      </c>
      <c r="R91">
        <v>24000</v>
      </c>
      <c r="S91" s="2">
        <v>0.6470588235294118</v>
      </c>
      <c r="T91">
        <v>87000</v>
      </c>
      <c r="U91" s="2">
        <v>-0.21839080459770119</v>
      </c>
      <c r="V91">
        <v>42600</v>
      </c>
      <c r="W91" s="2">
        <v>1.596244131455399</v>
      </c>
      <c r="AA91" t="s">
        <v>198</v>
      </c>
    </row>
    <row r="92" spans="1:27" x14ac:dyDescent="0.3">
      <c r="A92" s="3">
        <v>90</v>
      </c>
      <c r="B92">
        <v>3075</v>
      </c>
      <c r="C92" t="s">
        <v>26</v>
      </c>
      <c r="D92" t="s">
        <v>27</v>
      </c>
      <c r="E92" t="s">
        <v>31</v>
      </c>
      <c r="F92" t="s">
        <v>55</v>
      </c>
      <c r="G92" s="1" t="str">
        <f>HYPERLINK("https://new.land.naver.com/complexes/3075", "클릭")</f>
        <v>클릭</v>
      </c>
      <c r="H92">
        <v>1992</v>
      </c>
      <c r="I92">
        <v>6</v>
      </c>
      <c r="J92">
        <v>502</v>
      </c>
      <c r="K92">
        <v>64</v>
      </c>
      <c r="L92" t="s">
        <v>136</v>
      </c>
      <c r="M92" t="s">
        <v>138</v>
      </c>
      <c r="N92" t="s">
        <v>358</v>
      </c>
      <c r="O92">
        <v>68000</v>
      </c>
      <c r="P92" t="s">
        <v>358</v>
      </c>
      <c r="Q92">
        <v>37000</v>
      </c>
      <c r="R92">
        <v>31000</v>
      </c>
      <c r="S92" s="2">
        <v>0.54411764705882348</v>
      </c>
      <c r="V92">
        <v>37600</v>
      </c>
      <c r="W92" s="2">
        <v>1.808510638297872</v>
      </c>
      <c r="AA92" t="s">
        <v>198</v>
      </c>
    </row>
    <row r="93" spans="1:27" x14ac:dyDescent="0.3">
      <c r="A93" s="3">
        <v>91</v>
      </c>
      <c r="B93">
        <v>3076</v>
      </c>
      <c r="C93" t="s">
        <v>26</v>
      </c>
      <c r="D93" t="s">
        <v>27</v>
      </c>
      <c r="E93" t="s">
        <v>31</v>
      </c>
      <c r="F93" t="s">
        <v>80</v>
      </c>
      <c r="G93" s="1" t="str">
        <f>HYPERLINK("https://new.land.naver.com/complexes/3076", "클릭")</f>
        <v>클릭</v>
      </c>
      <c r="H93">
        <v>1992</v>
      </c>
      <c r="I93">
        <v>11</v>
      </c>
      <c r="J93">
        <v>1800</v>
      </c>
      <c r="K93">
        <v>84</v>
      </c>
      <c r="L93" t="s">
        <v>135</v>
      </c>
      <c r="M93" t="s">
        <v>137</v>
      </c>
      <c r="N93" t="s">
        <v>170</v>
      </c>
      <c r="O93">
        <v>68000</v>
      </c>
      <c r="P93" t="s">
        <v>170</v>
      </c>
      <c r="Q93">
        <v>37000</v>
      </c>
      <c r="R93">
        <v>31000</v>
      </c>
      <c r="S93" s="2">
        <v>0.54411764705882348</v>
      </c>
      <c r="T93">
        <v>94000</v>
      </c>
      <c r="U93" s="2">
        <v>-0.27659574468085107</v>
      </c>
      <c r="V93">
        <v>41800</v>
      </c>
      <c r="W93" s="2">
        <v>1.626794258373206</v>
      </c>
      <c r="AA93" t="s">
        <v>198</v>
      </c>
    </row>
    <row r="94" spans="1:27" x14ac:dyDescent="0.3">
      <c r="A94" s="3">
        <v>92</v>
      </c>
      <c r="B94">
        <v>1479</v>
      </c>
      <c r="C94" t="s">
        <v>26</v>
      </c>
      <c r="D94" t="s">
        <v>27</v>
      </c>
      <c r="E94" t="s">
        <v>30</v>
      </c>
      <c r="F94" t="s">
        <v>54</v>
      </c>
      <c r="G94" s="1" t="str">
        <f>HYPERLINK("https://new.land.naver.com/complexes/1479", "클릭")</f>
        <v>클릭</v>
      </c>
      <c r="H94">
        <v>1992</v>
      </c>
      <c r="I94">
        <v>8</v>
      </c>
      <c r="J94">
        <v>368</v>
      </c>
      <c r="K94">
        <v>59</v>
      </c>
      <c r="L94" t="s">
        <v>135</v>
      </c>
      <c r="M94" t="s">
        <v>138</v>
      </c>
      <c r="N94" t="s">
        <v>245</v>
      </c>
      <c r="O94">
        <v>67500</v>
      </c>
      <c r="P94" t="s">
        <v>245</v>
      </c>
      <c r="Q94">
        <v>40000</v>
      </c>
      <c r="R94">
        <v>27500</v>
      </c>
      <c r="S94" s="2">
        <v>0.59259259259259256</v>
      </c>
      <c r="T94">
        <v>81700</v>
      </c>
      <c r="U94" s="2">
        <v>-0.1738066095471236</v>
      </c>
      <c r="V94">
        <v>40300</v>
      </c>
      <c r="W94" s="2">
        <v>1.6749379652605461</v>
      </c>
      <c r="AA94" t="s">
        <v>198</v>
      </c>
    </row>
    <row r="95" spans="1:27" x14ac:dyDescent="0.3">
      <c r="A95" s="3">
        <v>93</v>
      </c>
      <c r="B95">
        <v>1478</v>
      </c>
      <c r="C95" t="s">
        <v>26</v>
      </c>
      <c r="D95" t="s">
        <v>27</v>
      </c>
      <c r="E95" t="s">
        <v>30</v>
      </c>
      <c r="F95" t="s">
        <v>60</v>
      </c>
      <c r="G95" s="1" t="str">
        <f>HYPERLINK("https://new.land.naver.com/complexes/1478", "클릭")</f>
        <v>클릭</v>
      </c>
      <c r="H95">
        <v>1993</v>
      </c>
      <c r="I95">
        <v>10</v>
      </c>
      <c r="J95">
        <v>656</v>
      </c>
      <c r="K95">
        <v>59</v>
      </c>
      <c r="L95" t="s">
        <v>135</v>
      </c>
      <c r="M95" t="s">
        <v>138</v>
      </c>
      <c r="N95" t="s">
        <v>250</v>
      </c>
      <c r="O95">
        <v>67000</v>
      </c>
      <c r="P95" t="s">
        <v>250</v>
      </c>
      <c r="Q95">
        <v>39000</v>
      </c>
      <c r="R95">
        <v>28000</v>
      </c>
      <c r="S95" s="2">
        <v>0.58208955223880599</v>
      </c>
      <c r="T95">
        <v>80000</v>
      </c>
      <c r="U95" s="2">
        <v>-0.16250000000000001</v>
      </c>
      <c r="V95">
        <v>41900</v>
      </c>
      <c r="W95" s="2">
        <v>1.599045346062052</v>
      </c>
      <c r="AA95" t="s">
        <v>198</v>
      </c>
    </row>
    <row r="96" spans="1:27" x14ac:dyDescent="0.3">
      <c r="A96" s="3">
        <v>94</v>
      </c>
      <c r="B96">
        <v>19492</v>
      </c>
      <c r="C96" t="s">
        <v>26</v>
      </c>
      <c r="D96" t="s">
        <v>27</v>
      </c>
      <c r="E96" t="s">
        <v>28</v>
      </c>
      <c r="F96" t="s">
        <v>65</v>
      </c>
      <c r="G96" s="1" t="str">
        <f>HYPERLINK("https://new.land.naver.com/complexes/19492", "클릭")</f>
        <v>클릭</v>
      </c>
      <c r="H96">
        <v>1992</v>
      </c>
      <c r="I96">
        <v>12</v>
      </c>
      <c r="J96">
        <v>800</v>
      </c>
      <c r="K96">
        <v>79</v>
      </c>
      <c r="L96" t="s">
        <v>135</v>
      </c>
      <c r="M96" t="s">
        <v>137</v>
      </c>
      <c r="N96" t="s">
        <v>181</v>
      </c>
      <c r="O96">
        <v>67000</v>
      </c>
      <c r="P96" t="s">
        <v>181</v>
      </c>
      <c r="Q96">
        <v>45000</v>
      </c>
      <c r="R96">
        <v>22000</v>
      </c>
      <c r="S96" s="2">
        <v>0.67164179104477617</v>
      </c>
      <c r="V96">
        <v>40800</v>
      </c>
      <c r="W96" s="2">
        <v>1.642156862745098</v>
      </c>
      <c r="AA96" t="s">
        <v>392</v>
      </c>
    </row>
    <row r="97" spans="1:27" x14ac:dyDescent="0.3">
      <c r="A97" s="3">
        <v>95</v>
      </c>
      <c r="B97">
        <v>3001</v>
      </c>
      <c r="C97" t="s">
        <v>26</v>
      </c>
      <c r="D97" t="s">
        <v>27</v>
      </c>
      <c r="E97" t="s">
        <v>29</v>
      </c>
      <c r="F97" t="s">
        <v>62</v>
      </c>
      <c r="G97" s="1" t="str">
        <f>HYPERLINK("https://new.land.naver.com/complexes/3001", "클릭")</f>
        <v>클릭</v>
      </c>
      <c r="H97">
        <v>1995</v>
      </c>
      <c r="I97">
        <v>5</v>
      </c>
      <c r="J97">
        <v>952</v>
      </c>
      <c r="K97">
        <v>59</v>
      </c>
      <c r="L97" t="s">
        <v>136</v>
      </c>
      <c r="M97" t="s">
        <v>138</v>
      </c>
      <c r="N97" t="s">
        <v>258</v>
      </c>
      <c r="O97">
        <v>65500</v>
      </c>
      <c r="P97" t="s">
        <v>258</v>
      </c>
      <c r="Q97">
        <v>28500</v>
      </c>
      <c r="R97">
        <v>37000</v>
      </c>
      <c r="S97" s="2">
        <v>0.4351145038167939</v>
      </c>
      <c r="T97">
        <v>67000</v>
      </c>
      <c r="U97" s="2">
        <v>-2.2388059701492539E-2</v>
      </c>
      <c r="V97">
        <v>37200</v>
      </c>
      <c r="W97" s="2">
        <v>1.760752688172043</v>
      </c>
      <c r="AA97" t="s">
        <v>198</v>
      </c>
    </row>
    <row r="98" spans="1:27" x14ac:dyDescent="0.3">
      <c r="A98" s="3">
        <v>96</v>
      </c>
      <c r="B98">
        <v>1467</v>
      </c>
      <c r="C98" t="s">
        <v>26</v>
      </c>
      <c r="D98" t="s">
        <v>27</v>
      </c>
      <c r="E98" t="s">
        <v>31</v>
      </c>
      <c r="F98" t="s">
        <v>53</v>
      </c>
      <c r="G98" s="1" t="str">
        <f>HYPERLINK("https://new.land.naver.com/complexes/1467", "클릭")</f>
        <v>클릭</v>
      </c>
      <c r="H98">
        <v>1992</v>
      </c>
      <c r="I98">
        <v>5</v>
      </c>
      <c r="J98">
        <v>620</v>
      </c>
      <c r="K98">
        <v>55</v>
      </c>
      <c r="L98" t="s">
        <v>136</v>
      </c>
      <c r="M98" t="s">
        <v>235</v>
      </c>
      <c r="N98" t="s">
        <v>385</v>
      </c>
      <c r="O98">
        <v>65000</v>
      </c>
      <c r="P98" t="s">
        <v>385</v>
      </c>
      <c r="Q98">
        <v>32000</v>
      </c>
      <c r="R98">
        <v>33000</v>
      </c>
      <c r="S98" s="2">
        <v>0.49230769230769228</v>
      </c>
      <c r="V98">
        <v>35800</v>
      </c>
      <c r="W98" s="2">
        <v>1.815642458100559</v>
      </c>
      <c r="AA98" t="s">
        <v>198</v>
      </c>
    </row>
    <row r="99" spans="1:27" x14ac:dyDescent="0.3">
      <c r="A99" s="3">
        <v>97</v>
      </c>
      <c r="B99">
        <v>1472</v>
      </c>
      <c r="C99" t="s">
        <v>26</v>
      </c>
      <c r="D99" t="s">
        <v>27</v>
      </c>
      <c r="E99" t="s">
        <v>28</v>
      </c>
      <c r="F99" t="s">
        <v>52</v>
      </c>
      <c r="G99" s="1" t="str">
        <f>HYPERLINK("https://new.land.naver.com/complexes/1472", "클릭")</f>
        <v>클릭</v>
      </c>
      <c r="H99">
        <v>1992</v>
      </c>
      <c r="I99">
        <v>8</v>
      </c>
      <c r="J99">
        <v>438</v>
      </c>
      <c r="K99">
        <v>59</v>
      </c>
      <c r="L99" t="s">
        <v>135</v>
      </c>
      <c r="M99" t="s">
        <v>138</v>
      </c>
      <c r="N99" t="s">
        <v>248</v>
      </c>
      <c r="O99">
        <v>65000</v>
      </c>
      <c r="P99" t="s">
        <v>248</v>
      </c>
      <c r="Q99">
        <v>40000</v>
      </c>
      <c r="R99">
        <v>25000</v>
      </c>
      <c r="S99" s="2">
        <v>0.61538461538461542</v>
      </c>
      <c r="T99">
        <v>74000</v>
      </c>
      <c r="U99" s="2">
        <v>-0.1216216216216216</v>
      </c>
      <c r="V99">
        <v>36500</v>
      </c>
      <c r="W99" s="2">
        <v>1.780821917808219</v>
      </c>
      <c r="AA99" t="s">
        <v>198</v>
      </c>
    </row>
    <row r="100" spans="1:27" x14ac:dyDescent="0.3">
      <c r="A100" s="3">
        <v>98</v>
      </c>
      <c r="B100">
        <v>1474</v>
      </c>
      <c r="C100" t="s">
        <v>26</v>
      </c>
      <c r="D100" t="s">
        <v>27</v>
      </c>
      <c r="E100" t="s">
        <v>28</v>
      </c>
      <c r="F100" t="s">
        <v>79</v>
      </c>
      <c r="G100" s="1" t="str">
        <f>HYPERLINK("https://new.land.naver.com/complexes/1474", "클릭")</f>
        <v>클릭</v>
      </c>
      <c r="H100">
        <v>1992</v>
      </c>
      <c r="I100">
        <v>9</v>
      </c>
      <c r="J100">
        <v>458</v>
      </c>
      <c r="K100">
        <v>76</v>
      </c>
      <c r="L100" t="s">
        <v>135</v>
      </c>
      <c r="M100" t="s">
        <v>137</v>
      </c>
      <c r="N100" t="s">
        <v>361</v>
      </c>
      <c r="O100">
        <v>65000</v>
      </c>
      <c r="P100" t="s">
        <v>361</v>
      </c>
      <c r="Q100">
        <v>38000</v>
      </c>
      <c r="R100">
        <v>27000</v>
      </c>
      <c r="S100" s="2">
        <v>0.58461538461538465</v>
      </c>
      <c r="V100">
        <v>38700</v>
      </c>
      <c r="W100" s="2">
        <v>1.679586563307494</v>
      </c>
      <c r="AA100" t="s">
        <v>198</v>
      </c>
    </row>
    <row r="101" spans="1:27" x14ac:dyDescent="0.3">
      <c r="A101" s="3">
        <v>99</v>
      </c>
      <c r="B101">
        <v>1470</v>
      </c>
      <c r="C101" t="s">
        <v>26</v>
      </c>
      <c r="D101" t="s">
        <v>27</v>
      </c>
      <c r="E101" t="s">
        <v>28</v>
      </c>
      <c r="F101" t="s">
        <v>85</v>
      </c>
      <c r="G101" s="1" t="str">
        <f>HYPERLINK("https://new.land.naver.com/complexes/1470", "클릭")</f>
        <v>클릭</v>
      </c>
      <c r="H101">
        <v>1992</v>
      </c>
      <c r="I101">
        <v>9</v>
      </c>
      <c r="J101">
        <v>468</v>
      </c>
      <c r="K101">
        <v>76</v>
      </c>
      <c r="L101" t="s">
        <v>135</v>
      </c>
      <c r="M101" t="s">
        <v>137</v>
      </c>
      <c r="N101" t="s">
        <v>348</v>
      </c>
      <c r="O101">
        <v>65000</v>
      </c>
      <c r="P101" t="s">
        <v>348</v>
      </c>
      <c r="Q101">
        <v>38000</v>
      </c>
      <c r="R101">
        <v>27000</v>
      </c>
      <c r="S101" s="2">
        <v>0.58461538461538465</v>
      </c>
      <c r="V101">
        <v>38100</v>
      </c>
      <c r="W101" s="2">
        <v>1.7060367454068239</v>
      </c>
      <c r="AA101" t="s">
        <v>198</v>
      </c>
    </row>
    <row r="102" spans="1:27" x14ac:dyDescent="0.3">
      <c r="A102" s="3">
        <v>100</v>
      </c>
      <c r="B102">
        <v>1470</v>
      </c>
      <c r="C102" t="s">
        <v>26</v>
      </c>
      <c r="D102" t="s">
        <v>27</v>
      </c>
      <c r="E102" t="s">
        <v>28</v>
      </c>
      <c r="F102" t="s">
        <v>85</v>
      </c>
      <c r="G102" s="1" t="str">
        <f>HYPERLINK("https://new.land.naver.com/complexes/1470", "클릭")</f>
        <v>클릭</v>
      </c>
      <c r="H102">
        <v>1992</v>
      </c>
      <c r="I102">
        <v>9</v>
      </c>
      <c r="J102">
        <v>468</v>
      </c>
      <c r="K102">
        <v>84</v>
      </c>
      <c r="L102" t="s">
        <v>135</v>
      </c>
      <c r="M102" t="s">
        <v>137</v>
      </c>
      <c r="N102" t="s">
        <v>157</v>
      </c>
      <c r="O102">
        <v>65000</v>
      </c>
      <c r="P102" t="s">
        <v>157</v>
      </c>
      <c r="Q102">
        <v>36500</v>
      </c>
      <c r="R102">
        <v>28500</v>
      </c>
      <c r="S102" s="2">
        <v>0.56153846153846154</v>
      </c>
      <c r="T102">
        <v>81700</v>
      </c>
      <c r="U102" s="2">
        <v>-0.204406364749082</v>
      </c>
      <c r="V102">
        <v>41800</v>
      </c>
      <c r="W102" s="2">
        <v>1.5550239234449761</v>
      </c>
      <c r="AA102" t="s">
        <v>198</v>
      </c>
    </row>
    <row r="103" spans="1:27" x14ac:dyDescent="0.3">
      <c r="A103" s="3">
        <v>101</v>
      </c>
      <c r="B103">
        <v>1461</v>
      </c>
      <c r="C103" t="s">
        <v>26</v>
      </c>
      <c r="D103" t="s">
        <v>27</v>
      </c>
      <c r="E103" t="s">
        <v>29</v>
      </c>
      <c r="F103" t="s">
        <v>63</v>
      </c>
      <c r="G103" s="1" t="str">
        <f>HYPERLINK("https://new.land.naver.com/complexes/1461", "클릭")</f>
        <v>클릭</v>
      </c>
      <c r="H103">
        <v>1992</v>
      </c>
      <c r="I103">
        <v>11</v>
      </c>
      <c r="J103">
        <v>436</v>
      </c>
      <c r="K103">
        <v>59</v>
      </c>
      <c r="L103" t="s">
        <v>135</v>
      </c>
      <c r="M103" t="s">
        <v>138</v>
      </c>
      <c r="N103" t="s">
        <v>254</v>
      </c>
      <c r="O103">
        <v>65000</v>
      </c>
      <c r="P103" t="s">
        <v>254</v>
      </c>
      <c r="Q103">
        <v>37000</v>
      </c>
      <c r="R103">
        <v>28000</v>
      </c>
      <c r="S103" s="2">
        <v>0.56923076923076921</v>
      </c>
      <c r="T103">
        <v>72000</v>
      </c>
      <c r="U103" s="2">
        <v>-9.7222222222222224E-2</v>
      </c>
      <c r="V103">
        <v>38500</v>
      </c>
      <c r="W103" s="2">
        <v>1.688311688311688</v>
      </c>
      <c r="AA103" t="s">
        <v>198</v>
      </c>
    </row>
    <row r="104" spans="1:27" x14ac:dyDescent="0.3">
      <c r="A104" s="3">
        <v>102</v>
      </c>
      <c r="B104">
        <v>3015</v>
      </c>
      <c r="C104" t="s">
        <v>26</v>
      </c>
      <c r="D104" t="s">
        <v>27</v>
      </c>
      <c r="E104" t="s">
        <v>28</v>
      </c>
      <c r="F104" t="s">
        <v>216</v>
      </c>
      <c r="G104" s="1" t="str">
        <f>HYPERLINK("https://new.land.naver.com/complexes/3015", "클릭")</f>
        <v>클릭</v>
      </c>
      <c r="H104">
        <v>1992</v>
      </c>
      <c r="I104">
        <v>3</v>
      </c>
      <c r="J104">
        <v>994</v>
      </c>
      <c r="K104">
        <v>58</v>
      </c>
      <c r="L104" t="s">
        <v>136</v>
      </c>
      <c r="M104" t="s">
        <v>235</v>
      </c>
      <c r="N104" t="s">
        <v>250</v>
      </c>
      <c r="O104">
        <v>64000</v>
      </c>
      <c r="P104" t="s">
        <v>250</v>
      </c>
      <c r="Q104">
        <v>23000</v>
      </c>
      <c r="R104">
        <v>41000</v>
      </c>
      <c r="S104" s="2">
        <v>0.359375</v>
      </c>
      <c r="T104">
        <v>93700</v>
      </c>
      <c r="U104" s="2">
        <v>-0.31696905016008542</v>
      </c>
      <c r="V104">
        <v>42100</v>
      </c>
      <c r="W104" s="2">
        <v>1.5201900237529691</v>
      </c>
      <c r="AA104" t="s">
        <v>198</v>
      </c>
    </row>
    <row r="105" spans="1:27" x14ac:dyDescent="0.3">
      <c r="A105" s="3">
        <v>103</v>
      </c>
      <c r="B105">
        <v>1483</v>
      </c>
      <c r="C105" t="s">
        <v>26</v>
      </c>
      <c r="D105" t="s">
        <v>27</v>
      </c>
      <c r="E105" t="s">
        <v>30</v>
      </c>
      <c r="F105" t="s">
        <v>50</v>
      </c>
      <c r="G105" s="1" t="str">
        <f>HYPERLINK("https://new.land.naver.com/complexes/1483", "클릭")</f>
        <v>클릭</v>
      </c>
      <c r="H105">
        <v>1993</v>
      </c>
      <c r="I105">
        <v>11</v>
      </c>
      <c r="J105">
        <v>1035</v>
      </c>
      <c r="K105">
        <v>59</v>
      </c>
      <c r="L105" t="s">
        <v>136</v>
      </c>
      <c r="M105" t="s">
        <v>138</v>
      </c>
      <c r="N105" t="s">
        <v>263</v>
      </c>
      <c r="O105">
        <v>64000</v>
      </c>
      <c r="P105" t="s">
        <v>263</v>
      </c>
      <c r="Q105">
        <v>34000</v>
      </c>
      <c r="R105">
        <v>30000</v>
      </c>
      <c r="S105" s="2">
        <v>0.53125</v>
      </c>
      <c r="T105">
        <v>80000</v>
      </c>
      <c r="U105" s="2">
        <v>-0.2</v>
      </c>
      <c r="V105">
        <v>43900</v>
      </c>
      <c r="W105" s="2">
        <v>1.457858769931663</v>
      </c>
      <c r="AA105" t="s">
        <v>198</v>
      </c>
    </row>
    <row r="106" spans="1:27" x14ac:dyDescent="0.3">
      <c r="A106" s="3">
        <v>104</v>
      </c>
      <c r="B106">
        <v>1454</v>
      </c>
      <c r="C106" t="s">
        <v>26</v>
      </c>
      <c r="D106" t="s">
        <v>27</v>
      </c>
      <c r="E106" t="s">
        <v>31</v>
      </c>
      <c r="F106" t="s">
        <v>57</v>
      </c>
      <c r="G106" s="1" t="str">
        <f>HYPERLINK("https://new.land.naver.com/complexes/1454", "클릭")</f>
        <v>클릭</v>
      </c>
      <c r="H106">
        <v>1993</v>
      </c>
      <c r="I106">
        <v>4</v>
      </c>
      <c r="J106">
        <v>1482</v>
      </c>
      <c r="K106">
        <v>59</v>
      </c>
      <c r="L106" t="s">
        <v>136</v>
      </c>
      <c r="M106" t="s">
        <v>138</v>
      </c>
      <c r="N106" t="s">
        <v>247</v>
      </c>
      <c r="O106">
        <v>63000</v>
      </c>
      <c r="P106" t="s">
        <v>247</v>
      </c>
      <c r="Q106">
        <v>27500</v>
      </c>
      <c r="R106">
        <v>35500</v>
      </c>
      <c r="S106" s="2">
        <v>0.43650793650793651</v>
      </c>
      <c r="T106">
        <v>79500</v>
      </c>
      <c r="U106" s="2">
        <v>-0.20754716981132079</v>
      </c>
      <c r="V106">
        <v>37000</v>
      </c>
      <c r="W106" s="2">
        <v>1.7027027027027031</v>
      </c>
      <c r="AA106" t="s">
        <v>198</v>
      </c>
    </row>
    <row r="107" spans="1:27" x14ac:dyDescent="0.3">
      <c r="A107" s="3">
        <v>105</v>
      </c>
      <c r="B107">
        <v>1471</v>
      </c>
      <c r="C107" t="s">
        <v>26</v>
      </c>
      <c r="D107" t="s">
        <v>27</v>
      </c>
      <c r="E107" t="s">
        <v>28</v>
      </c>
      <c r="F107" t="s">
        <v>48</v>
      </c>
      <c r="G107" s="1" t="str">
        <f>HYPERLINK("https://new.land.naver.com/complexes/1471", "클릭")</f>
        <v>클릭</v>
      </c>
      <c r="H107">
        <v>1994</v>
      </c>
      <c r="I107">
        <v>8</v>
      </c>
      <c r="J107">
        <v>590</v>
      </c>
      <c r="K107">
        <v>59</v>
      </c>
      <c r="L107" t="s">
        <v>136</v>
      </c>
      <c r="M107" t="s">
        <v>138</v>
      </c>
      <c r="N107" t="s">
        <v>252</v>
      </c>
      <c r="O107">
        <v>63000</v>
      </c>
      <c r="P107" t="s">
        <v>252</v>
      </c>
      <c r="Q107">
        <v>35000</v>
      </c>
      <c r="R107">
        <v>28000</v>
      </c>
      <c r="S107" s="2">
        <v>0.55555555555555558</v>
      </c>
      <c r="T107">
        <v>75800</v>
      </c>
      <c r="U107" s="2">
        <v>-0.16886543535620049</v>
      </c>
      <c r="V107">
        <v>36000</v>
      </c>
      <c r="W107" s="2">
        <v>1.75</v>
      </c>
      <c r="AA107" t="s">
        <v>198</v>
      </c>
    </row>
    <row r="108" spans="1:27" x14ac:dyDescent="0.3">
      <c r="A108" s="3">
        <v>106</v>
      </c>
      <c r="B108">
        <v>1462</v>
      </c>
      <c r="C108" t="s">
        <v>26</v>
      </c>
      <c r="D108" t="s">
        <v>27</v>
      </c>
      <c r="E108" t="s">
        <v>29</v>
      </c>
      <c r="F108" t="s">
        <v>219</v>
      </c>
      <c r="G108" s="1" t="str">
        <f>HYPERLINK("https://new.land.naver.com/complexes/1462", "클릭")</f>
        <v>클릭</v>
      </c>
      <c r="H108">
        <v>1993</v>
      </c>
      <c r="I108">
        <v>2</v>
      </c>
      <c r="J108">
        <v>750</v>
      </c>
      <c r="K108">
        <v>59</v>
      </c>
      <c r="L108" t="s">
        <v>135</v>
      </c>
      <c r="M108" t="s">
        <v>138</v>
      </c>
      <c r="N108" t="s">
        <v>254</v>
      </c>
      <c r="O108">
        <v>62000</v>
      </c>
      <c r="P108" t="s">
        <v>254</v>
      </c>
      <c r="Q108">
        <v>30000</v>
      </c>
      <c r="R108">
        <v>32000</v>
      </c>
      <c r="S108" s="2">
        <v>0.4838709677419355</v>
      </c>
      <c r="T108">
        <v>76000</v>
      </c>
      <c r="U108" s="2">
        <v>-0.18421052631578949</v>
      </c>
      <c r="V108">
        <v>36000</v>
      </c>
      <c r="W108" s="2">
        <v>1.7222222222222221</v>
      </c>
      <c r="AA108" t="s">
        <v>198</v>
      </c>
    </row>
    <row r="109" spans="1:27" x14ac:dyDescent="0.3">
      <c r="A109" s="3">
        <v>107</v>
      </c>
      <c r="B109">
        <v>3022</v>
      </c>
      <c r="C109" t="s">
        <v>26</v>
      </c>
      <c r="D109" t="s">
        <v>27</v>
      </c>
      <c r="E109" t="s">
        <v>28</v>
      </c>
      <c r="F109" t="s">
        <v>419</v>
      </c>
      <c r="G109" s="1" t="str">
        <f>HYPERLINK("https://new.land.naver.com/complexes/3022", "클릭")</f>
        <v>클릭</v>
      </c>
      <c r="H109">
        <v>1992</v>
      </c>
      <c r="I109">
        <v>7</v>
      </c>
      <c r="J109">
        <v>902</v>
      </c>
      <c r="K109">
        <v>56</v>
      </c>
      <c r="L109" t="s">
        <v>136</v>
      </c>
      <c r="M109" t="s">
        <v>235</v>
      </c>
      <c r="N109" t="s">
        <v>356</v>
      </c>
      <c r="O109">
        <v>62000</v>
      </c>
      <c r="P109" t="s">
        <v>356</v>
      </c>
      <c r="Q109">
        <v>23500</v>
      </c>
      <c r="R109">
        <v>38500</v>
      </c>
      <c r="S109" s="2">
        <v>0.37903225806451613</v>
      </c>
      <c r="V109">
        <v>40100</v>
      </c>
      <c r="W109" s="2">
        <v>1.546134663341646</v>
      </c>
      <c r="AA109" t="s">
        <v>198</v>
      </c>
    </row>
    <row r="110" spans="1:27" x14ac:dyDescent="0.3">
      <c r="A110" s="3">
        <v>108</v>
      </c>
      <c r="B110">
        <v>2033</v>
      </c>
      <c r="C110" t="s">
        <v>26</v>
      </c>
      <c r="D110" t="s">
        <v>27</v>
      </c>
      <c r="E110" t="s">
        <v>28</v>
      </c>
      <c r="F110" t="s">
        <v>86</v>
      </c>
      <c r="G110" s="1" t="str">
        <f>HYPERLINK("https://new.land.naver.com/complexes/2033", "클릭")</f>
        <v>클릭</v>
      </c>
      <c r="H110">
        <v>1992</v>
      </c>
      <c r="I110">
        <v>12</v>
      </c>
      <c r="J110">
        <v>794</v>
      </c>
      <c r="K110">
        <v>84</v>
      </c>
      <c r="L110" t="s">
        <v>135</v>
      </c>
      <c r="M110" t="s">
        <v>137</v>
      </c>
      <c r="N110" t="s">
        <v>172</v>
      </c>
      <c r="O110">
        <v>62000</v>
      </c>
      <c r="P110" t="s">
        <v>172</v>
      </c>
      <c r="Q110">
        <v>29000</v>
      </c>
      <c r="R110">
        <v>33000</v>
      </c>
      <c r="S110" s="2">
        <v>0.46774193548387089</v>
      </c>
      <c r="T110">
        <v>74700</v>
      </c>
      <c r="U110" s="2">
        <v>-0.17001338688085679</v>
      </c>
      <c r="V110">
        <v>36900</v>
      </c>
      <c r="W110" s="2">
        <v>1.6802168021680219</v>
      </c>
      <c r="AA110" t="s">
        <v>198</v>
      </c>
    </row>
    <row r="111" spans="1:27" x14ac:dyDescent="0.3">
      <c r="A111" s="3">
        <v>109</v>
      </c>
      <c r="B111">
        <v>1465</v>
      </c>
      <c r="C111" t="s">
        <v>26</v>
      </c>
      <c r="D111" t="s">
        <v>27</v>
      </c>
      <c r="E111" t="s">
        <v>29</v>
      </c>
      <c r="F111" t="s">
        <v>61</v>
      </c>
      <c r="G111" s="1" t="str">
        <f>HYPERLINK("https://new.land.naver.com/complexes/1465", "클릭")</f>
        <v>클릭</v>
      </c>
      <c r="H111">
        <v>1995</v>
      </c>
      <c r="I111">
        <v>1</v>
      </c>
      <c r="J111">
        <v>708</v>
      </c>
      <c r="K111">
        <v>59</v>
      </c>
      <c r="L111" t="s">
        <v>136</v>
      </c>
      <c r="M111" t="s">
        <v>138</v>
      </c>
      <c r="N111" t="s">
        <v>266</v>
      </c>
      <c r="O111">
        <v>62000</v>
      </c>
      <c r="P111" t="s">
        <v>266</v>
      </c>
      <c r="Q111">
        <v>35000</v>
      </c>
      <c r="R111">
        <v>27000</v>
      </c>
      <c r="S111" s="2">
        <v>0.56451612903225812</v>
      </c>
      <c r="T111">
        <v>68000</v>
      </c>
      <c r="U111" s="2">
        <v>-8.8235294117647065E-2</v>
      </c>
      <c r="V111">
        <v>38400</v>
      </c>
      <c r="W111" s="2">
        <v>1.614583333333333</v>
      </c>
      <c r="AA111" t="s">
        <v>198</v>
      </c>
    </row>
    <row r="112" spans="1:27" x14ac:dyDescent="0.3">
      <c r="A112" s="3">
        <v>110</v>
      </c>
      <c r="B112">
        <v>2042</v>
      </c>
      <c r="C112" t="s">
        <v>26</v>
      </c>
      <c r="D112" t="s">
        <v>27</v>
      </c>
      <c r="E112" t="s">
        <v>28</v>
      </c>
      <c r="F112" t="s">
        <v>88</v>
      </c>
      <c r="G112" s="1" t="str">
        <f>HYPERLINK("https://new.land.naver.com/complexes/2042", "클릭")</f>
        <v>클릭</v>
      </c>
      <c r="H112">
        <v>1999</v>
      </c>
      <c r="I112">
        <v>7</v>
      </c>
      <c r="J112">
        <v>644</v>
      </c>
      <c r="K112">
        <v>84</v>
      </c>
      <c r="L112" t="s">
        <v>135</v>
      </c>
      <c r="M112" t="s">
        <v>137</v>
      </c>
      <c r="N112" t="s">
        <v>161</v>
      </c>
      <c r="O112">
        <v>62000</v>
      </c>
      <c r="P112" t="s">
        <v>161</v>
      </c>
      <c r="Q112">
        <v>39000</v>
      </c>
      <c r="R112">
        <v>23000</v>
      </c>
      <c r="S112" s="2">
        <v>0.62903225806451613</v>
      </c>
      <c r="T112">
        <v>71600</v>
      </c>
      <c r="U112" s="2">
        <v>-0.13407821229050279</v>
      </c>
      <c r="V112">
        <v>39300</v>
      </c>
      <c r="W112" s="2">
        <v>1.577608142493639</v>
      </c>
      <c r="AA112" t="s">
        <v>198</v>
      </c>
    </row>
    <row r="113" spans="1:27" x14ac:dyDescent="0.3">
      <c r="A113" s="3">
        <v>111</v>
      </c>
      <c r="B113">
        <v>1992</v>
      </c>
      <c r="C113" t="s">
        <v>26</v>
      </c>
      <c r="D113" t="s">
        <v>27</v>
      </c>
      <c r="E113" t="s">
        <v>31</v>
      </c>
      <c r="F113" t="s">
        <v>220</v>
      </c>
      <c r="G113" s="1" t="str">
        <f>HYPERLINK("https://new.land.naver.com/complexes/1992", "클릭")</f>
        <v>클릭</v>
      </c>
      <c r="H113">
        <v>1993</v>
      </c>
      <c r="I113">
        <v>11</v>
      </c>
      <c r="J113">
        <v>3227</v>
      </c>
      <c r="K113">
        <v>57</v>
      </c>
      <c r="L113" t="s">
        <v>135</v>
      </c>
      <c r="M113" t="s">
        <v>138</v>
      </c>
      <c r="N113" t="s">
        <v>268</v>
      </c>
      <c r="O113">
        <v>60000</v>
      </c>
      <c r="P113" t="s">
        <v>268</v>
      </c>
      <c r="Q113">
        <v>30000</v>
      </c>
      <c r="R113">
        <v>30000</v>
      </c>
      <c r="S113" s="2">
        <v>0.5</v>
      </c>
      <c r="T113">
        <v>50000</v>
      </c>
      <c r="U113" s="2">
        <v>0.2</v>
      </c>
      <c r="V113">
        <v>36900</v>
      </c>
      <c r="W113" s="2">
        <v>1.626016260162602</v>
      </c>
      <c r="AA113" t="s">
        <v>198</v>
      </c>
    </row>
    <row r="114" spans="1:27" x14ac:dyDescent="0.3">
      <c r="A114" s="3">
        <v>112</v>
      </c>
      <c r="B114">
        <v>1476</v>
      </c>
      <c r="C114" t="s">
        <v>26</v>
      </c>
      <c r="D114" t="s">
        <v>27</v>
      </c>
      <c r="E114" t="s">
        <v>28</v>
      </c>
      <c r="F114" t="s">
        <v>89</v>
      </c>
      <c r="G114" s="1" t="str">
        <f>HYPERLINK("https://new.land.naver.com/complexes/1476", "클릭")</f>
        <v>클릭</v>
      </c>
      <c r="H114">
        <v>1992</v>
      </c>
      <c r="I114">
        <v>8</v>
      </c>
      <c r="J114">
        <v>654</v>
      </c>
      <c r="K114">
        <v>76</v>
      </c>
      <c r="L114" t="s">
        <v>135</v>
      </c>
      <c r="M114" t="s">
        <v>138</v>
      </c>
      <c r="N114" t="s">
        <v>361</v>
      </c>
      <c r="O114">
        <v>60000</v>
      </c>
      <c r="P114" t="s">
        <v>361</v>
      </c>
      <c r="Q114">
        <v>35000</v>
      </c>
      <c r="R114">
        <v>25000</v>
      </c>
      <c r="S114" s="2">
        <v>0.58333333333333337</v>
      </c>
      <c r="V114">
        <v>32500</v>
      </c>
      <c r="W114" s="2">
        <v>1.846153846153846</v>
      </c>
      <c r="AA114" t="s">
        <v>198</v>
      </c>
    </row>
    <row r="115" spans="1:27" x14ac:dyDescent="0.3">
      <c r="A115" s="3">
        <v>113</v>
      </c>
      <c r="B115">
        <v>1476</v>
      </c>
      <c r="C115" t="s">
        <v>26</v>
      </c>
      <c r="D115" t="s">
        <v>27</v>
      </c>
      <c r="E115" t="s">
        <v>28</v>
      </c>
      <c r="F115" t="s">
        <v>89</v>
      </c>
      <c r="G115" s="1" t="str">
        <f>HYPERLINK("https://new.land.naver.com/complexes/1476", "클릭")</f>
        <v>클릭</v>
      </c>
      <c r="H115">
        <v>1992</v>
      </c>
      <c r="I115">
        <v>8</v>
      </c>
      <c r="J115">
        <v>654</v>
      </c>
      <c r="K115">
        <v>84</v>
      </c>
      <c r="L115" t="s">
        <v>135</v>
      </c>
      <c r="M115" t="s">
        <v>137</v>
      </c>
      <c r="N115" t="s">
        <v>155</v>
      </c>
      <c r="O115">
        <v>60000</v>
      </c>
      <c r="P115" t="s">
        <v>155</v>
      </c>
      <c r="Q115">
        <v>37000</v>
      </c>
      <c r="R115">
        <v>23000</v>
      </c>
      <c r="S115" s="2">
        <v>0.6166666666666667</v>
      </c>
      <c r="T115">
        <v>82000</v>
      </c>
      <c r="U115" s="2">
        <v>-0.26829268292682928</v>
      </c>
      <c r="V115">
        <v>38000</v>
      </c>
      <c r="W115" s="2">
        <v>1.5789473684210531</v>
      </c>
      <c r="AA115" t="s">
        <v>198</v>
      </c>
    </row>
    <row r="116" spans="1:27" x14ac:dyDescent="0.3">
      <c r="A116" s="3">
        <v>114</v>
      </c>
      <c r="B116">
        <v>3076</v>
      </c>
      <c r="C116" t="s">
        <v>26</v>
      </c>
      <c r="D116" t="s">
        <v>27</v>
      </c>
      <c r="E116" t="s">
        <v>31</v>
      </c>
      <c r="F116" t="s">
        <v>80</v>
      </c>
      <c r="G116" s="1" t="str">
        <f>HYPERLINK("https://new.land.naver.com/complexes/3076", "클릭")</f>
        <v>클릭</v>
      </c>
      <c r="H116">
        <v>1992</v>
      </c>
      <c r="I116">
        <v>11</v>
      </c>
      <c r="J116">
        <v>1800</v>
      </c>
      <c r="K116">
        <v>71</v>
      </c>
      <c r="L116" t="s">
        <v>135</v>
      </c>
      <c r="M116" t="s">
        <v>138</v>
      </c>
      <c r="N116" t="s">
        <v>259</v>
      </c>
      <c r="O116">
        <v>60000</v>
      </c>
      <c r="P116" t="s">
        <v>259</v>
      </c>
      <c r="Q116">
        <v>39000</v>
      </c>
      <c r="R116">
        <v>21000</v>
      </c>
      <c r="S116" s="2">
        <v>0.65</v>
      </c>
      <c r="V116">
        <v>39900</v>
      </c>
      <c r="W116" s="2">
        <v>1.503759398496241</v>
      </c>
      <c r="AA116" t="s">
        <v>198</v>
      </c>
    </row>
    <row r="117" spans="1:27" x14ac:dyDescent="0.3">
      <c r="A117" s="3">
        <v>115</v>
      </c>
      <c r="B117">
        <v>1463</v>
      </c>
      <c r="C117" t="s">
        <v>26</v>
      </c>
      <c r="D117" t="s">
        <v>27</v>
      </c>
      <c r="E117" t="s">
        <v>29</v>
      </c>
      <c r="F117" t="s">
        <v>304</v>
      </c>
      <c r="G117" s="1" t="str">
        <f>HYPERLINK("https://new.land.naver.com/complexes/1463", "클릭")</f>
        <v>클릭</v>
      </c>
      <c r="H117">
        <v>1993</v>
      </c>
      <c r="I117">
        <v>3</v>
      </c>
      <c r="J117">
        <v>1710</v>
      </c>
      <c r="K117">
        <v>60</v>
      </c>
      <c r="L117" t="s">
        <v>136</v>
      </c>
      <c r="M117" t="s">
        <v>138</v>
      </c>
      <c r="N117" t="s">
        <v>266</v>
      </c>
      <c r="O117">
        <v>59000</v>
      </c>
      <c r="P117" t="s">
        <v>266</v>
      </c>
      <c r="Q117">
        <v>31000</v>
      </c>
      <c r="R117">
        <v>28000</v>
      </c>
      <c r="S117" s="2">
        <v>0.52542372881355937</v>
      </c>
      <c r="V117">
        <v>36900</v>
      </c>
      <c r="W117" s="2">
        <v>1.5989159891598921</v>
      </c>
      <c r="AA117" t="s">
        <v>198</v>
      </c>
    </row>
    <row r="118" spans="1:27" x14ac:dyDescent="0.3">
      <c r="A118" s="3">
        <v>116</v>
      </c>
      <c r="B118">
        <v>3075</v>
      </c>
      <c r="C118" t="s">
        <v>26</v>
      </c>
      <c r="D118" t="s">
        <v>27</v>
      </c>
      <c r="E118" t="s">
        <v>31</v>
      </c>
      <c r="F118" t="s">
        <v>55</v>
      </c>
      <c r="G118" s="1" t="str">
        <f>HYPERLINK("https://new.land.naver.com/complexes/3075", "클릭")</f>
        <v>클릭</v>
      </c>
      <c r="H118">
        <v>1992</v>
      </c>
      <c r="I118">
        <v>6</v>
      </c>
      <c r="J118">
        <v>502</v>
      </c>
      <c r="K118">
        <v>55</v>
      </c>
      <c r="L118" t="s">
        <v>136</v>
      </c>
      <c r="M118" t="s">
        <v>235</v>
      </c>
      <c r="N118" t="s">
        <v>254</v>
      </c>
      <c r="O118">
        <v>58000</v>
      </c>
      <c r="P118" t="s">
        <v>254</v>
      </c>
      <c r="Q118">
        <v>33000</v>
      </c>
      <c r="R118">
        <v>25000</v>
      </c>
      <c r="S118" s="2">
        <v>0.56896551724137934</v>
      </c>
      <c r="V118">
        <v>35000</v>
      </c>
      <c r="W118" s="2">
        <v>1.657142857142857</v>
      </c>
      <c r="AA118" t="s">
        <v>198</v>
      </c>
    </row>
    <row r="119" spans="1:27" x14ac:dyDescent="0.3">
      <c r="A119" s="3">
        <v>117</v>
      </c>
      <c r="B119">
        <v>2026</v>
      </c>
      <c r="C119" t="s">
        <v>26</v>
      </c>
      <c r="D119" t="s">
        <v>27</v>
      </c>
      <c r="E119" t="s">
        <v>28</v>
      </c>
      <c r="F119" t="s">
        <v>92</v>
      </c>
      <c r="G119" s="1" t="str">
        <f>HYPERLINK("https://new.land.naver.com/complexes/2026", "클릭")</f>
        <v>클릭</v>
      </c>
      <c r="H119">
        <v>1999</v>
      </c>
      <c r="I119">
        <v>1</v>
      </c>
      <c r="J119">
        <v>231</v>
      </c>
      <c r="K119">
        <v>84</v>
      </c>
      <c r="L119" t="s">
        <v>135</v>
      </c>
      <c r="M119" t="s">
        <v>137</v>
      </c>
      <c r="N119" t="s">
        <v>161</v>
      </c>
      <c r="O119">
        <v>58000</v>
      </c>
      <c r="P119" t="s">
        <v>161</v>
      </c>
      <c r="Q119">
        <v>38000</v>
      </c>
      <c r="R119">
        <v>20000</v>
      </c>
      <c r="S119" s="2">
        <v>0.65517241379310343</v>
      </c>
      <c r="T119">
        <v>59500</v>
      </c>
      <c r="U119" s="2">
        <v>-2.5210084033613449E-2</v>
      </c>
      <c r="V119">
        <v>33100</v>
      </c>
      <c r="W119" s="2">
        <v>1.75226586102719</v>
      </c>
      <c r="AA119" t="s">
        <v>198</v>
      </c>
    </row>
    <row r="120" spans="1:27" x14ac:dyDescent="0.3">
      <c r="A120" s="3">
        <v>118</v>
      </c>
      <c r="B120">
        <v>8481</v>
      </c>
      <c r="C120" t="s">
        <v>26</v>
      </c>
      <c r="D120" t="s">
        <v>27</v>
      </c>
      <c r="E120" t="s">
        <v>30</v>
      </c>
      <c r="F120" t="s">
        <v>64</v>
      </c>
      <c r="G120" s="1" t="str">
        <f>HYPERLINK("https://new.land.naver.com/complexes/8481", "클릭")</f>
        <v>클릭</v>
      </c>
      <c r="H120">
        <v>1993</v>
      </c>
      <c r="I120">
        <v>11</v>
      </c>
      <c r="J120">
        <v>870</v>
      </c>
      <c r="K120">
        <v>59</v>
      </c>
      <c r="L120" t="s">
        <v>136</v>
      </c>
      <c r="M120" t="s">
        <v>138</v>
      </c>
      <c r="N120" t="s">
        <v>250</v>
      </c>
      <c r="O120">
        <v>58000</v>
      </c>
      <c r="P120" t="s">
        <v>250</v>
      </c>
      <c r="Q120">
        <v>27000</v>
      </c>
      <c r="R120">
        <v>31000</v>
      </c>
      <c r="S120" s="2">
        <v>0.46551724137931028</v>
      </c>
      <c r="T120">
        <v>78000</v>
      </c>
      <c r="U120" s="2">
        <v>-0.25641025641025639</v>
      </c>
      <c r="V120">
        <v>38000</v>
      </c>
      <c r="W120" s="2">
        <v>1.5263157894736841</v>
      </c>
      <c r="AA120" t="s">
        <v>198</v>
      </c>
    </row>
    <row r="121" spans="1:27" x14ac:dyDescent="0.3">
      <c r="A121" s="3">
        <v>119</v>
      </c>
      <c r="B121">
        <v>1993</v>
      </c>
      <c r="C121" t="s">
        <v>26</v>
      </c>
      <c r="D121" t="s">
        <v>27</v>
      </c>
      <c r="E121" t="s">
        <v>31</v>
      </c>
      <c r="F121" t="s">
        <v>76</v>
      </c>
      <c r="G121" s="1" t="str">
        <f>HYPERLINK("https://new.land.naver.com/complexes/1993", "클릭")</f>
        <v>클릭</v>
      </c>
      <c r="H121">
        <v>1993</v>
      </c>
      <c r="I121">
        <v>10</v>
      </c>
      <c r="J121">
        <v>796</v>
      </c>
      <c r="K121">
        <v>59</v>
      </c>
      <c r="L121" t="s">
        <v>136</v>
      </c>
      <c r="M121" t="s">
        <v>138</v>
      </c>
      <c r="N121" t="s">
        <v>270</v>
      </c>
      <c r="O121">
        <v>58000</v>
      </c>
      <c r="P121" t="s">
        <v>270</v>
      </c>
      <c r="Q121">
        <v>31000</v>
      </c>
      <c r="R121">
        <v>27000</v>
      </c>
      <c r="S121" s="2">
        <v>0.53448275862068961</v>
      </c>
      <c r="T121">
        <v>65300</v>
      </c>
      <c r="U121" s="2">
        <v>-0.111791730474732</v>
      </c>
      <c r="V121">
        <v>32500</v>
      </c>
      <c r="W121" s="2">
        <v>1.7846153846153849</v>
      </c>
      <c r="AA121" t="s">
        <v>198</v>
      </c>
    </row>
    <row r="122" spans="1:27" x14ac:dyDescent="0.3">
      <c r="A122" s="3">
        <v>120</v>
      </c>
      <c r="B122">
        <v>1992</v>
      </c>
      <c r="C122" t="s">
        <v>26</v>
      </c>
      <c r="D122" t="s">
        <v>27</v>
      </c>
      <c r="E122" t="s">
        <v>31</v>
      </c>
      <c r="F122" t="s">
        <v>220</v>
      </c>
      <c r="G122" s="1" t="str">
        <f>HYPERLINK("https://new.land.naver.com/complexes/1992", "클릭")</f>
        <v>클릭</v>
      </c>
      <c r="H122">
        <v>1993</v>
      </c>
      <c r="I122">
        <v>11</v>
      </c>
      <c r="J122">
        <v>3227</v>
      </c>
      <c r="K122">
        <v>49</v>
      </c>
      <c r="L122" t="s">
        <v>136</v>
      </c>
      <c r="M122" t="s">
        <v>138</v>
      </c>
      <c r="N122" t="s">
        <v>468</v>
      </c>
      <c r="O122">
        <v>57000</v>
      </c>
      <c r="P122" t="s">
        <v>468</v>
      </c>
      <c r="Q122">
        <v>25000</v>
      </c>
      <c r="R122">
        <v>32000</v>
      </c>
      <c r="S122" s="2">
        <v>0.43859649122807021</v>
      </c>
      <c r="V122">
        <v>33400</v>
      </c>
      <c r="W122" s="2">
        <v>1.706586826347305</v>
      </c>
      <c r="AA122" t="s">
        <v>198</v>
      </c>
    </row>
    <row r="123" spans="1:27" x14ac:dyDescent="0.3">
      <c r="A123" s="3">
        <v>121</v>
      </c>
      <c r="B123">
        <v>1464</v>
      </c>
      <c r="C123" t="s">
        <v>26</v>
      </c>
      <c r="D123" t="s">
        <v>27</v>
      </c>
      <c r="E123" t="s">
        <v>29</v>
      </c>
      <c r="F123" t="s">
        <v>222</v>
      </c>
      <c r="G123" s="1" t="str">
        <f>HYPERLINK("https://new.land.naver.com/complexes/1464", "클릭")</f>
        <v>클릭</v>
      </c>
      <c r="H123">
        <v>1992</v>
      </c>
      <c r="I123">
        <v>7</v>
      </c>
      <c r="J123">
        <v>1068</v>
      </c>
      <c r="K123">
        <v>59</v>
      </c>
      <c r="L123" t="s">
        <v>136</v>
      </c>
      <c r="M123" t="s">
        <v>138</v>
      </c>
      <c r="N123" t="s">
        <v>271</v>
      </c>
      <c r="O123">
        <v>57000</v>
      </c>
      <c r="P123" t="s">
        <v>271</v>
      </c>
      <c r="Q123">
        <v>29000</v>
      </c>
      <c r="R123">
        <v>28000</v>
      </c>
      <c r="S123" s="2">
        <v>0.50877192982456143</v>
      </c>
      <c r="T123">
        <v>71300</v>
      </c>
      <c r="U123" s="2">
        <v>-0.2005610098176718</v>
      </c>
      <c r="AA123" t="s">
        <v>198</v>
      </c>
    </row>
    <row r="124" spans="1:27" x14ac:dyDescent="0.3">
      <c r="A124" s="3">
        <v>122</v>
      </c>
      <c r="B124">
        <v>3022</v>
      </c>
      <c r="C124" t="s">
        <v>26</v>
      </c>
      <c r="D124" t="s">
        <v>27</v>
      </c>
      <c r="E124" t="s">
        <v>28</v>
      </c>
      <c r="F124" t="s">
        <v>419</v>
      </c>
      <c r="G124" s="1" t="str">
        <f>HYPERLINK("https://new.land.naver.com/complexes/3022", "클릭")</f>
        <v>클릭</v>
      </c>
      <c r="H124">
        <v>1992</v>
      </c>
      <c r="I124">
        <v>7</v>
      </c>
      <c r="J124">
        <v>902</v>
      </c>
      <c r="K124">
        <v>50</v>
      </c>
      <c r="L124" t="s">
        <v>136</v>
      </c>
      <c r="M124" t="s">
        <v>235</v>
      </c>
      <c r="N124" t="s">
        <v>339</v>
      </c>
      <c r="O124">
        <v>56000</v>
      </c>
      <c r="P124" t="s">
        <v>339</v>
      </c>
      <c r="Q124">
        <v>24800</v>
      </c>
      <c r="R124">
        <v>31200</v>
      </c>
      <c r="S124" s="2">
        <v>0.44285714285714278</v>
      </c>
      <c r="V124">
        <v>36700</v>
      </c>
      <c r="W124" s="2">
        <v>1.5258855585831059</v>
      </c>
      <c r="AA124" t="s">
        <v>198</v>
      </c>
    </row>
    <row r="125" spans="1:27" x14ac:dyDescent="0.3">
      <c r="A125" s="3">
        <v>123</v>
      </c>
      <c r="B125">
        <v>8185</v>
      </c>
      <c r="C125" t="s">
        <v>26</v>
      </c>
      <c r="D125" t="s">
        <v>27</v>
      </c>
      <c r="E125" t="s">
        <v>30</v>
      </c>
      <c r="F125" t="s">
        <v>97</v>
      </c>
      <c r="G125" s="1" t="str">
        <f>HYPERLINK("https://new.land.naver.com/complexes/8185", "클릭")</f>
        <v>클릭</v>
      </c>
      <c r="H125">
        <v>1999</v>
      </c>
      <c r="I125">
        <v>10</v>
      </c>
      <c r="J125">
        <v>129</v>
      </c>
      <c r="K125">
        <v>84</v>
      </c>
      <c r="L125" t="s">
        <v>135</v>
      </c>
      <c r="M125" t="s">
        <v>137</v>
      </c>
      <c r="N125" t="s">
        <v>174</v>
      </c>
      <c r="O125">
        <v>56000</v>
      </c>
      <c r="P125" t="s">
        <v>174</v>
      </c>
      <c r="Q125">
        <v>40000</v>
      </c>
      <c r="R125">
        <v>16000</v>
      </c>
      <c r="S125" s="2">
        <v>0.7142857142857143</v>
      </c>
      <c r="T125">
        <v>59000</v>
      </c>
      <c r="U125" s="2">
        <v>-5.0847457627118647E-2</v>
      </c>
      <c r="V125">
        <v>32000</v>
      </c>
      <c r="W125" s="2">
        <v>1.75</v>
      </c>
      <c r="AA125" t="s">
        <v>198</v>
      </c>
    </row>
    <row r="126" spans="1:27" x14ac:dyDescent="0.3">
      <c r="A126" s="3">
        <v>124</v>
      </c>
      <c r="B126">
        <v>1474</v>
      </c>
      <c r="C126" t="s">
        <v>26</v>
      </c>
      <c r="D126" t="s">
        <v>27</v>
      </c>
      <c r="E126" t="s">
        <v>28</v>
      </c>
      <c r="F126" t="s">
        <v>79</v>
      </c>
      <c r="G126" s="1" t="str">
        <f>HYPERLINK("https://new.land.naver.com/complexes/1474", "클릭")</f>
        <v>클릭</v>
      </c>
      <c r="H126">
        <v>1992</v>
      </c>
      <c r="I126">
        <v>9</v>
      </c>
      <c r="J126">
        <v>458</v>
      </c>
      <c r="K126">
        <v>59</v>
      </c>
      <c r="L126" t="s">
        <v>136</v>
      </c>
      <c r="M126" t="s">
        <v>138</v>
      </c>
      <c r="N126" t="s">
        <v>267</v>
      </c>
      <c r="O126">
        <v>55000</v>
      </c>
      <c r="P126" t="s">
        <v>267</v>
      </c>
      <c r="Q126">
        <v>34000</v>
      </c>
      <c r="R126">
        <v>21000</v>
      </c>
      <c r="S126" s="2">
        <v>0.61818181818181817</v>
      </c>
      <c r="T126">
        <v>70700</v>
      </c>
      <c r="U126" s="2">
        <v>-0.2220650636492221</v>
      </c>
      <c r="V126">
        <v>32000</v>
      </c>
      <c r="W126" s="2">
        <v>1.71875</v>
      </c>
      <c r="AA126" t="s">
        <v>198</v>
      </c>
    </row>
    <row r="127" spans="1:27" x14ac:dyDescent="0.3">
      <c r="A127" s="3">
        <v>125</v>
      </c>
      <c r="B127">
        <v>23687</v>
      </c>
      <c r="C127" t="s">
        <v>26</v>
      </c>
      <c r="D127" t="s">
        <v>27</v>
      </c>
      <c r="E127" t="s">
        <v>29</v>
      </c>
      <c r="F127" t="s">
        <v>548</v>
      </c>
      <c r="G127" s="1" t="str">
        <f>HYPERLINK("https://new.land.naver.com/complexes/23687", "클릭")</f>
        <v>클릭</v>
      </c>
      <c r="H127">
        <v>1995</v>
      </c>
      <c r="I127">
        <v>12</v>
      </c>
      <c r="J127">
        <v>16</v>
      </c>
      <c r="K127">
        <v>93</v>
      </c>
      <c r="L127" t="s">
        <v>135</v>
      </c>
      <c r="M127" t="s">
        <v>137</v>
      </c>
      <c r="N127" t="s">
        <v>185</v>
      </c>
      <c r="O127">
        <v>55000</v>
      </c>
      <c r="P127" t="s">
        <v>185</v>
      </c>
      <c r="Q127">
        <v>32000</v>
      </c>
      <c r="R127">
        <v>23000</v>
      </c>
      <c r="S127" s="2">
        <v>0.58181818181818179</v>
      </c>
      <c r="V127">
        <v>31900</v>
      </c>
      <c r="W127" s="2">
        <v>1.7241379310344831</v>
      </c>
      <c r="AA127" t="s">
        <v>198</v>
      </c>
    </row>
    <row r="128" spans="1:27" x14ac:dyDescent="0.3">
      <c r="A128" s="3">
        <v>126</v>
      </c>
      <c r="B128">
        <v>19492</v>
      </c>
      <c r="C128" t="s">
        <v>26</v>
      </c>
      <c r="D128" t="s">
        <v>27</v>
      </c>
      <c r="E128" t="s">
        <v>28</v>
      </c>
      <c r="F128" t="s">
        <v>65</v>
      </c>
      <c r="G128" s="1" t="str">
        <f>HYPERLINK("https://new.land.naver.com/complexes/19492", "클릭")</f>
        <v>클릭</v>
      </c>
      <c r="H128">
        <v>1992</v>
      </c>
      <c r="I128">
        <v>12</v>
      </c>
      <c r="J128">
        <v>800</v>
      </c>
      <c r="K128">
        <v>59</v>
      </c>
      <c r="L128" t="s">
        <v>135</v>
      </c>
      <c r="M128" t="s">
        <v>138</v>
      </c>
      <c r="N128" t="s">
        <v>269</v>
      </c>
      <c r="O128">
        <v>54000</v>
      </c>
      <c r="P128" t="s">
        <v>269</v>
      </c>
      <c r="Q128">
        <v>32000</v>
      </c>
      <c r="R128">
        <v>22000</v>
      </c>
      <c r="S128" s="2">
        <v>0.59259259259259256</v>
      </c>
      <c r="T128">
        <v>69300</v>
      </c>
      <c r="U128" s="2">
        <v>-0.2207792207792208</v>
      </c>
      <c r="V128">
        <v>35300</v>
      </c>
      <c r="W128" s="2">
        <v>1.529745042492918</v>
      </c>
      <c r="AA128" t="s">
        <v>198</v>
      </c>
    </row>
    <row r="129" spans="1:27" x14ac:dyDescent="0.3">
      <c r="A129" s="3">
        <v>127</v>
      </c>
      <c r="B129">
        <v>2595</v>
      </c>
      <c r="C129" t="s">
        <v>26</v>
      </c>
      <c r="D129" t="s">
        <v>27</v>
      </c>
      <c r="E129" t="s">
        <v>30</v>
      </c>
      <c r="F129" t="s">
        <v>297</v>
      </c>
      <c r="G129" s="1" t="str">
        <f>HYPERLINK("https://new.land.naver.com/complexes/2595", "클릭")</f>
        <v>클릭</v>
      </c>
      <c r="H129">
        <v>1992</v>
      </c>
      <c r="I129">
        <v>10</v>
      </c>
      <c r="J129">
        <v>1743</v>
      </c>
      <c r="K129">
        <v>50</v>
      </c>
      <c r="L129" t="s">
        <v>136</v>
      </c>
      <c r="M129" t="s">
        <v>138</v>
      </c>
      <c r="N129" t="s">
        <v>339</v>
      </c>
      <c r="O129">
        <v>53500</v>
      </c>
      <c r="P129" t="s">
        <v>339</v>
      </c>
      <c r="Q129">
        <v>26000</v>
      </c>
      <c r="R129">
        <v>27500</v>
      </c>
      <c r="S129" s="2">
        <v>0.48598130841121501</v>
      </c>
      <c r="V129">
        <v>32200</v>
      </c>
      <c r="W129" s="2">
        <v>1.661490683229814</v>
      </c>
      <c r="AA129" t="s">
        <v>198</v>
      </c>
    </row>
    <row r="130" spans="1:27" x14ac:dyDescent="0.3">
      <c r="A130" s="3">
        <v>128</v>
      </c>
      <c r="B130">
        <v>8775</v>
      </c>
      <c r="C130" t="s">
        <v>26</v>
      </c>
      <c r="D130" t="s">
        <v>27</v>
      </c>
      <c r="E130" t="s">
        <v>30</v>
      </c>
      <c r="F130" t="s">
        <v>421</v>
      </c>
      <c r="G130" s="1" t="str">
        <f>HYPERLINK("https://new.land.naver.com/complexes/8775", "클릭")</f>
        <v>클릭</v>
      </c>
      <c r="H130">
        <v>1996</v>
      </c>
      <c r="I130">
        <v>7</v>
      </c>
      <c r="J130">
        <v>709</v>
      </c>
      <c r="K130">
        <v>49</v>
      </c>
      <c r="L130" t="s">
        <v>136</v>
      </c>
      <c r="M130" t="s">
        <v>235</v>
      </c>
      <c r="N130" t="s">
        <v>469</v>
      </c>
      <c r="O130">
        <v>53000</v>
      </c>
      <c r="P130" t="s">
        <v>469</v>
      </c>
      <c r="Q130">
        <v>27000</v>
      </c>
      <c r="R130">
        <v>26000</v>
      </c>
      <c r="S130" s="2">
        <v>0.50943396226415094</v>
      </c>
      <c r="V130">
        <v>31700</v>
      </c>
      <c r="W130" s="2">
        <v>1.67192429022082</v>
      </c>
      <c r="AA130" t="s">
        <v>198</v>
      </c>
    </row>
    <row r="131" spans="1:27" x14ac:dyDescent="0.3">
      <c r="A131" s="3">
        <v>129</v>
      </c>
      <c r="B131">
        <v>3076</v>
      </c>
      <c r="C131" t="s">
        <v>26</v>
      </c>
      <c r="D131" t="s">
        <v>27</v>
      </c>
      <c r="E131" t="s">
        <v>31</v>
      </c>
      <c r="F131" t="s">
        <v>80</v>
      </c>
      <c r="G131" s="1" t="str">
        <f>HYPERLINK("https://new.land.naver.com/complexes/3076", "클릭")</f>
        <v>클릭</v>
      </c>
      <c r="H131">
        <v>1992</v>
      </c>
      <c r="I131">
        <v>11</v>
      </c>
      <c r="J131">
        <v>1800</v>
      </c>
      <c r="K131">
        <v>59</v>
      </c>
      <c r="L131" t="s">
        <v>136</v>
      </c>
      <c r="M131" t="s">
        <v>138</v>
      </c>
      <c r="N131" t="s">
        <v>254</v>
      </c>
      <c r="O131">
        <v>52000</v>
      </c>
      <c r="P131" t="s">
        <v>254</v>
      </c>
      <c r="Q131">
        <v>31000</v>
      </c>
      <c r="R131">
        <v>21000</v>
      </c>
      <c r="S131" s="2">
        <v>0.59615384615384615</v>
      </c>
      <c r="T131">
        <v>73000</v>
      </c>
      <c r="U131" s="2">
        <v>-0.28767123287671231</v>
      </c>
      <c r="V131">
        <v>33800</v>
      </c>
      <c r="W131" s="2">
        <v>1.538461538461539</v>
      </c>
      <c r="AA131" t="s">
        <v>198</v>
      </c>
    </row>
    <row r="132" spans="1:27" x14ac:dyDescent="0.3">
      <c r="A132" s="3">
        <v>130</v>
      </c>
      <c r="B132">
        <v>3032</v>
      </c>
      <c r="C132" t="s">
        <v>26</v>
      </c>
      <c r="D132" t="s">
        <v>27</v>
      </c>
      <c r="E132" t="s">
        <v>28</v>
      </c>
      <c r="F132" t="s">
        <v>124</v>
      </c>
      <c r="G132" s="1" t="str">
        <f>HYPERLINK("https://new.land.naver.com/complexes/3032", "클릭")</f>
        <v>클릭</v>
      </c>
      <c r="H132">
        <v>1999</v>
      </c>
      <c r="I132">
        <v>12</v>
      </c>
      <c r="J132">
        <v>212</v>
      </c>
      <c r="K132">
        <v>74</v>
      </c>
      <c r="N132" t="s">
        <v>342</v>
      </c>
      <c r="O132">
        <v>51000</v>
      </c>
      <c r="AA132" t="s">
        <v>289</v>
      </c>
    </row>
    <row r="133" spans="1:27" x14ac:dyDescent="0.3">
      <c r="A133" s="3">
        <v>131</v>
      </c>
      <c r="B133">
        <v>1975</v>
      </c>
      <c r="C133" t="s">
        <v>26</v>
      </c>
      <c r="D133" t="s">
        <v>27</v>
      </c>
      <c r="E133" t="s">
        <v>29</v>
      </c>
      <c r="F133" t="s">
        <v>110</v>
      </c>
      <c r="G133" s="1" t="str">
        <f>HYPERLINK("https://new.land.naver.com/complexes/1975", "클릭")</f>
        <v>클릭</v>
      </c>
      <c r="H133">
        <v>1996</v>
      </c>
      <c r="I133">
        <v>2</v>
      </c>
      <c r="J133">
        <v>46</v>
      </c>
      <c r="K133">
        <v>84</v>
      </c>
      <c r="L133" t="s">
        <v>135</v>
      </c>
      <c r="M133" t="s">
        <v>137</v>
      </c>
      <c r="N133" t="s">
        <v>181</v>
      </c>
      <c r="O133">
        <v>50000</v>
      </c>
      <c r="T133">
        <v>41000</v>
      </c>
      <c r="U133" s="2">
        <v>0.21951219512195119</v>
      </c>
      <c r="V133">
        <v>28400</v>
      </c>
      <c r="W133" s="2">
        <v>1.76056338028169</v>
      </c>
      <c r="AA133" t="s">
        <v>204</v>
      </c>
    </row>
    <row r="134" spans="1:27" x14ac:dyDescent="0.3">
      <c r="A134" s="3">
        <v>132</v>
      </c>
      <c r="B134">
        <v>2047</v>
      </c>
      <c r="C134" t="s">
        <v>26</v>
      </c>
      <c r="D134" t="s">
        <v>27</v>
      </c>
      <c r="E134" t="s">
        <v>28</v>
      </c>
      <c r="F134" t="s">
        <v>127</v>
      </c>
      <c r="G134" s="1" t="str">
        <f>HYPERLINK("https://new.land.naver.com/complexes/2047", "클릭")</f>
        <v>클릭</v>
      </c>
      <c r="H134">
        <v>1994</v>
      </c>
      <c r="I134">
        <v>11</v>
      </c>
      <c r="J134">
        <v>148</v>
      </c>
      <c r="K134">
        <v>99</v>
      </c>
      <c r="L134" t="s">
        <v>136</v>
      </c>
      <c r="M134" t="s">
        <v>137</v>
      </c>
      <c r="N134" t="s">
        <v>600</v>
      </c>
      <c r="O134">
        <v>50000</v>
      </c>
      <c r="V134">
        <v>27200</v>
      </c>
      <c r="W134" s="2">
        <v>1.838235294117647</v>
      </c>
      <c r="AA134" t="s">
        <v>205</v>
      </c>
    </row>
    <row r="135" spans="1:27" x14ac:dyDescent="0.3">
      <c r="A135" s="3">
        <v>133</v>
      </c>
      <c r="B135">
        <v>10392</v>
      </c>
      <c r="C135" t="s">
        <v>26</v>
      </c>
      <c r="D135" t="s">
        <v>27</v>
      </c>
      <c r="E135" t="s">
        <v>29</v>
      </c>
      <c r="F135" t="s">
        <v>326</v>
      </c>
      <c r="G135" s="1" t="str">
        <f>HYPERLINK("https://new.land.naver.com/complexes/10392", "클릭")</f>
        <v>클릭</v>
      </c>
      <c r="H135">
        <v>1998</v>
      </c>
      <c r="I135">
        <v>3</v>
      </c>
      <c r="J135">
        <v>40</v>
      </c>
      <c r="K135">
        <v>99</v>
      </c>
      <c r="L135" t="s">
        <v>136</v>
      </c>
      <c r="M135" t="s">
        <v>137</v>
      </c>
      <c r="N135" t="s">
        <v>594</v>
      </c>
      <c r="O135">
        <v>50000</v>
      </c>
      <c r="V135">
        <v>32200</v>
      </c>
      <c r="W135" s="2">
        <v>1.5527950310559011</v>
      </c>
      <c r="AA135" t="s">
        <v>198</v>
      </c>
    </row>
    <row r="136" spans="1:27" x14ac:dyDescent="0.3">
      <c r="A136" s="3">
        <v>134</v>
      </c>
      <c r="B136">
        <v>2042</v>
      </c>
      <c r="C136" t="s">
        <v>26</v>
      </c>
      <c r="D136" t="s">
        <v>27</v>
      </c>
      <c r="E136" t="s">
        <v>28</v>
      </c>
      <c r="F136" t="s">
        <v>88</v>
      </c>
      <c r="G136" s="1" t="str">
        <f>HYPERLINK("https://new.land.naver.com/complexes/2042", "클릭")</f>
        <v>클릭</v>
      </c>
      <c r="H136">
        <v>1999</v>
      </c>
      <c r="I136">
        <v>7</v>
      </c>
      <c r="J136">
        <v>644</v>
      </c>
      <c r="K136">
        <v>59</v>
      </c>
      <c r="L136" t="s">
        <v>135</v>
      </c>
      <c r="M136" t="s">
        <v>138</v>
      </c>
      <c r="N136" t="s">
        <v>271</v>
      </c>
      <c r="O136">
        <v>50000</v>
      </c>
      <c r="P136" t="s">
        <v>271</v>
      </c>
      <c r="Q136">
        <v>31500</v>
      </c>
      <c r="R136">
        <v>18500</v>
      </c>
      <c r="S136" s="2">
        <v>0.63</v>
      </c>
      <c r="T136">
        <v>67000</v>
      </c>
      <c r="U136" s="2">
        <v>-0.2537313432835821</v>
      </c>
      <c r="V136">
        <v>32800</v>
      </c>
      <c r="W136" s="2">
        <v>1.524390243902439</v>
      </c>
      <c r="AA136" t="s">
        <v>198</v>
      </c>
    </row>
    <row r="137" spans="1:27" x14ac:dyDescent="0.3">
      <c r="A137" s="3">
        <v>135</v>
      </c>
      <c r="B137">
        <v>9382</v>
      </c>
      <c r="C137" t="s">
        <v>26</v>
      </c>
      <c r="D137" t="s">
        <v>27</v>
      </c>
      <c r="E137" t="s">
        <v>31</v>
      </c>
      <c r="F137" t="s">
        <v>112</v>
      </c>
      <c r="G137" s="1" t="str">
        <f>HYPERLINK("https://new.land.naver.com/complexes/9382", "클릭")</f>
        <v>클릭</v>
      </c>
      <c r="H137">
        <v>1995</v>
      </c>
      <c r="I137">
        <v>12</v>
      </c>
      <c r="J137">
        <v>282</v>
      </c>
      <c r="K137">
        <v>84</v>
      </c>
      <c r="L137" t="s">
        <v>136</v>
      </c>
      <c r="M137" t="s">
        <v>137</v>
      </c>
      <c r="N137" t="s">
        <v>183</v>
      </c>
      <c r="O137">
        <v>49000</v>
      </c>
      <c r="P137" t="s">
        <v>183</v>
      </c>
      <c r="Q137">
        <v>25000</v>
      </c>
      <c r="R137">
        <v>24000</v>
      </c>
      <c r="S137" s="2">
        <v>0.51020408163265307</v>
      </c>
      <c r="T137">
        <v>62000</v>
      </c>
      <c r="U137" s="2">
        <v>-0.20967741935483869</v>
      </c>
      <c r="V137">
        <v>32800</v>
      </c>
      <c r="W137" s="2">
        <v>1.49390243902439</v>
      </c>
      <c r="AA137" t="s">
        <v>198</v>
      </c>
    </row>
    <row r="138" spans="1:27" x14ac:dyDescent="0.3">
      <c r="A138" s="3">
        <v>136</v>
      </c>
      <c r="B138">
        <v>8711</v>
      </c>
      <c r="C138" t="s">
        <v>26</v>
      </c>
      <c r="D138" t="s">
        <v>27</v>
      </c>
      <c r="E138" t="s">
        <v>30</v>
      </c>
      <c r="F138" t="s">
        <v>113</v>
      </c>
      <c r="G138" s="1" t="str">
        <f>HYPERLINK("https://new.land.naver.com/complexes/8711", "클릭")</f>
        <v>클릭</v>
      </c>
      <c r="H138">
        <v>1999</v>
      </c>
      <c r="I138">
        <v>7</v>
      </c>
      <c r="J138">
        <v>49</v>
      </c>
      <c r="K138">
        <v>82</v>
      </c>
      <c r="L138" t="s">
        <v>135</v>
      </c>
      <c r="M138" t="s">
        <v>137</v>
      </c>
      <c r="N138" t="s">
        <v>163</v>
      </c>
      <c r="O138">
        <v>49000</v>
      </c>
      <c r="P138" t="s">
        <v>163</v>
      </c>
      <c r="Q138">
        <v>35000</v>
      </c>
      <c r="R138">
        <v>14000</v>
      </c>
      <c r="S138" s="2">
        <v>0.7142857142857143</v>
      </c>
      <c r="V138">
        <v>31700</v>
      </c>
      <c r="W138" s="2">
        <v>1.545741324921136</v>
      </c>
      <c r="AA138" t="s">
        <v>198</v>
      </c>
    </row>
    <row r="139" spans="1:27" x14ac:dyDescent="0.3">
      <c r="A139" s="3">
        <v>137</v>
      </c>
      <c r="B139">
        <v>2026</v>
      </c>
      <c r="C139" t="s">
        <v>26</v>
      </c>
      <c r="D139" t="s">
        <v>27</v>
      </c>
      <c r="E139" t="s">
        <v>28</v>
      </c>
      <c r="F139" t="s">
        <v>92</v>
      </c>
      <c r="G139" s="1" t="str">
        <f>HYPERLINK("https://new.land.naver.com/complexes/2026", "클릭")</f>
        <v>클릭</v>
      </c>
      <c r="H139">
        <v>1999</v>
      </c>
      <c r="I139">
        <v>1</v>
      </c>
      <c r="J139">
        <v>231</v>
      </c>
      <c r="K139">
        <v>59</v>
      </c>
      <c r="L139" t="s">
        <v>136</v>
      </c>
      <c r="M139" t="s">
        <v>138</v>
      </c>
      <c r="N139" t="s">
        <v>266</v>
      </c>
      <c r="O139">
        <v>48000</v>
      </c>
      <c r="P139" t="s">
        <v>266</v>
      </c>
      <c r="Q139">
        <v>26000</v>
      </c>
      <c r="R139">
        <v>22000</v>
      </c>
      <c r="S139" s="2">
        <v>0.54166666666666663</v>
      </c>
      <c r="T139">
        <v>49000</v>
      </c>
      <c r="U139" s="2">
        <v>-2.0408163265306121E-2</v>
      </c>
      <c r="V139">
        <v>25400</v>
      </c>
      <c r="W139" s="2">
        <v>1.889763779527559</v>
      </c>
      <c r="AA139" t="s">
        <v>198</v>
      </c>
    </row>
    <row r="140" spans="1:27" x14ac:dyDescent="0.3">
      <c r="A140" s="3">
        <v>138</v>
      </c>
      <c r="B140">
        <v>8711</v>
      </c>
      <c r="C140" t="s">
        <v>26</v>
      </c>
      <c r="D140" t="s">
        <v>27</v>
      </c>
      <c r="E140" t="s">
        <v>30</v>
      </c>
      <c r="F140" t="s">
        <v>113</v>
      </c>
      <c r="G140" s="1" t="str">
        <f>HYPERLINK("https://new.land.naver.com/complexes/8711", "클릭")</f>
        <v>클릭</v>
      </c>
      <c r="H140">
        <v>1999</v>
      </c>
      <c r="I140">
        <v>7</v>
      </c>
      <c r="J140">
        <v>49</v>
      </c>
      <c r="K140">
        <v>84</v>
      </c>
      <c r="L140" t="s">
        <v>135</v>
      </c>
      <c r="M140" t="s">
        <v>137</v>
      </c>
      <c r="N140" t="s">
        <v>143</v>
      </c>
      <c r="O140">
        <v>48000</v>
      </c>
      <c r="P140" t="s">
        <v>143</v>
      </c>
      <c r="Q140">
        <v>40000</v>
      </c>
      <c r="R140">
        <v>8000</v>
      </c>
      <c r="S140" s="2">
        <v>0.83333333333333337</v>
      </c>
      <c r="T140">
        <v>44000</v>
      </c>
      <c r="U140" s="2">
        <v>9.0909090909090912E-2</v>
      </c>
      <c r="V140">
        <v>34600</v>
      </c>
      <c r="W140" s="2">
        <v>1.3872832369942201</v>
      </c>
      <c r="AA140" t="s">
        <v>198</v>
      </c>
    </row>
    <row r="141" spans="1:27" x14ac:dyDescent="0.3">
      <c r="A141" s="3">
        <v>139</v>
      </c>
      <c r="B141">
        <v>2034</v>
      </c>
      <c r="C141" t="s">
        <v>26</v>
      </c>
      <c r="D141" t="s">
        <v>27</v>
      </c>
      <c r="E141" t="s">
        <v>28</v>
      </c>
      <c r="F141" t="s">
        <v>114</v>
      </c>
      <c r="G141" s="1" t="str">
        <f>HYPERLINK("https://new.land.naver.com/complexes/2034", "클릭")</f>
        <v>클릭</v>
      </c>
      <c r="H141">
        <v>1999</v>
      </c>
      <c r="I141">
        <v>8</v>
      </c>
      <c r="J141">
        <v>195</v>
      </c>
      <c r="K141">
        <v>84</v>
      </c>
      <c r="L141" t="s">
        <v>136</v>
      </c>
      <c r="M141" t="s">
        <v>137</v>
      </c>
      <c r="N141" t="s">
        <v>142</v>
      </c>
      <c r="O141">
        <v>48000</v>
      </c>
      <c r="P141" t="s">
        <v>196</v>
      </c>
      <c r="Q141">
        <v>30000</v>
      </c>
      <c r="R141">
        <v>18000</v>
      </c>
      <c r="S141" s="2">
        <v>0.625</v>
      </c>
      <c r="T141">
        <v>52800</v>
      </c>
      <c r="U141" s="2">
        <v>-9.0909090909090912E-2</v>
      </c>
      <c r="V141">
        <v>30600</v>
      </c>
      <c r="W141" s="2">
        <v>1.5686274509803919</v>
      </c>
      <c r="AA141" t="s">
        <v>198</v>
      </c>
    </row>
    <row r="142" spans="1:27" x14ac:dyDescent="0.3">
      <c r="A142" s="3">
        <v>140</v>
      </c>
      <c r="B142">
        <v>3286</v>
      </c>
      <c r="C142" t="s">
        <v>26</v>
      </c>
      <c r="D142" t="s">
        <v>27</v>
      </c>
      <c r="E142" t="s">
        <v>29</v>
      </c>
      <c r="F142" t="s">
        <v>424</v>
      </c>
      <c r="G142" s="1" t="str">
        <f>HYPERLINK("https://new.land.naver.com/complexes/3286", "클릭")</f>
        <v>클릭</v>
      </c>
      <c r="H142">
        <v>1996</v>
      </c>
      <c r="I142">
        <v>11</v>
      </c>
      <c r="J142">
        <v>1292</v>
      </c>
      <c r="K142">
        <v>51</v>
      </c>
      <c r="L142" t="s">
        <v>136</v>
      </c>
      <c r="M142" t="s">
        <v>235</v>
      </c>
      <c r="N142" t="s">
        <v>461</v>
      </c>
      <c r="O142">
        <v>47500</v>
      </c>
      <c r="P142" t="s">
        <v>461</v>
      </c>
      <c r="Q142">
        <v>25000</v>
      </c>
      <c r="R142">
        <v>22500</v>
      </c>
      <c r="S142" s="2">
        <v>0.52631578947368418</v>
      </c>
      <c r="V142">
        <v>32600</v>
      </c>
      <c r="W142" s="2">
        <v>1.457055214723926</v>
      </c>
      <c r="AA142" t="s">
        <v>198</v>
      </c>
    </row>
    <row r="143" spans="1:27" x14ac:dyDescent="0.3">
      <c r="A143" s="3">
        <v>141</v>
      </c>
      <c r="B143">
        <v>1463</v>
      </c>
      <c r="C143" t="s">
        <v>26</v>
      </c>
      <c r="D143" t="s">
        <v>27</v>
      </c>
      <c r="E143" t="s">
        <v>29</v>
      </c>
      <c r="F143" t="s">
        <v>304</v>
      </c>
      <c r="G143" s="1" t="str">
        <f>HYPERLINK("https://new.land.naver.com/complexes/1463", "클릭")</f>
        <v>클릭</v>
      </c>
      <c r="H143">
        <v>1993</v>
      </c>
      <c r="I143">
        <v>3</v>
      </c>
      <c r="J143">
        <v>1710</v>
      </c>
      <c r="K143">
        <v>50</v>
      </c>
      <c r="L143" t="s">
        <v>136</v>
      </c>
      <c r="M143" t="s">
        <v>138</v>
      </c>
      <c r="N143" t="s">
        <v>339</v>
      </c>
      <c r="O143">
        <v>47000</v>
      </c>
      <c r="P143" t="s">
        <v>339</v>
      </c>
      <c r="Q143">
        <v>25000</v>
      </c>
      <c r="R143">
        <v>22000</v>
      </c>
      <c r="S143" s="2">
        <v>0.53191489361702127</v>
      </c>
      <c r="V143">
        <v>30600</v>
      </c>
      <c r="W143" s="2">
        <v>1.535947712418301</v>
      </c>
      <c r="AA143" t="s">
        <v>198</v>
      </c>
    </row>
    <row r="144" spans="1:27" x14ac:dyDescent="0.3">
      <c r="A144" s="3">
        <v>142</v>
      </c>
      <c r="B144">
        <v>1470</v>
      </c>
      <c r="C144" t="s">
        <v>26</v>
      </c>
      <c r="D144" t="s">
        <v>27</v>
      </c>
      <c r="E144" t="s">
        <v>28</v>
      </c>
      <c r="F144" t="s">
        <v>85</v>
      </c>
      <c r="G144" s="1" t="str">
        <f>HYPERLINK("https://new.land.naver.com/complexes/1470", "클릭")</f>
        <v>클릭</v>
      </c>
      <c r="H144">
        <v>1992</v>
      </c>
      <c r="I144">
        <v>9</v>
      </c>
      <c r="J144">
        <v>468</v>
      </c>
      <c r="K144">
        <v>53</v>
      </c>
      <c r="L144" t="s">
        <v>136</v>
      </c>
      <c r="M144" t="s">
        <v>235</v>
      </c>
      <c r="N144" t="s">
        <v>461</v>
      </c>
      <c r="O144">
        <v>47000</v>
      </c>
      <c r="P144" t="s">
        <v>461</v>
      </c>
      <c r="Q144">
        <v>25000</v>
      </c>
      <c r="R144">
        <v>22000</v>
      </c>
      <c r="S144" s="2">
        <v>0.53191489361702127</v>
      </c>
      <c r="V144">
        <v>27400</v>
      </c>
      <c r="W144" s="2">
        <v>1.7153284671532849</v>
      </c>
      <c r="AA144" t="s">
        <v>198</v>
      </c>
    </row>
    <row r="145" spans="1:27" x14ac:dyDescent="0.3">
      <c r="A145" s="3">
        <v>143</v>
      </c>
      <c r="B145">
        <v>1473</v>
      </c>
      <c r="C145" t="s">
        <v>26</v>
      </c>
      <c r="D145" t="s">
        <v>27</v>
      </c>
      <c r="E145" t="s">
        <v>28</v>
      </c>
      <c r="F145" t="s">
        <v>73</v>
      </c>
      <c r="G145" s="1" t="str">
        <f>HYPERLINK("https://new.land.naver.com/complexes/1473", "클릭")</f>
        <v>클릭</v>
      </c>
      <c r="H145">
        <v>1992</v>
      </c>
      <c r="I145">
        <v>9</v>
      </c>
      <c r="J145">
        <v>321</v>
      </c>
      <c r="K145">
        <v>56</v>
      </c>
      <c r="L145" t="s">
        <v>136</v>
      </c>
      <c r="M145" t="s">
        <v>235</v>
      </c>
      <c r="N145" t="s">
        <v>248</v>
      </c>
      <c r="O145">
        <v>47000</v>
      </c>
      <c r="P145" t="s">
        <v>248</v>
      </c>
      <c r="Q145">
        <v>28000</v>
      </c>
      <c r="R145">
        <v>19000</v>
      </c>
      <c r="S145" s="2">
        <v>0.5957446808510638</v>
      </c>
      <c r="V145">
        <v>28700</v>
      </c>
      <c r="W145" s="2">
        <v>1.637630662020906</v>
      </c>
      <c r="AA145" t="s">
        <v>198</v>
      </c>
    </row>
    <row r="146" spans="1:27" x14ac:dyDescent="0.3">
      <c r="A146" s="3">
        <v>144</v>
      </c>
      <c r="B146">
        <v>3023</v>
      </c>
      <c r="C146" t="s">
        <v>26</v>
      </c>
      <c r="D146" t="s">
        <v>27</v>
      </c>
      <c r="E146" t="s">
        <v>28</v>
      </c>
      <c r="F146" t="s">
        <v>212</v>
      </c>
      <c r="G146" s="1" t="str">
        <f>HYPERLINK("https://new.land.naver.com/complexes/3023", "클릭")</f>
        <v>클릭</v>
      </c>
      <c r="H146">
        <v>1993</v>
      </c>
      <c r="I146">
        <v>3</v>
      </c>
      <c r="J146">
        <v>683</v>
      </c>
      <c r="K146">
        <v>41</v>
      </c>
      <c r="L146" t="s">
        <v>136</v>
      </c>
      <c r="M146" t="s">
        <v>236</v>
      </c>
      <c r="N146" t="s">
        <v>477</v>
      </c>
      <c r="O146">
        <v>47000</v>
      </c>
      <c r="P146" t="s">
        <v>477</v>
      </c>
      <c r="Q146">
        <v>22000</v>
      </c>
      <c r="R146">
        <v>25000</v>
      </c>
      <c r="S146" s="2">
        <v>0.46808510638297868</v>
      </c>
      <c r="V146">
        <v>28100</v>
      </c>
      <c r="W146" s="2">
        <v>1.672597864768683</v>
      </c>
      <c r="AA146" t="s">
        <v>198</v>
      </c>
    </row>
    <row r="147" spans="1:27" x14ac:dyDescent="0.3">
      <c r="A147" s="3">
        <v>145</v>
      </c>
      <c r="B147">
        <v>3286</v>
      </c>
      <c r="C147" t="s">
        <v>26</v>
      </c>
      <c r="D147" t="s">
        <v>27</v>
      </c>
      <c r="E147" t="s">
        <v>29</v>
      </c>
      <c r="F147" t="s">
        <v>424</v>
      </c>
      <c r="G147" s="1" t="str">
        <f>HYPERLINK("https://new.land.naver.com/complexes/3286", "클릭")</f>
        <v>클릭</v>
      </c>
      <c r="H147">
        <v>1996</v>
      </c>
      <c r="I147">
        <v>11</v>
      </c>
      <c r="J147">
        <v>1292</v>
      </c>
      <c r="K147">
        <v>49</v>
      </c>
      <c r="L147" t="s">
        <v>136</v>
      </c>
      <c r="M147" t="s">
        <v>235</v>
      </c>
      <c r="N147" t="s">
        <v>469</v>
      </c>
      <c r="O147">
        <v>47000</v>
      </c>
      <c r="P147" t="s">
        <v>469</v>
      </c>
      <c r="Q147">
        <v>27000</v>
      </c>
      <c r="R147">
        <v>20000</v>
      </c>
      <c r="S147" s="2">
        <v>0.57446808510638303</v>
      </c>
      <c r="V147">
        <v>30700</v>
      </c>
      <c r="W147" s="2">
        <v>1.5309446254071659</v>
      </c>
      <c r="AA147" t="s">
        <v>198</v>
      </c>
    </row>
    <row r="148" spans="1:27" x14ac:dyDescent="0.3">
      <c r="A148" s="3">
        <v>146</v>
      </c>
      <c r="B148">
        <v>1476</v>
      </c>
      <c r="C148" t="s">
        <v>26</v>
      </c>
      <c r="D148" t="s">
        <v>27</v>
      </c>
      <c r="E148" t="s">
        <v>28</v>
      </c>
      <c r="F148" t="s">
        <v>89</v>
      </c>
      <c r="G148" s="1" t="str">
        <f>HYPERLINK("https://new.land.naver.com/complexes/1476", "클릭")</f>
        <v>클릭</v>
      </c>
      <c r="H148">
        <v>1992</v>
      </c>
      <c r="I148">
        <v>8</v>
      </c>
      <c r="J148">
        <v>654</v>
      </c>
      <c r="K148">
        <v>59</v>
      </c>
      <c r="L148" t="s">
        <v>136</v>
      </c>
      <c r="M148" t="s">
        <v>138</v>
      </c>
      <c r="N148" t="s">
        <v>271</v>
      </c>
      <c r="O148">
        <v>46000</v>
      </c>
      <c r="P148" t="s">
        <v>271</v>
      </c>
      <c r="Q148">
        <v>27000</v>
      </c>
      <c r="R148">
        <v>19000</v>
      </c>
      <c r="S148" s="2">
        <v>0.58695652173913049</v>
      </c>
      <c r="T148">
        <v>62250</v>
      </c>
      <c r="U148" s="2">
        <v>-0.26104417670682728</v>
      </c>
      <c r="V148">
        <v>27100</v>
      </c>
      <c r="W148" s="2">
        <v>1.697416974169742</v>
      </c>
      <c r="AA148" t="s">
        <v>198</v>
      </c>
    </row>
    <row r="149" spans="1:27" x14ac:dyDescent="0.3">
      <c r="A149" s="3">
        <v>147</v>
      </c>
      <c r="B149">
        <v>1460</v>
      </c>
      <c r="C149" t="s">
        <v>26</v>
      </c>
      <c r="D149" t="s">
        <v>27</v>
      </c>
      <c r="E149" t="s">
        <v>29</v>
      </c>
      <c r="F149" t="s">
        <v>425</v>
      </c>
      <c r="G149" s="1" t="str">
        <f>HYPERLINK("https://new.land.naver.com/complexes/1460", "클릭")</f>
        <v>클릭</v>
      </c>
      <c r="H149">
        <v>1993</v>
      </c>
      <c r="I149">
        <v>6</v>
      </c>
      <c r="J149">
        <v>766</v>
      </c>
      <c r="K149">
        <v>49</v>
      </c>
      <c r="L149" t="s">
        <v>136</v>
      </c>
      <c r="M149" t="s">
        <v>138</v>
      </c>
      <c r="N149" t="s">
        <v>466</v>
      </c>
      <c r="O149">
        <v>45000</v>
      </c>
      <c r="P149" t="s">
        <v>466</v>
      </c>
      <c r="Q149">
        <v>22000</v>
      </c>
      <c r="R149">
        <v>23000</v>
      </c>
      <c r="S149" s="2">
        <v>0.48888888888888887</v>
      </c>
      <c r="V149">
        <v>30300</v>
      </c>
      <c r="W149" s="2">
        <v>1.4851485148514849</v>
      </c>
      <c r="AA149" t="s">
        <v>198</v>
      </c>
    </row>
    <row r="150" spans="1:27" x14ac:dyDescent="0.3">
      <c r="A150" s="3">
        <v>148</v>
      </c>
      <c r="B150">
        <v>3022</v>
      </c>
      <c r="C150" t="s">
        <v>26</v>
      </c>
      <c r="D150" t="s">
        <v>27</v>
      </c>
      <c r="E150" t="s">
        <v>28</v>
      </c>
      <c r="F150" t="s">
        <v>419</v>
      </c>
      <c r="G150" s="1" t="str">
        <f>HYPERLINK("https://new.land.naver.com/complexes/3022", "클릭")</f>
        <v>클릭</v>
      </c>
      <c r="H150">
        <v>1992</v>
      </c>
      <c r="I150">
        <v>7</v>
      </c>
      <c r="J150">
        <v>902</v>
      </c>
      <c r="K150">
        <v>41</v>
      </c>
      <c r="L150" t="s">
        <v>136</v>
      </c>
      <c r="M150" t="s">
        <v>236</v>
      </c>
      <c r="N150" t="s">
        <v>474</v>
      </c>
      <c r="O150">
        <v>45000</v>
      </c>
      <c r="P150" t="s">
        <v>474</v>
      </c>
      <c r="Q150">
        <v>22000</v>
      </c>
      <c r="R150">
        <v>23000</v>
      </c>
      <c r="S150" s="2">
        <v>0.48888888888888887</v>
      </c>
      <c r="V150">
        <v>29900</v>
      </c>
      <c r="W150" s="2">
        <v>1.5050167224080271</v>
      </c>
      <c r="AA150" t="s">
        <v>198</v>
      </c>
    </row>
    <row r="151" spans="1:27" x14ac:dyDescent="0.3">
      <c r="A151" s="3">
        <v>149</v>
      </c>
      <c r="B151">
        <v>11703</v>
      </c>
      <c r="C151" t="s">
        <v>26</v>
      </c>
      <c r="D151" t="s">
        <v>27</v>
      </c>
      <c r="E151" t="s">
        <v>29</v>
      </c>
      <c r="F151" t="s">
        <v>549</v>
      </c>
      <c r="G151" s="1" t="str">
        <f>HYPERLINK("https://new.land.naver.com/complexes/11703", "클릭")</f>
        <v>클릭</v>
      </c>
      <c r="H151">
        <v>1992</v>
      </c>
      <c r="I151">
        <v>12</v>
      </c>
      <c r="J151">
        <v>18</v>
      </c>
      <c r="K151">
        <v>131</v>
      </c>
      <c r="L151" t="s">
        <v>136</v>
      </c>
      <c r="M151" t="s">
        <v>139</v>
      </c>
      <c r="N151" t="s">
        <v>635</v>
      </c>
      <c r="O151">
        <v>45000</v>
      </c>
      <c r="P151" t="s">
        <v>635</v>
      </c>
      <c r="Q151">
        <v>35000</v>
      </c>
      <c r="R151">
        <v>10000</v>
      </c>
      <c r="S151" s="2">
        <v>0.77777777777777779</v>
      </c>
      <c r="AA151" t="s">
        <v>202</v>
      </c>
    </row>
    <row r="152" spans="1:27" x14ac:dyDescent="0.3">
      <c r="A152" s="3">
        <v>150</v>
      </c>
      <c r="B152">
        <v>9061</v>
      </c>
      <c r="C152" t="s">
        <v>26</v>
      </c>
      <c r="D152" t="s">
        <v>27</v>
      </c>
      <c r="E152" t="s">
        <v>28</v>
      </c>
      <c r="F152" t="s">
        <v>119</v>
      </c>
      <c r="G152" s="1" t="str">
        <f>HYPERLINK("https://new.land.naver.com/complexes/9061", "클릭")</f>
        <v>클릭</v>
      </c>
      <c r="H152">
        <v>1999</v>
      </c>
      <c r="I152">
        <v>1</v>
      </c>
      <c r="J152">
        <v>113</v>
      </c>
      <c r="K152">
        <v>84</v>
      </c>
      <c r="L152" t="s">
        <v>135</v>
      </c>
      <c r="M152" t="s">
        <v>137</v>
      </c>
      <c r="N152" t="s">
        <v>186</v>
      </c>
      <c r="O152">
        <v>45000</v>
      </c>
      <c r="P152" t="s">
        <v>186</v>
      </c>
      <c r="Q152">
        <v>32000</v>
      </c>
      <c r="R152">
        <v>13000</v>
      </c>
      <c r="S152" s="2">
        <v>0.71111111111111114</v>
      </c>
      <c r="T152">
        <v>42500</v>
      </c>
      <c r="U152" s="2">
        <v>5.8823529411764712E-2</v>
      </c>
      <c r="AA152" t="s">
        <v>198</v>
      </c>
    </row>
    <row r="153" spans="1:27" x14ac:dyDescent="0.3">
      <c r="A153" s="3">
        <v>151</v>
      </c>
      <c r="B153">
        <v>9061</v>
      </c>
      <c r="C153" t="s">
        <v>26</v>
      </c>
      <c r="D153" t="s">
        <v>27</v>
      </c>
      <c r="E153" t="s">
        <v>28</v>
      </c>
      <c r="F153" t="s">
        <v>119</v>
      </c>
      <c r="G153" s="1" t="str">
        <f>HYPERLINK("https://new.land.naver.com/complexes/9061", "클릭")</f>
        <v>클릭</v>
      </c>
      <c r="H153">
        <v>1999</v>
      </c>
      <c r="I153">
        <v>1</v>
      </c>
      <c r="J153">
        <v>113</v>
      </c>
      <c r="K153">
        <v>81</v>
      </c>
      <c r="L153" t="s">
        <v>135</v>
      </c>
      <c r="M153" t="s">
        <v>137</v>
      </c>
      <c r="N153" t="s">
        <v>161</v>
      </c>
      <c r="O153">
        <v>45000</v>
      </c>
      <c r="AA153" t="s">
        <v>205</v>
      </c>
    </row>
    <row r="154" spans="1:27" x14ac:dyDescent="0.3">
      <c r="A154" s="3">
        <v>152</v>
      </c>
      <c r="B154">
        <v>2034</v>
      </c>
      <c r="C154" t="s">
        <v>26</v>
      </c>
      <c r="D154" t="s">
        <v>27</v>
      </c>
      <c r="E154" t="s">
        <v>28</v>
      </c>
      <c r="F154" t="s">
        <v>114</v>
      </c>
      <c r="G154" s="1" t="str">
        <f>HYPERLINK("https://new.land.naver.com/complexes/2034", "클릭")</f>
        <v>클릭</v>
      </c>
      <c r="H154">
        <v>1999</v>
      </c>
      <c r="I154">
        <v>8</v>
      </c>
      <c r="J154">
        <v>195</v>
      </c>
      <c r="K154">
        <v>71</v>
      </c>
      <c r="L154" t="s">
        <v>136</v>
      </c>
      <c r="M154" t="s">
        <v>137</v>
      </c>
      <c r="N154" t="s">
        <v>361</v>
      </c>
      <c r="O154">
        <v>45000</v>
      </c>
      <c r="P154" t="s">
        <v>361</v>
      </c>
      <c r="Q154">
        <v>28000</v>
      </c>
      <c r="R154">
        <v>17000</v>
      </c>
      <c r="S154" s="2">
        <v>0.62222222222222223</v>
      </c>
      <c r="V154">
        <v>27000</v>
      </c>
      <c r="W154" s="2">
        <v>1.666666666666667</v>
      </c>
      <c r="AA154" t="s">
        <v>387</v>
      </c>
    </row>
    <row r="155" spans="1:27" x14ac:dyDescent="0.3">
      <c r="A155" s="3">
        <v>153</v>
      </c>
      <c r="B155">
        <v>2043</v>
      </c>
      <c r="C155" t="s">
        <v>26</v>
      </c>
      <c r="D155" t="s">
        <v>27</v>
      </c>
      <c r="E155" t="s">
        <v>28</v>
      </c>
      <c r="F155" t="s">
        <v>120</v>
      </c>
      <c r="G155" s="1" t="str">
        <f>HYPERLINK("https://new.land.naver.com/complexes/2043", "클릭")</f>
        <v>클릭</v>
      </c>
      <c r="H155">
        <v>1999</v>
      </c>
      <c r="I155">
        <v>12</v>
      </c>
      <c r="J155">
        <v>116</v>
      </c>
      <c r="K155">
        <v>84</v>
      </c>
      <c r="L155" t="s">
        <v>136</v>
      </c>
      <c r="M155" t="s">
        <v>137</v>
      </c>
      <c r="N155" t="s">
        <v>146</v>
      </c>
      <c r="O155">
        <v>45000</v>
      </c>
      <c r="P155" t="s">
        <v>146</v>
      </c>
      <c r="Q155">
        <v>27000</v>
      </c>
      <c r="R155">
        <v>18000</v>
      </c>
      <c r="S155" s="2">
        <v>0.6</v>
      </c>
      <c r="T155">
        <v>50000</v>
      </c>
      <c r="U155" s="2">
        <v>-0.1</v>
      </c>
      <c r="V155">
        <v>27100</v>
      </c>
      <c r="W155" s="2">
        <v>1.660516605166052</v>
      </c>
      <c r="AA155" t="s">
        <v>198</v>
      </c>
    </row>
    <row r="156" spans="1:27" x14ac:dyDescent="0.3">
      <c r="A156" s="3">
        <v>154</v>
      </c>
      <c r="B156">
        <v>2043</v>
      </c>
      <c r="C156" t="s">
        <v>26</v>
      </c>
      <c r="D156" t="s">
        <v>27</v>
      </c>
      <c r="E156" t="s">
        <v>28</v>
      </c>
      <c r="F156" t="s">
        <v>120</v>
      </c>
      <c r="G156" s="1" t="str">
        <f>HYPERLINK("https://new.land.naver.com/complexes/2043", "클릭")</f>
        <v>클릭</v>
      </c>
      <c r="H156">
        <v>1999</v>
      </c>
      <c r="I156">
        <v>12</v>
      </c>
      <c r="J156">
        <v>116</v>
      </c>
      <c r="K156">
        <v>79</v>
      </c>
      <c r="L156" t="s">
        <v>136</v>
      </c>
      <c r="M156" t="s">
        <v>137</v>
      </c>
      <c r="N156" t="s">
        <v>160</v>
      </c>
      <c r="O156">
        <v>45000</v>
      </c>
      <c r="V156">
        <v>24900</v>
      </c>
      <c r="W156" s="2">
        <v>1.8072289156626511</v>
      </c>
      <c r="AA156" t="s">
        <v>198</v>
      </c>
    </row>
    <row r="157" spans="1:27" x14ac:dyDescent="0.3">
      <c r="A157" s="3">
        <v>155</v>
      </c>
      <c r="B157">
        <v>2046</v>
      </c>
      <c r="C157" t="s">
        <v>26</v>
      </c>
      <c r="D157" t="s">
        <v>27</v>
      </c>
      <c r="E157" t="s">
        <v>28</v>
      </c>
      <c r="F157" t="s">
        <v>121</v>
      </c>
      <c r="G157" s="1" t="str">
        <f>HYPERLINK("https://new.land.naver.com/complexes/2046", "클릭")</f>
        <v>클릭</v>
      </c>
      <c r="H157">
        <v>1996</v>
      </c>
      <c r="I157">
        <v>10</v>
      </c>
      <c r="J157">
        <v>261</v>
      </c>
      <c r="K157">
        <v>84</v>
      </c>
      <c r="L157" t="s">
        <v>135</v>
      </c>
      <c r="M157" t="s">
        <v>137</v>
      </c>
      <c r="N157" t="s">
        <v>187</v>
      </c>
      <c r="O157">
        <v>45000</v>
      </c>
      <c r="P157" t="s">
        <v>187</v>
      </c>
      <c r="Q157">
        <v>30000</v>
      </c>
      <c r="R157">
        <v>15000</v>
      </c>
      <c r="S157" s="2">
        <v>0.66666666666666663</v>
      </c>
      <c r="T157">
        <v>45000</v>
      </c>
      <c r="U157" s="2">
        <v>0</v>
      </c>
      <c r="V157">
        <v>27300</v>
      </c>
      <c r="W157" s="2">
        <v>1.648351648351648</v>
      </c>
      <c r="AA157" t="s">
        <v>198</v>
      </c>
    </row>
    <row r="158" spans="1:27" x14ac:dyDescent="0.3">
      <c r="A158" s="3">
        <v>156</v>
      </c>
      <c r="B158">
        <v>8185</v>
      </c>
      <c r="C158" t="s">
        <v>26</v>
      </c>
      <c r="D158" t="s">
        <v>27</v>
      </c>
      <c r="E158" t="s">
        <v>30</v>
      </c>
      <c r="F158" t="s">
        <v>97</v>
      </c>
      <c r="G158" s="1" t="str">
        <f>HYPERLINK("https://new.land.naver.com/complexes/8185", "클릭")</f>
        <v>클릭</v>
      </c>
      <c r="H158">
        <v>1999</v>
      </c>
      <c r="I158">
        <v>10</v>
      </c>
      <c r="J158">
        <v>129</v>
      </c>
      <c r="K158">
        <v>64</v>
      </c>
      <c r="L158" t="s">
        <v>136</v>
      </c>
      <c r="M158" t="s">
        <v>138</v>
      </c>
      <c r="N158" t="s">
        <v>358</v>
      </c>
      <c r="O158">
        <v>45000</v>
      </c>
      <c r="P158" t="s">
        <v>358</v>
      </c>
      <c r="Q158">
        <v>35000</v>
      </c>
      <c r="R158">
        <v>10000</v>
      </c>
      <c r="S158" s="2">
        <v>0.77777777777777779</v>
      </c>
      <c r="V158">
        <v>27800</v>
      </c>
      <c r="W158" s="2">
        <v>1.6187050359712229</v>
      </c>
      <c r="AA158" t="s">
        <v>198</v>
      </c>
    </row>
    <row r="159" spans="1:27" x14ac:dyDescent="0.3">
      <c r="A159" s="3">
        <v>157</v>
      </c>
      <c r="B159">
        <v>8799</v>
      </c>
      <c r="C159" t="s">
        <v>26</v>
      </c>
      <c r="D159" t="s">
        <v>27</v>
      </c>
      <c r="E159" t="s">
        <v>28</v>
      </c>
      <c r="F159" t="s">
        <v>122</v>
      </c>
      <c r="G159" s="1" t="str">
        <f>HYPERLINK("https://new.land.naver.com/complexes/8799", "클릭")</f>
        <v>클릭</v>
      </c>
      <c r="H159">
        <v>1998</v>
      </c>
      <c r="I159">
        <v>12</v>
      </c>
      <c r="J159">
        <v>130</v>
      </c>
      <c r="K159">
        <v>84</v>
      </c>
      <c r="L159" t="s">
        <v>135</v>
      </c>
      <c r="M159" t="s">
        <v>137</v>
      </c>
      <c r="N159" t="s">
        <v>147</v>
      </c>
      <c r="O159">
        <v>45000</v>
      </c>
      <c r="P159" t="s">
        <v>147</v>
      </c>
      <c r="Q159">
        <v>35000</v>
      </c>
      <c r="R159">
        <v>10000</v>
      </c>
      <c r="S159" s="2">
        <v>0.77777777777777779</v>
      </c>
      <c r="T159">
        <v>45800</v>
      </c>
      <c r="U159" s="2">
        <v>-1.7467248908296939E-2</v>
      </c>
      <c r="V159">
        <v>28700</v>
      </c>
      <c r="W159" s="2">
        <v>1.5679442508710799</v>
      </c>
      <c r="AA159" t="s">
        <v>198</v>
      </c>
    </row>
    <row r="160" spans="1:27" x14ac:dyDescent="0.3">
      <c r="A160" s="3">
        <v>158</v>
      </c>
      <c r="B160">
        <v>3032</v>
      </c>
      <c r="C160" t="s">
        <v>26</v>
      </c>
      <c r="D160" t="s">
        <v>27</v>
      </c>
      <c r="E160" t="s">
        <v>28</v>
      </c>
      <c r="F160" t="s">
        <v>124</v>
      </c>
      <c r="G160" s="1" t="str">
        <f>HYPERLINK("https://new.land.naver.com/complexes/3032", "클릭")</f>
        <v>클릭</v>
      </c>
      <c r="H160">
        <v>1999</v>
      </c>
      <c r="I160">
        <v>12</v>
      </c>
      <c r="J160">
        <v>212</v>
      </c>
      <c r="K160">
        <v>84</v>
      </c>
      <c r="L160" t="s">
        <v>135</v>
      </c>
      <c r="M160" t="s">
        <v>137</v>
      </c>
      <c r="N160" t="s">
        <v>143</v>
      </c>
      <c r="O160">
        <v>43000</v>
      </c>
      <c r="P160" t="s">
        <v>143</v>
      </c>
      <c r="Q160">
        <v>31000</v>
      </c>
      <c r="R160">
        <v>12000</v>
      </c>
      <c r="S160" s="2">
        <v>0.72093023255813948</v>
      </c>
      <c r="T160">
        <v>56000</v>
      </c>
      <c r="U160" s="2">
        <v>-0.23214285714285721</v>
      </c>
      <c r="V160">
        <v>29500</v>
      </c>
      <c r="W160" s="2">
        <v>1.4576271186440679</v>
      </c>
      <c r="AA160" t="s">
        <v>198</v>
      </c>
    </row>
    <row r="161" spans="1:27" x14ac:dyDescent="0.3">
      <c r="A161" s="3">
        <v>159</v>
      </c>
      <c r="B161">
        <v>1992</v>
      </c>
      <c r="C161" t="s">
        <v>26</v>
      </c>
      <c r="D161" t="s">
        <v>27</v>
      </c>
      <c r="E161" t="s">
        <v>31</v>
      </c>
      <c r="F161" t="s">
        <v>220</v>
      </c>
      <c r="G161" s="1" t="str">
        <f>HYPERLINK("https://new.land.naver.com/complexes/1992", "클릭")</f>
        <v>클릭</v>
      </c>
      <c r="H161">
        <v>1993</v>
      </c>
      <c r="I161">
        <v>11</v>
      </c>
      <c r="J161">
        <v>3227</v>
      </c>
      <c r="K161">
        <v>42</v>
      </c>
      <c r="L161" t="s">
        <v>136</v>
      </c>
      <c r="M161" t="s">
        <v>235</v>
      </c>
      <c r="N161" t="s">
        <v>479</v>
      </c>
      <c r="O161">
        <v>43000</v>
      </c>
      <c r="P161" t="s">
        <v>479</v>
      </c>
      <c r="Q161">
        <v>20000</v>
      </c>
      <c r="R161">
        <v>23000</v>
      </c>
      <c r="S161" s="2">
        <v>0.46511627906976738</v>
      </c>
      <c r="V161">
        <v>27000</v>
      </c>
      <c r="W161" s="2">
        <v>1.592592592592593</v>
      </c>
      <c r="AA161" t="s">
        <v>198</v>
      </c>
    </row>
    <row r="162" spans="1:27" x14ac:dyDescent="0.3">
      <c r="A162" s="3">
        <v>160</v>
      </c>
      <c r="B162">
        <v>1985</v>
      </c>
      <c r="C162" t="s">
        <v>26</v>
      </c>
      <c r="D162" t="s">
        <v>27</v>
      </c>
      <c r="E162" t="s">
        <v>31</v>
      </c>
      <c r="F162" t="s">
        <v>430</v>
      </c>
      <c r="G162" s="1" t="str">
        <f>HYPERLINK("https://new.land.naver.com/complexes/1985", "클릭")</f>
        <v>클릭</v>
      </c>
      <c r="H162">
        <v>1993</v>
      </c>
      <c r="I162">
        <v>7</v>
      </c>
      <c r="J162">
        <v>790</v>
      </c>
      <c r="K162">
        <v>49</v>
      </c>
      <c r="L162" t="s">
        <v>136</v>
      </c>
      <c r="M162" t="s">
        <v>235</v>
      </c>
      <c r="N162" t="s">
        <v>385</v>
      </c>
      <c r="O162">
        <v>43000</v>
      </c>
      <c r="P162" t="s">
        <v>385</v>
      </c>
      <c r="Q162">
        <v>25000</v>
      </c>
      <c r="R162">
        <v>18000</v>
      </c>
      <c r="S162" s="2">
        <v>0.58139534883720934</v>
      </c>
      <c r="V162">
        <v>28800</v>
      </c>
      <c r="W162" s="2">
        <v>1.493055555555556</v>
      </c>
      <c r="AA162" t="s">
        <v>198</v>
      </c>
    </row>
    <row r="163" spans="1:27" x14ac:dyDescent="0.3">
      <c r="A163" s="3">
        <v>161</v>
      </c>
      <c r="B163">
        <v>2047</v>
      </c>
      <c r="C163" t="s">
        <v>26</v>
      </c>
      <c r="D163" t="s">
        <v>27</v>
      </c>
      <c r="E163" t="s">
        <v>28</v>
      </c>
      <c r="F163" t="s">
        <v>127</v>
      </c>
      <c r="G163" s="1" t="str">
        <f>HYPERLINK("https://new.land.naver.com/complexes/2047", "클릭")</f>
        <v>클릭</v>
      </c>
      <c r="H163">
        <v>1994</v>
      </c>
      <c r="I163">
        <v>11</v>
      </c>
      <c r="J163">
        <v>148</v>
      </c>
      <c r="K163">
        <v>84</v>
      </c>
      <c r="L163" t="s">
        <v>136</v>
      </c>
      <c r="M163" t="s">
        <v>137</v>
      </c>
      <c r="N163" t="s">
        <v>187</v>
      </c>
      <c r="O163">
        <v>42000</v>
      </c>
      <c r="P163" t="s">
        <v>187</v>
      </c>
      <c r="Q163">
        <v>28000</v>
      </c>
      <c r="R163">
        <v>14000</v>
      </c>
      <c r="S163" s="2">
        <v>0.66666666666666663</v>
      </c>
      <c r="T163">
        <v>39000</v>
      </c>
      <c r="U163" s="2">
        <v>7.6923076923076927E-2</v>
      </c>
      <c r="V163">
        <v>25100</v>
      </c>
      <c r="W163" s="2">
        <v>1.673306772908367</v>
      </c>
      <c r="AA163" t="s">
        <v>198</v>
      </c>
    </row>
    <row r="164" spans="1:27" x14ac:dyDescent="0.3">
      <c r="A164" s="3">
        <v>162</v>
      </c>
      <c r="B164">
        <v>2047</v>
      </c>
      <c r="C164" t="s">
        <v>26</v>
      </c>
      <c r="D164" t="s">
        <v>27</v>
      </c>
      <c r="E164" t="s">
        <v>28</v>
      </c>
      <c r="F164" t="s">
        <v>127</v>
      </c>
      <c r="G164" s="1" t="str">
        <f>HYPERLINK("https://new.land.naver.com/complexes/2047", "클릭")</f>
        <v>클릭</v>
      </c>
      <c r="H164">
        <v>1994</v>
      </c>
      <c r="I164">
        <v>11</v>
      </c>
      <c r="J164">
        <v>148</v>
      </c>
      <c r="K164">
        <v>80</v>
      </c>
      <c r="L164" t="s">
        <v>136</v>
      </c>
      <c r="M164" t="s">
        <v>137</v>
      </c>
      <c r="N164" t="s">
        <v>144</v>
      </c>
      <c r="O164">
        <v>41000</v>
      </c>
      <c r="P164" t="s">
        <v>144</v>
      </c>
      <c r="Q164">
        <v>30000</v>
      </c>
      <c r="R164">
        <v>11000</v>
      </c>
      <c r="S164" s="2">
        <v>0.73170731707317072</v>
      </c>
      <c r="V164">
        <v>22200</v>
      </c>
      <c r="W164" s="2">
        <v>1.8468468468468471</v>
      </c>
      <c r="AA164" t="s">
        <v>198</v>
      </c>
    </row>
    <row r="165" spans="1:27" x14ac:dyDescent="0.3">
      <c r="A165" s="3">
        <v>163</v>
      </c>
      <c r="B165">
        <v>8185</v>
      </c>
      <c r="C165" t="s">
        <v>26</v>
      </c>
      <c r="D165" t="s">
        <v>27</v>
      </c>
      <c r="E165" t="s">
        <v>30</v>
      </c>
      <c r="F165" t="s">
        <v>97</v>
      </c>
      <c r="G165" s="1" t="str">
        <f>HYPERLINK("https://new.land.naver.com/complexes/8185", "클릭")</f>
        <v>클릭</v>
      </c>
      <c r="H165">
        <v>1999</v>
      </c>
      <c r="I165">
        <v>10</v>
      </c>
      <c r="J165">
        <v>129</v>
      </c>
      <c r="K165">
        <v>59</v>
      </c>
      <c r="L165" t="s">
        <v>136</v>
      </c>
      <c r="M165" t="s">
        <v>138</v>
      </c>
      <c r="N165" t="s">
        <v>267</v>
      </c>
      <c r="O165">
        <v>41000</v>
      </c>
      <c r="P165" t="s">
        <v>267</v>
      </c>
      <c r="Q165">
        <v>27000</v>
      </c>
      <c r="R165">
        <v>14000</v>
      </c>
      <c r="S165" s="2">
        <v>0.65853658536585369</v>
      </c>
      <c r="T165">
        <v>46500</v>
      </c>
      <c r="U165" s="2">
        <v>-0.1182795698924731</v>
      </c>
      <c r="V165">
        <v>26700</v>
      </c>
      <c r="W165" s="2">
        <v>1.535580524344569</v>
      </c>
      <c r="AA165" t="s">
        <v>198</v>
      </c>
    </row>
    <row r="166" spans="1:27" x14ac:dyDescent="0.3">
      <c r="A166" s="3">
        <v>164</v>
      </c>
      <c r="B166">
        <v>2595</v>
      </c>
      <c r="C166" t="s">
        <v>26</v>
      </c>
      <c r="D166" t="s">
        <v>27</v>
      </c>
      <c r="E166" t="s">
        <v>30</v>
      </c>
      <c r="F166" t="s">
        <v>297</v>
      </c>
      <c r="G166" s="1" t="str">
        <f>HYPERLINK("https://new.land.naver.com/complexes/2595", "클릭")</f>
        <v>클릭</v>
      </c>
      <c r="H166">
        <v>1992</v>
      </c>
      <c r="I166">
        <v>10</v>
      </c>
      <c r="J166">
        <v>1743</v>
      </c>
      <c r="K166">
        <v>37</v>
      </c>
      <c r="L166" t="s">
        <v>136</v>
      </c>
      <c r="M166" t="s">
        <v>235</v>
      </c>
      <c r="N166" t="s">
        <v>473</v>
      </c>
      <c r="O166">
        <v>40000</v>
      </c>
      <c r="P166" t="s">
        <v>473</v>
      </c>
      <c r="Q166">
        <v>21000</v>
      </c>
      <c r="R166">
        <v>19000</v>
      </c>
      <c r="S166" s="2">
        <v>0.52500000000000002</v>
      </c>
      <c r="V166">
        <v>24900</v>
      </c>
      <c r="W166" s="2">
        <v>1.606425702811245</v>
      </c>
      <c r="AA166" t="s">
        <v>198</v>
      </c>
    </row>
    <row r="167" spans="1:27" x14ac:dyDescent="0.3">
      <c r="A167" s="3">
        <v>165</v>
      </c>
      <c r="B167">
        <v>3001</v>
      </c>
      <c r="C167" t="s">
        <v>26</v>
      </c>
      <c r="D167" t="s">
        <v>27</v>
      </c>
      <c r="E167" t="s">
        <v>29</v>
      </c>
      <c r="F167" t="s">
        <v>62</v>
      </c>
      <c r="G167" s="1" t="str">
        <f>HYPERLINK("https://new.land.naver.com/complexes/3001", "클릭")</f>
        <v>클릭</v>
      </c>
      <c r="H167">
        <v>1995</v>
      </c>
      <c r="I167">
        <v>5</v>
      </c>
      <c r="J167">
        <v>952</v>
      </c>
      <c r="K167">
        <v>41</v>
      </c>
      <c r="L167" t="s">
        <v>136</v>
      </c>
      <c r="M167" t="s">
        <v>235</v>
      </c>
      <c r="N167" t="s">
        <v>472</v>
      </c>
      <c r="O167">
        <v>39700</v>
      </c>
      <c r="P167" t="s">
        <v>472</v>
      </c>
      <c r="Q167">
        <v>19500</v>
      </c>
      <c r="R167">
        <v>20200</v>
      </c>
      <c r="S167" s="2">
        <v>0.49118387909319899</v>
      </c>
      <c r="V167">
        <v>26000</v>
      </c>
      <c r="W167" s="2">
        <v>1.526923076923077</v>
      </c>
      <c r="AA167" t="s">
        <v>198</v>
      </c>
    </row>
    <row r="168" spans="1:27" x14ac:dyDescent="0.3">
      <c r="A168" s="3">
        <v>166</v>
      </c>
      <c r="B168">
        <v>22752</v>
      </c>
      <c r="C168" t="s">
        <v>26</v>
      </c>
      <c r="D168" t="s">
        <v>27</v>
      </c>
      <c r="E168" t="s">
        <v>31</v>
      </c>
      <c r="F168" t="s">
        <v>432</v>
      </c>
      <c r="G168" s="1" t="str">
        <f>HYPERLINK("https://new.land.naver.com/complexes/22752", "클릭")</f>
        <v>클릭</v>
      </c>
      <c r="H168">
        <v>1993</v>
      </c>
      <c r="I168">
        <v>3</v>
      </c>
      <c r="J168">
        <v>1262</v>
      </c>
      <c r="K168">
        <v>41</v>
      </c>
      <c r="L168" t="s">
        <v>136</v>
      </c>
      <c r="M168" t="s">
        <v>236</v>
      </c>
      <c r="N168" t="s">
        <v>486</v>
      </c>
      <c r="O168">
        <v>39500</v>
      </c>
      <c r="P168" t="s">
        <v>486</v>
      </c>
      <c r="Q168">
        <v>18000</v>
      </c>
      <c r="R168">
        <v>21500</v>
      </c>
      <c r="S168" s="2">
        <v>0.45569620253164561</v>
      </c>
      <c r="V168">
        <v>23200</v>
      </c>
      <c r="W168" s="2">
        <v>1.702586206896552</v>
      </c>
      <c r="AA168" t="s">
        <v>198</v>
      </c>
    </row>
    <row r="169" spans="1:27" x14ac:dyDescent="0.3">
      <c r="A169" s="3">
        <v>167</v>
      </c>
      <c r="B169">
        <v>10392</v>
      </c>
      <c r="C169" t="s">
        <v>26</v>
      </c>
      <c r="D169" t="s">
        <v>27</v>
      </c>
      <c r="E169" t="s">
        <v>29</v>
      </c>
      <c r="F169" t="s">
        <v>326</v>
      </c>
      <c r="G169" s="1" t="str">
        <f>HYPERLINK("https://new.land.naver.com/complexes/10392", "클릭")</f>
        <v>클릭</v>
      </c>
      <c r="H169">
        <v>1998</v>
      </c>
      <c r="I169">
        <v>3</v>
      </c>
      <c r="J169">
        <v>40</v>
      </c>
      <c r="K169">
        <v>63</v>
      </c>
      <c r="L169" t="s">
        <v>136</v>
      </c>
      <c r="M169" t="s">
        <v>235</v>
      </c>
      <c r="N169" t="s">
        <v>271</v>
      </c>
      <c r="O169">
        <v>39000</v>
      </c>
      <c r="P169" t="s">
        <v>271</v>
      </c>
      <c r="Q169">
        <v>22000</v>
      </c>
      <c r="R169">
        <v>17000</v>
      </c>
      <c r="S169" s="2">
        <v>0.5641025641025641</v>
      </c>
      <c r="V169">
        <v>20800</v>
      </c>
      <c r="W169" s="2">
        <v>1.875</v>
      </c>
      <c r="AA169" t="s">
        <v>393</v>
      </c>
    </row>
    <row r="170" spans="1:27" x14ac:dyDescent="0.3">
      <c r="A170" s="3">
        <v>168</v>
      </c>
      <c r="B170">
        <v>8711</v>
      </c>
      <c r="C170" t="s">
        <v>26</v>
      </c>
      <c r="D170" t="s">
        <v>27</v>
      </c>
      <c r="E170" t="s">
        <v>30</v>
      </c>
      <c r="F170" t="s">
        <v>113</v>
      </c>
      <c r="G170" s="1" t="str">
        <f>HYPERLINK("https://new.land.naver.com/complexes/8711", "클릭")</f>
        <v>클릭</v>
      </c>
      <c r="H170">
        <v>1999</v>
      </c>
      <c r="I170">
        <v>7</v>
      </c>
      <c r="J170">
        <v>49</v>
      </c>
      <c r="K170">
        <v>59</v>
      </c>
      <c r="L170" t="s">
        <v>135</v>
      </c>
      <c r="M170" t="s">
        <v>235</v>
      </c>
      <c r="N170" t="s">
        <v>247</v>
      </c>
      <c r="O170">
        <v>39000</v>
      </c>
      <c r="P170" t="s">
        <v>247</v>
      </c>
      <c r="Q170">
        <v>29000</v>
      </c>
      <c r="R170">
        <v>10000</v>
      </c>
      <c r="S170" s="2">
        <v>0.74358974358974361</v>
      </c>
      <c r="T170">
        <v>35000</v>
      </c>
      <c r="U170" s="2">
        <v>0.1142857142857143</v>
      </c>
      <c r="V170">
        <v>26700</v>
      </c>
      <c r="W170" s="2">
        <v>1.460674157303371</v>
      </c>
      <c r="AA170" t="s">
        <v>198</v>
      </c>
    </row>
    <row r="171" spans="1:27" x14ac:dyDescent="0.3">
      <c r="A171" s="3">
        <v>169</v>
      </c>
      <c r="B171">
        <v>8799</v>
      </c>
      <c r="C171" t="s">
        <v>26</v>
      </c>
      <c r="D171" t="s">
        <v>27</v>
      </c>
      <c r="E171" t="s">
        <v>28</v>
      </c>
      <c r="F171" t="s">
        <v>122</v>
      </c>
      <c r="G171" s="1" t="str">
        <f>HYPERLINK("https://new.land.naver.com/complexes/8799", "클릭")</f>
        <v>클릭</v>
      </c>
      <c r="H171">
        <v>1998</v>
      </c>
      <c r="I171">
        <v>12</v>
      </c>
      <c r="J171">
        <v>130</v>
      </c>
      <c r="K171">
        <v>59</v>
      </c>
      <c r="L171" t="s">
        <v>136</v>
      </c>
      <c r="M171" t="s">
        <v>138</v>
      </c>
      <c r="N171" t="s">
        <v>269</v>
      </c>
      <c r="O171">
        <v>39000</v>
      </c>
      <c r="P171" t="s">
        <v>269</v>
      </c>
      <c r="Q171">
        <v>28500</v>
      </c>
      <c r="R171">
        <v>10500</v>
      </c>
      <c r="S171" s="2">
        <v>0.73076923076923073</v>
      </c>
      <c r="T171">
        <v>35000</v>
      </c>
      <c r="U171" s="2">
        <v>0.1142857142857143</v>
      </c>
      <c r="V171">
        <v>22900</v>
      </c>
      <c r="W171" s="2">
        <v>1.7030567685589519</v>
      </c>
      <c r="AA171" t="s">
        <v>198</v>
      </c>
    </row>
    <row r="172" spans="1:27" x14ac:dyDescent="0.3">
      <c r="A172" s="3">
        <v>170</v>
      </c>
      <c r="B172">
        <v>9382</v>
      </c>
      <c r="C172" t="s">
        <v>26</v>
      </c>
      <c r="D172" t="s">
        <v>27</v>
      </c>
      <c r="E172" t="s">
        <v>31</v>
      </c>
      <c r="F172" t="s">
        <v>112</v>
      </c>
      <c r="G172" s="1" t="str">
        <f>HYPERLINK("https://new.land.naver.com/complexes/9382", "클릭")</f>
        <v>클릭</v>
      </c>
      <c r="H172">
        <v>1995</v>
      </c>
      <c r="I172">
        <v>12</v>
      </c>
      <c r="J172">
        <v>282</v>
      </c>
      <c r="K172">
        <v>59</v>
      </c>
      <c r="L172" t="s">
        <v>136</v>
      </c>
      <c r="M172" t="s">
        <v>138</v>
      </c>
      <c r="N172" t="s">
        <v>271</v>
      </c>
      <c r="O172">
        <v>38000</v>
      </c>
      <c r="P172" t="s">
        <v>271</v>
      </c>
      <c r="Q172">
        <v>21000</v>
      </c>
      <c r="R172">
        <v>17000</v>
      </c>
      <c r="S172" s="2">
        <v>0.55263157894736847</v>
      </c>
      <c r="T172">
        <v>48000</v>
      </c>
      <c r="U172" s="2">
        <v>-0.20833333333333329</v>
      </c>
      <c r="V172">
        <v>26200</v>
      </c>
      <c r="W172" s="2">
        <v>1.4503816793893129</v>
      </c>
      <c r="AA172" t="s">
        <v>198</v>
      </c>
    </row>
    <row r="173" spans="1:27" x14ac:dyDescent="0.3">
      <c r="A173" s="3">
        <v>171</v>
      </c>
      <c r="B173">
        <v>22752</v>
      </c>
      <c r="C173" t="s">
        <v>26</v>
      </c>
      <c r="D173" t="s">
        <v>27</v>
      </c>
      <c r="E173" t="s">
        <v>31</v>
      </c>
      <c r="F173" t="s">
        <v>432</v>
      </c>
      <c r="G173" s="1" t="str">
        <f>HYPERLINK("https://new.land.naver.com/complexes/22752", "클릭")</f>
        <v>클릭</v>
      </c>
      <c r="H173">
        <v>1993</v>
      </c>
      <c r="I173">
        <v>3</v>
      </c>
      <c r="J173">
        <v>1262</v>
      </c>
      <c r="K173">
        <v>42</v>
      </c>
      <c r="L173" t="s">
        <v>136</v>
      </c>
      <c r="M173" t="s">
        <v>235</v>
      </c>
      <c r="N173" t="s">
        <v>483</v>
      </c>
      <c r="O173">
        <v>38000</v>
      </c>
      <c r="P173" t="s">
        <v>483</v>
      </c>
      <c r="Q173">
        <v>16000</v>
      </c>
      <c r="R173">
        <v>22000</v>
      </c>
      <c r="S173" s="2">
        <v>0.42105263157894729</v>
      </c>
      <c r="V173">
        <v>23200</v>
      </c>
      <c r="W173" s="2">
        <v>1.6379310344827589</v>
      </c>
      <c r="AA173" t="s">
        <v>198</v>
      </c>
    </row>
    <row r="174" spans="1:27" x14ac:dyDescent="0.3">
      <c r="A174" s="3">
        <v>172</v>
      </c>
      <c r="B174">
        <v>2046</v>
      </c>
      <c r="C174" t="s">
        <v>26</v>
      </c>
      <c r="D174" t="s">
        <v>27</v>
      </c>
      <c r="E174" t="s">
        <v>28</v>
      </c>
      <c r="F174" t="s">
        <v>121</v>
      </c>
      <c r="G174" s="1" t="str">
        <f>HYPERLINK("https://new.land.naver.com/complexes/2046", "클릭")</f>
        <v>클릭</v>
      </c>
      <c r="H174">
        <v>1996</v>
      </c>
      <c r="I174">
        <v>10</v>
      </c>
      <c r="J174">
        <v>261</v>
      </c>
      <c r="K174">
        <v>71</v>
      </c>
      <c r="L174" t="s">
        <v>135</v>
      </c>
      <c r="M174" t="s">
        <v>138</v>
      </c>
      <c r="N174" t="s">
        <v>375</v>
      </c>
      <c r="O174">
        <v>38000</v>
      </c>
      <c r="P174" t="s">
        <v>381</v>
      </c>
      <c r="Q174">
        <v>28000</v>
      </c>
      <c r="R174">
        <v>10000</v>
      </c>
      <c r="S174" s="2">
        <v>0.73684210526315785</v>
      </c>
      <c r="V174">
        <v>23000</v>
      </c>
      <c r="W174" s="2">
        <v>1.652173913043478</v>
      </c>
      <c r="AA174" t="s">
        <v>408</v>
      </c>
    </row>
    <row r="175" spans="1:27" x14ac:dyDescent="0.3">
      <c r="A175" s="3">
        <v>173</v>
      </c>
      <c r="B175">
        <v>1464</v>
      </c>
      <c r="C175" t="s">
        <v>26</v>
      </c>
      <c r="D175" t="s">
        <v>27</v>
      </c>
      <c r="E175" t="s">
        <v>29</v>
      </c>
      <c r="F175" t="s">
        <v>222</v>
      </c>
      <c r="G175" s="1" t="str">
        <f>HYPERLINK("https://new.land.naver.com/complexes/1464", "클릭")</f>
        <v>클릭</v>
      </c>
      <c r="H175">
        <v>1992</v>
      </c>
      <c r="I175">
        <v>7</v>
      </c>
      <c r="J175">
        <v>1068</v>
      </c>
      <c r="K175">
        <v>45</v>
      </c>
      <c r="L175" t="s">
        <v>136</v>
      </c>
      <c r="M175" t="s">
        <v>235</v>
      </c>
      <c r="N175" t="s">
        <v>485</v>
      </c>
      <c r="O175">
        <v>38000</v>
      </c>
      <c r="P175" t="s">
        <v>485</v>
      </c>
      <c r="Q175">
        <v>20000</v>
      </c>
      <c r="R175">
        <v>18000</v>
      </c>
      <c r="S175" s="2">
        <v>0.52631578947368418</v>
      </c>
      <c r="AA175" t="s">
        <v>198</v>
      </c>
    </row>
    <row r="176" spans="1:27" x14ac:dyDescent="0.3">
      <c r="A176" s="3">
        <v>174</v>
      </c>
      <c r="B176">
        <v>1454</v>
      </c>
      <c r="C176" t="s">
        <v>26</v>
      </c>
      <c r="D176" t="s">
        <v>27</v>
      </c>
      <c r="E176" t="s">
        <v>31</v>
      </c>
      <c r="F176" t="s">
        <v>57</v>
      </c>
      <c r="G176" s="1" t="str">
        <f>HYPERLINK("https://new.land.naver.com/complexes/1454", "클릭")</f>
        <v>클릭</v>
      </c>
      <c r="H176">
        <v>1993</v>
      </c>
      <c r="I176">
        <v>4</v>
      </c>
      <c r="J176">
        <v>1482</v>
      </c>
      <c r="K176">
        <v>41</v>
      </c>
      <c r="L176" t="s">
        <v>136</v>
      </c>
      <c r="M176" t="s">
        <v>235</v>
      </c>
      <c r="N176" t="s">
        <v>477</v>
      </c>
      <c r="O176">
        <v>37000</v>
      </c>
      <c r="P176" t="s">
        <v>477</v>
      </c>
      <c r="Q176">
        <v>16000</v>
      </c>
      <c r="R176">
        <v>21000</v>
      </c>
      <c r="S176" s="2">
        <v>0.43243243243243251</v>
      </c>
      <c r="V176">
        <v>22600</v>
      </c>
      <c r="W176" s="2">
        <v>1.63716814159292</v>
      </c>
      <c r="AA176" t="s">
        <v>198</v>
      </c>
    </row>
    <row r="177" spans="1:27" x14ac:dyDescent="0.3">
      <c r="A177" s="3">
        <v>175</v>
      </c>
      <c r="B177">
        <v>3032</v>
      </c>
      <c r="C177" t="s">
        <v>26</v>
      </c>
      <c r="D177" t="s">
        <v>27</v>
      </c>
      <c r="E177" t="s">
        <v>28</v>
      </c>
      <c r="F177" t="s">
        <v>124</v>
      </c>
      <c r="G177" s="1" t="str">
        <f>HYPERLINK("https://new.land.naver.com/complexes/3032", "클릭")</f>
        <v>클릭</v>
      </c>
      <c r="H177">
        <v>1999</v>
      </c>
      <c r="I177">
        <v>12</v>
      </c>
      <c r="J177">
        <v>212</v>
      </c>
      <c r="K177">
        <v>59</v>
      </c>
      <c r="L177" t="s">
        <v>135</v>
      </c>
      <c r="M177" t="s">
        <v>138</v>
      </c>
      <c r="N177" t="s">
        <v>247</v>
      </c>
      <c r="O177">
        <v>37000</v>
      </c>
      <c r="P177" t="s">
        <v>247</v>
      </c>
      <c r="Q177">
        <v>29000</v>
      </c>
      <c r="R177">
        <v>8000</v>
      </c>
      <c r="S177" s="2">
        <v>0.78378378378378377</v>
      </c>
      <c r="T177">
        <v>50000</v>
      </c>
      <c r="U177" s="2">
        <v>-0.26</v>
      </c>
      <c r="V177">
        <v>24300</v>
      </c>
      <c r="W177" s="2">
        <v>1.522633744855967</v>
      </c>
      <c r="AA177" t="s">
        <v>198</v>
      </c>
    </row>
    <row r="178" spans="1:27" x14ac:dyDescent="0.3">
      <c r="A178" s="3">
        <v>176</v>
      </c>
      <c r="B178">
        <v>2049</v>
      </c>
      <c r="C178" t="s">
        <v>26</v>
      </c>
      <c r="D178" t="s">
        <v>27</v>
      </c>
      <c r="E178" t="s">
        <v>28</v>
      </c>
      <c r="F178" t="s">
        <v>233</v>
      </c>
      <c r="G178" s="1" t="str">
        <f>HYPERLINK("https://new.land.naver.com/complexes/2049", "클릭")</f>
        <v>클릭</v>
      </c>
      <c r="H178">
        <v>1996</v>
      </c>
      <c r="I178">
        <v>6</v>
      </c>
      <c r="J178">
        <v>47</v>
      </c>
      <c r="K178">
        <v>78</v>
      </c>
      <c r="N178" t="s">
        <v>143</v>
      </c>
      <c r="O178">
        <v>37000</v>
      </c>
      <c r="P178" t="s">
        <v>143</v>
      </c>
      <c r="Q178">
        <v>27000</v>
      </c>
      <c r="R178">
        <v>10000</v>
      </c>
      <c r="S178" s="2">
        <v>0.72972972972972971</v>
      </c>
      <c r="AA178" t="s">
        <v>409</v>
      </c>
    </row>
    <row r="179" spans="1:27" x14ac:dyDescent="0.3">
      <c r="A179" s="3">
        <v>177</v>
      </c>
      <c r="B179">
        <v>2047</v>
      </c>
      <c r="C179" t="s">
        <v>26</v>
      </c>
      <c r="D179" t="s">
        <v>27</v>
      </c>
      <c r="E179" t="s">
        <v>28</v>
      </c>
      <c r="F179" t="s">
        <v>127</v>
      </c>
      <c r="G179" s="1" t="str">
        <f>HYPERLINK("https://new.land.naver.com/complexes/2047", "클릭")</f>
        <v>클릭</v>
      </c>
      <c r="H179">
        <v>1994</v>
      </c>
      <c r="I179">
        <v>11</v>
      </c>
      <c r="J179">
        <v>148</v>
      </c>
      <c r="K179">
        <v>66</v>
      </c>
      <c r="L179" t="s">
        <v>136</v>
      </c>
      <c r="M179" t="s">
        <v>138</v>
      </c>
      <c r="N179" t="s">
        <v>362</v>
      </c>
      <c r="O179">
        <v>37000</v>
      </c>
      <c r="P179" t="s">
        <v>362</v>
      </c>
      <c r="Q179">
        <v>25000</v>
      </c>
      <c r="R179">
        <v>12000</v>
      </c>
      <c r="S179" s="2">
        <v>0.67567567567567566</v>
      </c>
      <c r="V179">
        <v>21200</v>
      </c>
      <c r="W179" s="2">
        <v>1.745283018867924</v>
      </c>
      <c r="AA179" t="s">
        <v>198</v>
      </c>
    </row>
    <row r="180" spans="1:27" x14ac:dyDescent="0.3">
      <c r="A180" s="3">
        <v>178</v>
      </c>
      <c r="B180">
        <v>2034</v>
      </c>
      <c r="C180" t="s">
        <v>26</v>
      </c>
      <c r="D180" t="s">
        <v>27</v>
      </c>
      <c r="E180" t="s">
        <v>28</v>
      </c>
      <c r="F180" t="s">
        <v>114</v>
      </c>
      <c r="G180" s="1" t="str">
        <f>HYPERLINK("https://new.land.naver.com/complexes/2034", "클릭")</f>
        <v>클릭</v>
      </c>
      <c r="H180">
        <v>1999</v>
      </c>
      <c r="I180">
        <v>8</v>
      </c>
      <c r="J180">
        <v>195</v>
      </c>
      <c r="K180">
        <v>59</v>
      </c>
      <c r="L180" t="s">
        <v>136</v>
      </c>
      <c r="M180" t="s">
        <v>138</v>
      </c>
      <c r="N180" t="s">
        <v>247</v>
      </c>
      <c r="O180">
        <v>37000</v>
      </c>
      <c r="P180" t="s">
        <v>247</v>
      </c>
      <c r="Q180">
        <v>27000</v>
      </c>
      <c r="R180">
        <v>10000</v>
      </c>
      <c r="S180" s="2">
        <v>0.72972972972972971</v>
      </c>
      <c r="T180">
        <v>40000</v>
      </c>
      <c r="U180" s="2">
        <v>-7.4999999999999997E-2</v>
      </c>
      <c r="V180">
        <v>23700</v>
      </c>
      <c r="W180" s="2">
        <v>1.5611814345991559</v>
      </c>
      <c r="AA180" t="s">
        <v>198</v>
      </c>
    </row>
    <row r="181" spans="1:27" x14ac:dyDescent="0.3">
      <c r="A181" s="3">
        <v>179</v>
      </c>
      <c r="B181">
        <v>1985</v>
      </c>
      <c r="C181" t="s">
        <v>26</v>
      </c>
      <c r="D181" t="s">
        <v>27</v>
      </c>
      <c r="E181" t="s">
        <v>31</v>
      </c>
      <c r="F181" t="s">
        <v>430</v>
      </c>
      <c r="G181" s="1" t="str">
        <f>HYPERLINK("https://new.land.naver.com/complexes/1985", "클릭")</f>
        <v>클릭</v>
      </c>
      <c r="H181">
        <v>1993</v>
      </c>
      <c r="I181">
        <v>7</v>
      </c>
      <c r="J181">
        <v>790</v>
      </c>
      <c r="K181">
        <v>40</v>
      </c>
      <c r="L181" t="s">
        <v>136</v>
      </c>
      <c r="M181" t="s">
        <v>235</v>
      </c>
      <c r="N181" t="s">
        <v>485</v>
      </c>
      <c r="O181">
        <v>36500</v>
      </c>
      <c r="P181" t="s">
        <v>485</v>
      </c>
      <c r="Q181">
        <v>20000</v>
      </c>
      <c r="R181">
        <v>16500</v>
      </c>
      <c r="S181" s="2">
        <v>0.54794520547945202</v>
      </c>
      <c r="V181">
        <v>23400</v>
      </c>
      <c r="W181" s="2">
        <v>1.5598290598290601</v>
      </c>
      <c r="AA181" t="s">
        <v>198</v>
      </c>
    </row>
    <row r="182" spans="1:27" x14ac:dyDescent="0.3">
      <c r="A182" s="3">
        <v>180</v>
      </c>
      <c r="B182">
        <v>2043</v>
      </c>
      <c r="C182" t="s">
        <v>26</v>
      </c>
      <c r="D182" t="s">
        <v>27</v>
      </c>
      <c r="E182" t="s">
        <v>28</v>
      </c>
      <c r="F182" t="s">
        <v>120</v>
      </c>
      <c r="G182" s="1" t="str">
        <f>HYPERLINK("https://new.land.naver.com/complexes/2043", "클릭")</f>
        <v>클릭</v>
      </c>
      <c r="H182">
        <v>1999</v>
      </c>
      <c r="I182">
        <v>12</v>
      </c>
      <c r="J182">
        <v>116</v>
      </c>
      <c r="K182">
        <v>60</v>
      </c>
      <c r="L182" t="s">
        <v>136</v>
      </c>
      <c r="M182" t="s">
        <v>138</v>
      </c>
      <c r="N182" t="s">
        <v>263</v>
      </c>
      <c r="O182">
        <v>35500</v>
      </c>
      <c r="P182" t="s">
        <v>263</v>
      </c>
      <c r="Q182">
        <v>30000</v>
      </c>
      <c r="R182">
        <v>5500</v>
      </c>
      <c r="S182" s="2">
        <v>0.84507042253521125</v>
      </c>
      <c r="V182">
        <v>22900</v>
      </c>
      <c r="W182" s="2">
        <v>1.5502183406113541</v>
      </c>
      <c r="AA182" t="s">
        <v>198</v>
      </c>
    </row>
    <row r="183" spans="1:27" x14ac:dyDescent="0.3">
      <c r="A183" s="3">
        <v>181</v>
      </c>
      <c r="B183">
        <v>3015</v>
      </c>
      <c r="C183" t="s">
        <v>26</v>
      </c>
      <c r="D183" t="s">
        <v>27</v>
      </c>
      <c r="E183" t="s">
        <v>28</v>
      </c>
      <c r="F183" t="s">
        <v>216</v>
      </c>
      <c r="G183" s="1" t="str">
        <f>HYPERLINK("https://new.land.naver.com/complexes/3015", "클릭")</f>
        <v>클릭</v>
      </c>
      <c r="H183">
        <v>1992</v>
      </c>
      <c r="I183">
        <v>3</v>
      </c>
      <c r="J183">
        <v>994</v>
      </c>
      <c r="K183">
        <v>34</v>
      </c>
      <c r="L183" t="s">
        <v>136</v>
      </c>
      <c r="M183" t="s">
        <v>236</v>
      </c>
      <c r="N183" t="s">
        <v>488</v>
      </c>
      <c r="O183">
        <v>35000</v>
      </c>
      <c r="P183" t="s">
        <v>488</v>
      </c>
      <c r="Q183">
        <v>18000</v>
      </c>
      <c r="R183">
        <v>17000</v>
      </c>
      <c r="S183" s="2">
        <v>0.51428571428571423</v>
      </c>
      <c r="V183">
        <v>24000</v>
      </c>
      <c r="W183" s="2">
        <v>1.458333333333333</v>
      </c>
      <c r="AA183" t="s">
        <v>198</v>
      </c>
    </row>
    <row r="184" spans="1:27" x14ac:dyDescent="0.3">
      <c r="A184" s="3">
        <v>182</v>
      </c>
      <c r="B184">
        <v>1992</v>
      </c>
      <c r="C184" t="s">
        <v>26</v>
      </c>
      <c r="D184" t="s">
        <v>27</v>
      </c>
      <c r="E184" t="s">
        <v>31</v>
      </c>
      <c r="F184" t="s">
        <v>220</v>
      </c>
      <c r="G184" s="1" t="str">
        <f>HYPERLINK("https://new.land.naver.com/complexes/1992", "클릭")</f>
        <v>클릭</v>
      </c>
      <c r="H184">
        <v>1993</v>
      </c>
      <c r="I184">
        <v>11</v>
      </c>
      <c r="J184">
        <v>3227</v>
      </c>
      <c r="K184">
        <v>35</v>
      </c>
      <c r="L184" t="s">
        <v>136</v>
      </c>
      <c r="M184" t="s">
        <v>235</v>
      </c>
      <c r="N184" t="s">
        <v>489</v>
      </c>
      <c r="O184">
        <v>35000</v>
      </c>
      <c r="P184" t="s">
        <v>489</v>
      </c>
      <c r="Q184">
        <v>14000</v>
      </c>
      <c r="R184">
        <v>21000</v>
      </c>
      <c r="S184" s="2">
        <v>0.4</v>
      </c>
      <c r="V184">
        <v>22100</v>
      </c>
      <c r="W184" s="2">
        <v>1.5837104072398189</v>
      </c>
      <c r="AA184" t="s">
        <v>198</v>
      </c>
    </row>
    <row r="185" spans="1:27" x14ac:dyDescent="0.3">
      <c r="A185" s="3">
        <v>183</v>
      </c>
      <c r="B185">
        <v>22752</v>
      </c>
      <c r="C185" t="s">
        <v>26</v>
      </c>
      <c r="D185" t="s">
        <v>27</v>
      </c>
      <c r="E185" t="s">
        <v>31</v>
      </c>
      <c r="F185" t="s">
        <v>432</v>
      </c>
      <c r="G185" s="1" t="str">
        <f>HYPERLINK("https://new.land.naver.com/complexes/22752", "클릭")</f>
        <v>클릭</v>
      </c>
      <c r="H185">
        <v>1993</v>
      </c>
      <c r="I185">
        <v>3</v>
      </c>
      <c r="J185">
        <v>1262</v>
      </c>
      <c r="K185">
        <v>35</v>
      </c>
      <c r="L185" t="s">
        <v>136</v>
      </c>
      <c r="M185" t="s">
        <v>235</v>
      </c>
      <c r="N185" t="s">
        <v>488</v>
      </c>
      <c r="O185">
        <v>35000</v>
      </c>
      <c r="P185" t="s">
        <v>488</v>
      </c>
      <c r="Q185">
        <v>18000</v>
      </c>
      <c r="R185">
        <v>17000</v>
      </c>
      <c r="S185" s="2">
        <v>0.51428571428571423</v>
      </c>
      <c r="V185">
        <v>19700</v>
      </c>
      <c r="W185" s="2">
        <v>1.776649746192893</v>
      </c>
      <c r="AA185" t="s">
        <v>198</v>
      </c>
    </row>
    <row r="186" spans="1:27" x14ac:dyDescent="0.3">
      <c r="A186" s="3">
        <v>184</v>
      </c>
      <c r="B186">
        <v>1464</v>
      </c>
      <c r="C186" t="s">
        <v>26</v>
      </c>
      <c r="D186" t="s">
        <v>27</v>
      </c>
      <c r="E186" t="s">
        <v>29</v>
      </c>
      <c r="F186" t="s">
        <v>222</v>
      </c>
      <c r="G186" s="1" t="str">
        <f>HYPERLINK("https://new.land.naver.com/complexes/1464", "클릭")</f>
        <v>클릭</v>
      </c>
      <c r="H186">
        <v>1992</v>
      </c>
      <c r="I186">
        <v>7</v>
      </c>
      <c r="J186">
        <v>1068</v>
      </c>
      <c r="K186">
        <v>42</v>
      </c>
      <c r="L186" t="s">
        <v>136</v>
      </c>
      <c r="M186" t="s">
        <v>235</v>
      </c>
      <c r="N186" t="s">
        <v>484</v>
      </c>
      <c r="O186">
        <v>35000</v>
      </c>
      <c r="P186" t="s">
        <v>484</v>
      </c>
      <c r="Q186">
        <v>20000</v>
      </c>
      <c r="R186">
        <v>15000</v>
      </c>
      <c r="S186" s="2">
        <v>0.5714285714285714</v>
      </c>
      <c r="AA186" t="s">
        <v>198</v>
      </c>
    </row>
    <row r="187" spans="1:27" x14ac:dyDescent="0.3">
      <c r="A187" s="3">
        <v>185</v>
      </c>
      <c r="B187">
        <v>13324</v>
      </c>
      <c r="C187" t="s">
        <v>26</v>
      </c>
      <c r="D187" t="s">
        <v>27</v>
      </c>
      <c r="E187" t="s">
        <v>28</v>
      </c>
      <c r="F187" t="s">
        <v>331</v>
      </c>
      <c r="G187" s="1" t="str">
        <f>HYPERLINK("https://new.land.naver.com/complexes/13324", "클릭")</f>
        <v>클릭</v>
      </c>
      <c r="H187">
        <v>1995</v>
      </c>
      <c r="I187">
        <v>1</v>
      </c>
      <c r="J187">
        <v>16</v>
      </c>
      <c r="K187">
        <v>105</v>
      </c>
      <c r="L187" t="s">
        <v>136</v>
      </c>
      <c r="M187" t="s">
        <v>139</v>
      </c>
      <c r="N187" t="s">
        <v>637</v>
      </c>
      <c r="O187">
        <v>35000</v>
      </c>
      <c r="V187">
        <v>19600</v>
      </c>
      <c r="W187" s="2">
        <v>1.785714285714286</v>
      </c>
      <c r="AA187" t="s">
        <v>198</v>
      </c>
    </row>
    <row r="188" spans="1:27" x14ac:dyDescent="0.3">
      <c r="A188" s="3">
        <v>186</v>
      </c>
      <c r="B188">
        <v>25290</v>
      </c>
      <c r="C188" t="s">
        <v>26</v>
      </c>
      <c r="D188" t="s">
        <v>27</v>
      </c>
      <c r="E188" t="s">
        <v>29</v>
      </c>
      <c r="F188" t="s">
        <v>437</v>
      </c>
      <c r="G188" s="1" t="str">
        <f>HYPERLINK("https://new.land.naver.com/complexes/25290", "클릭")</f>
        <v>클릭</v>
      </c>
      <c r="H188">
        <v>1990</v>
      </c>
      <c r="I188">
        <v>3</v>
      </c>
      <c r="J188">
        <v>65</v>
      </c>
      <c r="K188">
        <v>53</v>
      </c>
      <c r="L188" t="s">
        <v>135</v>
      </c>
      <c r="M188" t="s">
        <v>138</v>
      </c>
      <c r="N188" t="s">
        <v>463</v>
      </c>
      <c r="O188">
        <v>35000</v>
      </c>
      <c r="P188" t="s">
        <v>463</v>
      </c>
      <c r="Q188">
        <v>17000</v>
      </c>
      <c r="R188">
        <v>18000</v>
      </c>
      <c r="S188" s="2">
        <v>0.48571428571428571</v>
      </c>
      <c r="AA188" t="s">
        <v>399</v>
      </c>
    </row>
    <row r="189" spans="1:27" x14ac:dyDescent="0.3">
      <c r="A189" s="3">
        <v>187</v>
      </c>
      <c r="B189">
        <v>1464</v>
      </c>
      <c r="C189" t="s">
        <v>26</v>
      </c>
      <c r="D189" t="s">
        <v>27</v>
      </c>
      <c r="E189" t="s">
        <v>29</v>
      </c>
      <c r="F189" t="s">
        <v>222</v>
      </c>
      <c r="G189" s="1" t="str">
        <f>HYPERLINK("https://new.land.naver.com/complexes/1464", "클릭")</f>
        <v>클릭</v>
      </c>
      <c r="H189">
        <v>1992</v>
      </c>
      <c r="I189">
        <v>7</v>
      </c>
      <c r="J189">
        <v>1068</v>
      </c>
      <c r="K189">
        <v>38</v>
      </c>
      <c r="L189" t="s">
        <v>136</v>
      </c>
      <c r="M189" t="s">
        <v>235</v>
      </c>
      <c r="N189" t="s">
        <v>490</v>
      </c>
      <c r="O189">
        <v>34000</v>
      </c>
      <c r="P189" t="s">
        <v>514</v>
      </c>
      <c r="Q189">
        <v>18000</v>
      </c>
      <c r="R189">
        <v>16000</v>
      </c>
      <c r="S189" s="2">
        <v>0.52941176470588236</v>
      </c>
      <c r="AA189" t="s">
        <v>198</v>
      </c>
    </row>
    <row r="190" spans="1:27" x14ac:dyDescent="0.3">
      <c r="A190" s="3">
        <v>188</v>
      </c>
      <c r="B190">
        <v>1462</v>
      </c>
      <c r="C190" t="s">
        <v>26</v>
      </c>
      <c r="D190" t="s">
        <v>27</v>
      </c>
      <c r="E190" t="s">
        <v>29</v>
      </c>
      <c r="F190" t="s">
        <v>219</v>
      </c>
      <c r="G190" s="1" t="str">
        <f>HYPERLINK("https://new.land.naver.com/complexes/1462", "클릭")</f>
        <v>클릭</v>
      </c>
      <c r="H190">
        <v>1993</v>
      </c>
      <c r="I190">
        <v>2</v>
      </c>
      <c r="J190">
        <v>750</v>
      </c>
      <c r="K190">
        <v>39</v>
      </c>
      <c r="L190" t="s">
        <v>136</v>
      </c>
      <c r="M190" t="s">
        <v>235</v>
      </c>
      <c r="N190" t="s">
        <v>472</v>
      </c>
      <c r="O190">
        <v>33500</v>
      </c>
      <c r="P190" t="s">
        <v>472</v>
      </c>
      <c r="Q190">
        <v>20000</v>
      </c>
      <c r="R190">
        <v>13500</v>
      </c>
      <c r="S190" s="2">
        <v>0.59701492537313428</v>
      </c>
      <c r="V190">
        <v>22600</v>
      </c>
      <c r="W190" s="2">
        <v>1.482300884955752</v>
      </c>
      <c r="AA190" t="s">
        <v>198</v>
      </c>
    </row>
    <row r="191" spans="1:27" x14ac:dyDescent="0.3">
      <c r="A191" s="3">
        <v>189</v>
      </c>
      <c r="B191">
        <v>9061</v>
      </c>
      <c r="C191" t="s">
        <v>26</v>
      </c>
      <c r="D191" t="s">
        <v>27</v>
      </c>
      <c r="E191" t="s">
        <v>28</v>
      </c>
      <c r="F191" t="s">
        <v>119</v>
      </c>
      <c r="G191" s="1" t="str">
        <f>HYPERLINK("https://new.land.naver.com/complexes/9061", "클릭")</f>
        <v>클릭</v>
      </c>
      <c r="H191">
        <v>1999</v>
      </c>
      <c r="I191">
        <v>1</v>
      </c>
      <c r="J191">
        <v>113</v>
      </c>
      <c r="K191">
        <v>59</v>
      </c>
      <c r="L191" t="s">
        <v>136</v>
      </c>
      <c r="M191" t="s">
        <v>138</v>
      </c>
      <c r="N191" t="s">
        <v>258</v>
      </c>
      <c r="O191">
        <v>33500</v>
      </c>
      <c r="P191" t="s">
        <v>258</v>
      </c>
      <c r="Q191">
        <v>26500</v>
      </c>
      <c r="R191">
        <v>7000</v>
      </c>
      <c r="S191" s="2">
        <v>0.79104477611940294</v>
      </c>
      <c r="T191">
        <v>47000</v>
      </c>
      <c r="U191" s="2">
        <v>-0.28723404255319152</v>
      </c>
      <c r="AA191" t="s">
        <v>198</v>
      </c>
    </row>
    <row r="192" spans="1:27" x14ac:dyDescent="0.3">
      <c r="A192" s="3">
        <v>190</v>
      </c>
      <c r="B192">
        <v>1463</v>
      </c>
      <c r="C192" t="s">
        <v>26</v>
      </c>
      <c r="D192" t="s">
        <v>27</v>
      </c>
      <c r="E192" t="s">
        <v>29</v>
      </c>
      <c r="F192" t="s">
        <v>304</v>
      </c>
      <c r="G192" s="1" t="str">
        <f>HYPERLINK("https://new.land.naver.com/complexes/1463", "클릭")</f>
        <v>클릭</v>
      </c>
      <c r="H192">
        <v>1993</v>
      </c>
      <c r="I192">
        <v>3</v>
      </c>
      <c r="J192">
        <v>1710</v>
      </c>
      <c r="K192">
        <v>37</v>
      </c>
      <c r="L192" t="s">
        <v>136</v>
      </c>
      <c r="M192" t="s">
        <v>235</v>
      </c>
      <c r="N192" t="s">
        <v>473</v>
      </c>
      <c r="O192">
        <v>33000</v>
      </c>
      <c r="P192" t="s">
        <v>473</v>
      </c>
      <c r="Q192">
        <v>19000</v>
      </c>
      <c r="R192">
        <v>14000</v>
      </c>
      <c r="S192" s="2">
        <v>0.5757575757575758</v>
      </c>
      <c r="V192">
        <v>23200</v>
      </c>
      <c r="W192" s="2">
        <v>1.422413793103448</v>
      </c>
      <c r="AA192" t="s">
        <v>198</v>
      </c>
    </row>
    <row r="193" spans="1:27" x14ac:dyDescent="0.3">
      <c r="A193" s="3">
        <v>191</v>
      </c>
      <c r="B193">
        <v>2049</v>
      </c>
      <c r="C193" t="s">
        <v>26</v>
      </c>
      <c r="D193" t="s">
        <v>27</v>
      </c>
      <c r="E193" t="s">
        <v>28</v>
      </c>
      <c r="F193" t="s">
        <v>233</v>
      </c>
      <c r="G193" s="1" t="str">
        <f>HYPERLINK("https://new.land.naver.com/complexes/2049", "클릭")</f>
        <v>클릭</v>
      </c>
      <c r="H193">
        <v>1996</v>
      </c>
      <c r="I193">
        <v>6</v>
      </c>
      <c r="J193">
        <v>47</v>
      </c>
      <c r="K193">
        <v>59</v>
      </c>
      <c r="L193" t="s">
        <v>136</v>
      </c>
      <c r="M193" t="s">
        <v>138</v>
      </c>
      <c r="N193" t="s">
        <v>270</v>
      </c>
      <c r="O193">
        <v>33000</v>
      </c>
      <c r="P193" t="s">
        <v>270</v>
      </c>
      <c r="Q193">
        <v>25500</v>
      </c>
      <c r="R193">
        <v>7500</v>
      </c>
      <c r="S193" s="2">
        <v>0.77272727272727271</v>
      </c>
      <c r="T193">
        <v>40300</v>
      </c>
      <c r="U193" s="2">
        <v>-0.1811414392059553</v>
      </c>
      <c r="AA193" t="s">
        <v>198</v>
      </c>
    </row>
    <row r="194" spans="1:27" x14ac:dyDescent="0.3">
      <c r="A194" s="3">
        <v>192</v>
      </c>
      <c r="B194">
        <v>2047</v>
      </c>
      <c r="C194" t="s">
        <v>26</v>
      </c>
      <c r="D194" t="s">
        <v>27</v>
      </c>
      <c r="E194" t="s">
        <v>28</v>
      </c>
      <c r="F194" t="s">
        <v>127</v>
      </c>
      <c r="G194" s="1" t="str">
        <f>HYPERLINK("https://new.land.naver.com/complexes/2047", "클릭")</f>
        <v>클릭</v>
      </c>
      <c r="H194">
        <v>1994</v>
      </c>
      <c r="I194">
        <v>11</v>
      </c>
      <c r="J194">
        <v>148</v>
      </c>
      <c r="K194">
        <v>59</v>
      </c>
      <c r="L194" t="s">
        <v>136</v>
      </c>
      <c r="M194" t="s">
        <v>138</v>
      </c>
      <c r="N194" t="s">
        <v>263</v>
      </c>
      <c r="O194">
        <v>33000</v>
      </c>
      <c r="P194" t="s">
        <v>263</v>
      </c>
      <c r="Q194">
        <v>22000</v>
      </c>
      <c r="R194">
        <v>11000</v>
      </c>
      <c r="S194" s="2">
        <v>0.66666666666666663</v>
      </c>
      <c r="T194">
        <v>32000</v>
      </c>
      <c r="U194" s="2">
        <v>3.125E-2</v>
      </c>
      <c r="V194">
        <v>19500</v>
      </c>
      <c r="W194" s="2">
        <v>1.6923076923076921</v>
      </c>
      <c r="AA194" t="s">
        <v>198</v>
      </c>
    </row>
    <row r="195" spans="1:27" x14ac:dyDescent="0.3">
      <c r="A195" s="3">
        <v>193</v>
      </c>
      <c r="B195">
        <v>1985</v>
      </c>
      <c r="C195" t="s">
        <v>26</v>
      </c>
      <c r="D195" t="s">
        <v>27</v>
      </c>
      <c r="E195" t="s">
        <v>31</v>
      </c>
      <c r="F195" t="s">
        <v>430</v>
      </c>
      <c r="G195" s="1" t="str">
        <f>HYPERLINK("https://new.land.naver.com/complexes/1985", "클릭")</f>
        <v>클릭</v>
      </c>
      <c r="H195">
        <v>1993</v>
      </c>
      <c r="I195">
        <v>7</v>
      </c>
      <c r="J195">
        <v>790</v>
      </c>
      <c r="K195">
        <v>33</v>
      </c>
      <c r="L195" t="s">
        <v>136</v>
      </c>
      <c r="M195" t="s">
        <v>236</v>
      </c>
      <c r="N195" t="s">
        <v>492</v>
      </c>
      <c r="O195">
        <v>33000</v>
      </c>
      <c r="P195" t="s">
        <v>492</v>
      </c>
      <c r="Q195">
        <v>17000</v>
      </c>
      <c r="R195">
        <v>16000</v>
      </c>
      <c r="S195" s="2">
        <v>0.51515151515151514</v>
      </c>
      <c r="V195">
        <v>19000</v>
      </c>
      <c r="W195" s="2">
        <v>1.736842105263158</v>
      </c>
      <c r="AA195" t="s">
        <v>198</v>
      </c>
    </row>
    <row r="196" spans="1:27" x14ac:dyDescent="0.3">
      <c r="A196" s="3">
        <v>194</v>
      </c>
      <c r="B196">
        <v>1975</v>
      </c>
      <c r="C196" t="s">
        <v>26</v>
      </c>
      <c r="D196" t="s">
        <v>27</v>
      </c>
      <c r="E196" t="s">
        <v>29</v>
      </c>
      <c r="F196" t="s">
        <v>110</v>
      </c>
      <c r="G196" s="1" t="str">
        <f>HYPERLINK("https://new.land.naver.com/complexes/1975", "클릭")</f>
        <v>클릭</v>
      </c>
      <c r="H196">
        <v>1996</v>
      </c>
      <c r="I196">
        <v>2</v>
      </c>
      <c r="J196">
        <v>46</v>
      </c>
      <c r="K196">
        <v>57</v>
      </c>
      <c r="L196" t="s">
        <v>135</v>
      </c>
      <c r="M196" t="s">
        <v>138</v>
      </c>
      <c r="N196" t="s">
        <v>279</v>
      </c>
      <c r="O196">
        <v>32000</v>
      </c>
      <c r="T196">
        <v>35500</v>
      </c>
      <c r="U196" s="2">
        <v>-9.8591549295774641E-2</v>
      </c>
      <c r="V196">
        <v>22500</v>
      </c>
      <c r="W196" s="2">
        <v>1.4222222222222221</v>
      </c>
      <c r="AA196" t="s">
        <v>198</v>
      </c>
    </row>
    <row r="197" spans="1:27" x14ac:dyDescent="0.3">
      <c r="A197" s="3">
        <v>195</v>
      </c>
      <c r="B197">
        <v>25290</v>
      </c>
      <c r="C197" t="s">
        <v>26</v>
      </c>
      <c r="D197" t="s">
        <v>27</v>
      </c>
      <c r="E197" t="s">
        <v>29</v>
      </c>
      <c r="F197" t="s">
        <v>437</v>
      </c>
      <c r="G197" s="1" t="str">
        <f>HYPERLINK("https://new.land.naver.com/complexes/25290", "클릭")</f>
        <v>클릭</v>
      </c>
      <c r="H197">
        <v>1990</v>
      </c>
      <c r="I197">
        <v>3</v>
      </c>
      <c r="J197">
        <v>65</v>
      </c>
      <c r="K197">
        <v>51</v>
      </c>
      <c r="L197" t="s">
        <v>135</v>
      </c>
      <c r="M197" t="s">
        <v>138</v>
      </c>
      <c r="N197" t="s">
        <v>339</v>
      </c>
      <c r="O197">
        <v>32000</v>
      </c>
      <c r="P197" t="s">
        <v>339</v>
      </c>
      <c r="Q197">
        <v>18000</v>
      </c>
      <c r="R197">
        <v>14000</v>
      </c>
      <c r="S197" s="2">
        <v>0.5625</v>
      </c>
      <c r="V197">
        <v>21600</v>
      </c>
      <c r="W197" s="2">
        <v>1.481481481481481</v>
      </c>
      <c r="AA197" t="s">
        <v>198</v>
      </c>
    </row>
    <row r="198" spans="1:27" x14ac:dyDescent="0.3">
      <c r="A198" s="3">
        <v>196</v>
      </c>
      <c r="B198">
        <v>2046</v>
      </c>
      <c r="C198" t="s">
        <v>26</v>
      </c>
      <c r="D198" t="s">
        <v>27</v>
      </c>
      <c r="E198" t="s">
        <v>28</v>
      </c>
      <c r="F198" t="s">
        <v>121</v>
      </c>
      <c r="G198" s="1" t="str">
        <f>HYPERLINK("https://new.land.naver.com/complexes/2046", "클릭")</f>
        <v>클릭</v>
      </c>
      <c r="H198">
        <v>1996</v>
      </c>
      <c r="I198">
        <v>10</v>
      </c>
      <c r="J198">
        <v>261</v>
      </c>
      <c r="K198">
        <v>59</v>
      </c>
      <c r="L198" t="s">
        <v>135</v>
      </c>
      <c r="M198" t="s">
        <v>235</v>
      </c>
      <c r="N198" t="s">
        <v>263</v>
      </c>
      <c r="O198">
        <v>31000</v>
      </c>
      <c r="P198" t="s">
        <v>263</v>
      </c>
      <c r="Q198">
        <v>24000</v>
      </c>
      <c r="R198">
        <v>7000</v>
      </c>
      <c r="S198" s="2">
        <v>0.77419354838709675</v>
      </c>
      <c r="T198">
        <v>37500</v>
      </c>
      <c r="U198" s="2">
        <v>-0.17333333333333331</v>
      </c>
      <c r="V198">
        <v>18500</v>
      </c>
      <c r="W198" s="2">
        <v>1.6756756756756761</v>
      </c>
      <c r="AA198" t="s">
        <v>198</v>
      </c>
    </row>
    <row r="199" spans="1:27" x14ac:dyDescent="0.3">
      <c r="A199" s="3">
        <v>197</v>
      </c>
      <c r="B199">
        <v>13324</v>
      </c>
      <c r="C199" t="s">
        <v>26</v>
      </c>
      <c r="D199" t="s">
        <v>27</v>
      </c>
      <c r="E199" t="s">
        <v>28</v>
      </c>
      <c r="F199" t="s">
        <v>331</v>
      </c>
      <c r="G199" s="1" t="str">
        <f>HYPERLINK("https://new.land.naver.com/complexes/13324", "클릭")</f>
        <v>클릭</v>
      </c>
      <c r="H199">
        <v>1995</v>
      </c>
      <c r="I199">
        <v>1</v>
      </c>
      <c r="J199">
        <v>16</v>
      </c>
      <c r="K199">
        <v>76</v>
      </c>
      <c r="L199" t="s">
        <v>136</v>
      </c>
      <c r="M199" t="s">
        <v>138</v>
      </c>
      <c r="N199" t="s">
        <v>362</v>
      </c>
      <c r="O199">
        <v>30000</v>
      </c>
      <c r="P199" t="s">
        <v>362</v>
      </c>
      <c r="Q199">
        <v>23000</v>
      </c>
      <c r="R199">
        <v>7000</v>
      </c>
      <c r="S199" s="2">
        <v>0.76666666666666672</v>
      </c>
      <c r="V199">
        <v>14100</v>
      </c>
      <c r="W199" s="2">
        <v>2.1276595744680851</v>
      </c>
      <c r="AA199" t="s">
        <v>198</v>
      </c>
    </row>
    <row r="200" spans="1:27" x14ac:dyDescent="0.3">
      <c r="A200" s="3">
        <v>198</v>
      </c>
      <c r="B200">
        <v>1992</v>
      </c>
      <c r="C200" t="s">
        <v>26</v>
      </c>
      <c r="D200" t="s">
        <v>27</v>
      </c>
      <c r="E200" t="s">
        <v>31</v>
      </c>
      <c r="F200" t="s">
        <v>220</v>
      </c>
      <c r="G200" s="1" t="str">
        <f>HYPERLINK("https://new.land.naver.com/complexes/1992", "클릭")</f>
        <v>클릭</v>
      </c>
      <c r="H200">
        <v>1993</v>
      </c>
      <c r="I200">
        <v>11</v>
      </c>
      <c r="J200">
        <v>3227</v>
      </c>
      <c r="K200">
        <v>28</v>
      </c>
      <c r="L200" t="s">
        <v>136</v>
      </c>
      <c r="M200" t="s">
        <v>236</v>
      </c>
      <c r="N200" t="s">
        <v>502</v>
      </c>
      <c r="O200">
        <v>27500</v>
      </c>
      <c r="P200" t="s">
        <v>502</v>
      </c>
      <c r="Q200">
        <v>13100</v>
      </c>
      <c r="R200">
        <v>14400</v>
      </c>
      <c r="S200" s="2">
        <v>0.47636363636363638</v>
      </c>
      <c r="V200">
        <v>17500</v>
      </c>
      <c r="W200" s="2">
        <v>1.571428571428571</v>
      </c>
      <c r="AA200" t="s">
        <v>198</v>
      </c>
    </row>
    <row r="201" spans="1:27" x14ac:dyDescent="0.3">
      <c r="A201" s="3">
        <v>199</v>
      </c>
      <c r="B201">
        <v>1441</v>
      </c>
      <c r="C201" t="s">
        <v>26</v>
      </c>
      <c r="D201" t="s">
        <v>27</v>
      </c>
      <c r="E201" t="s">
        <v>28</v>
      </c>
      <c r="F201" t="s">
        <v>334</v>
      </c>
      <c r="G201" s="1" t="str">
        <f>HYPERLINK("https://new.land.naver.com/complexes/1441", "클릭")</f>
        <v>클릭</v>
      </c>
      <c r="H201">
        <v>1993</v>
      </c>
      <c r="I201">
        <v>11</v>
      </c>
      <c r="J201">
        <v>1072</v>
      </c>
      <c r="K201">
        <v>82</v>
      </c>
      <c r="P201" t="s">
        <v>171</v>
      </c>
      <c r="Q201">
        <v>43000</v>
      </c>
    </row>
    <row r="202" spans="1:27" x14ac:dyDescent="0.3">
      <c r="A202" s="3">
        <v>200</v>
      </c>
      <c r="B202">
        <v>23131</v>
      </c>
      <c r="C202" t="s">
        <v>26</v>
      </c>
      <c r="D202" t="s">
        <v>27</v>
      </c>
      <c r="E202" t="s">
        <v>29</v>
      </c>
      <c r="F202" t="s">
        <v>134</v>
      </c>
      <c r="G202" s="1" t="str">
        <f>HYPERLINK("https://new.land.naver.com/complexes/23131", "클릭")</f>
        <v>클릭</v>
      </c>
      <c r="H202">
        <v>1998</v>
      </c>
      <c r="I202">
        <v>8</v>
      </c>
      <c r="J202">
        <v>18</v>
      </c>
      <c r="K202">
        <v>84</v>
      </c>
      <c r="P202" t="s">
        <v>163</v>
      </c>
      <c r="Q202">
        <v>27000</v>
      </c>
      <c r="T202">
        <v>56000</v>
      </c>
    </row>
  </sheetData>
  <phoneticPr fontId="4" type="noConversion"/>
  <conditionalFormatting sqref="H2:H20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02">
    <cfRule type="containsBlanks" dxfId="2" priority="4">
      <formula>LEN(TRIM(R2))=0</formula>
    </cfRule>
    <cfRule type="cellIs" dxfId="1" priority="5" operator="lessThanOrEqual">
      <formula>10000</formula>
    </cfRule>
  </conditionalFormatting>
  <conditionalFormatting sqref="S2:S202">
    <cfRule type="cellIs" dxfId="0" priority="1" operator="greaterThanOrEqual">
      <formula>0.7</formula>
    </cfRule>
  </conditionalFormatting>
  <conditionalFormatting sqref="U2:U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83~84</vt:lpstr>
      <vt:lpstr>57~59</vt:lpstr>
      <vt:lpstr>60~82</vt:lpstr>
      <vt:lpstr>~56</vt:lpstr>
      <vt:lpstr>전체</vt:lpstr>
      <vt:lpstr>신축(2016~)</vt:lpstr>
      <vt:lpstr>준신축(2008~)</vt:lpstr>
      <vt:lpstr>준구축(2000~)</vt:lpstr>
      <vt:lpstr>구축(1990~)</vt:lpstr>
      <vt:lpstr>83-84 그루핑</vt:lpstr>
      <vt:lpstr>58-59 그루핑</vt:lpstr>
      <vt:lpstr>만든이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10121024</dc:creator>
  <cp:lastModifiedBy>10121024</cp:lastModifiedBy>
  <dcterms:created xsi:type="dcterms:W3CDTF">2025-01-18T09:50:49Z</dcterms:created>
  <dcterms:modified xsi:type="dcterms:W3CDTF">2025-01-20T07:34:47Z</dcterms:modified>
</cp:coreProperties>
</file>