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ges\source\download\"/>
    </mc:Choice>
  </mc:AlternateContent>
  <bookViews>
    <workbookView xWindow="0" yWindow="0" windowWidth="28800" windowHeight="11895"/>
  </bookViews>
  <sheets>
    <sheet name="养老金试算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N3" i="2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O3" i="2" l="1"/>
  <c r="Q3" i="2" s="1"/>
  <c r="P3" i="2"/>
  <c r="R3" i="2" s="1"/>
  <c r="S3" i="2"/>
  <c r="P4" i="2"/>
  <c r="P6" i="2"/>
  <c r="P8" i="2"/>
  <c r="P14" i="2"/>
  <c r="M15" i="2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P5" i="2"/>
  <c r="P7" i="2"/>
  <c r="P9" i="2"/>
  <c r="P11" i="2"/>
  <c r="P13" i="2"/>
  <c r="P10" i="2"/>
  <c r="P12" i="2"/>
  <c r="O10" i="2" l="1"/>
  <c r="S14" i="2"/>
  <c r="S10" i="2"/>
  <c r="S6" i="2"/>
  <c r="O11" i="2"/>
  <c r="S11" i="2"/>
  <c r="S5" i="2"/>
  <c r="O12" i="2"/>
  <c r="O8" i="2"/>
  <c r="O5" i="2"/>
  <c r="S9" i="2"/>
  <c r="O7" i="2"/>
  <c r="O4" i="2"/>
  <c r="Q4" i="2" s="1"/>
  <c r="O13" i="2"/>
  <c r="S7" i="2"/>
  <c r="O6" i="2"/>
  <c r="S12" i="2"/>
  <c r="S8" i="2"/>
  <c r="S4" i="2"/>
  <c r="P15" i="2"/>
  <c r="S15" i="2"/>
  <c r="M16" i="2"/>
  <c r="O15" i="2"/>
  <c r="R14" i="2"/>
  <c r="R4" i="2"/>
  <c r="R13" i="2"/>
  <c r="R11" i="2"/>
  <c r="R9" i="2"/>
  <c r="R7" i="2"/>
  <c r="R5" i="2"/>
  <c r="R12" i="2"/>
  <c r="R10" i="2"/>
  <c r="R8" i="2"/>
  <c r="R6" i="2"/>
  <c r="T4" i="2"/>
  <c r="T3" i="2"/>
  <c r="N42" i="2"/>
  <c r="O9" i="2"/>
  <c r="S13" i="2"/>
  <c r="O14" i="2"/>
  <c r="Q5" i="2" l="1"/>
  <c r="Q9" i="2"/>
  <c r="T11" i="2"/>
  <c r="Q8" i="2"/>
  <c r="T12" i="2"/>
  <c r="T10" i="2"/>
  <c r="Q10" i="2"/>
  <c r="T5" i="2"/>
  <c r="Q6" i="2"/>
  <c r="Q13" i="2"/>
  <c r="T6" i="2"/>
  <c r="T9" i="2"/>
  <c r="T8" i="2"/>
  <c r="T7" i="2"/>
  <c r="Q7" i="2"/>
  <c r="T14" i="2"/>
  <c r="Q11" i="2"/>
  <c r="R15" i="2"/>
  <c r="S16" i="2"/>
  <c r="T16" i="2" s="1"/>
  <c r="O16" i="2"/>
  <c r="M17" i="2"/>
  <c r="P16" i="2"/>
  <c r="Q12" i="2"/>
  <c r="T13" i="2"/>
  <c r="Q15" i="2"/>
  <c r="T15" i="2"/>
  <c r="R16" i="2"/>
  <c r="Q14" i="2"/>
  <c r="S17" i="2" l="1"/>
  <c r="T17" i="2" s="1"/>
  <c r="O17" i="2"/>
  <c r="M18" i="2"/>
  <c r="P17" i="2"/>
  <c r="Q16" i="2"/>
  <c r="Q17" i="2"/>
  <c r="R17" i="2" l="1"/>
  <c r="S18" i="2"/>
  <c r="O18" i="2"/>
  <c r="Q18" i="2" s="1"/>
  <c r="P18" i="2"/>
  <c r="M19" i="2"/>
  <c r="T18" i="2"/>
  <c r="M20" i="2" l="1"/>
  <c r="O19" i="2"/>
  <c r="Q19" i="2" s="1"/>
  <c r="S19" i="2"/>
  <c r="P19" i="2"/>
  <c r="R18" i="2"/>
  <c r="M21" i="2" l="1"/>
  <c r="S20" i="2"/>
  <c r="P20" i="2"/>
  <c r="O20" i="2"/>
  <c r="Q20" i="2" s="1"/>
  <c r="T19" i="2"/>
  <c r="R19" i="2"/>
  <c r="R20" i="2" l="1"/>
  <c r="T20" i="2"/>
  <c r="M22" i="2"/>
  <c r="P21" i="2"/>
  <c r="R21" i="2" s="1"/>
  <c r="O21" i="2"/>
  <c r="Q21" i="2" s="1"/>
  <c r="S21" i="2"/>
  <c r="P22" i="2" l="1"/>
  <c r="R22" i="2" s="1"/>
  <c r="M23" i="2"/>
  <c r="O22" i="2"/>
  <c r="Q22" i="2" s="1"/>
  <c r="S22" i="2"/>
  <c r="T22" i="2" s="1"/>
  <c r="T21" i="2"/>
  <c r="S23" i="2" l="1"/>
  <c r="T23" i="2" s="1"/>
  <c r="O23" i="2"/>
  <c r="Q23" i="2" s="1"/>
  <c r="M24" i="2"/>
  <c r="P23" i="2"/>
  <c r="R23" i="2" s="1"/>
  <c r="S24" i="2" l="1"/>
  <c r="T24" i="2" s="1"/>
  <c r="O24" i="2"/>
  <c r="Q24" i="2" s="1"/>
  <c r="M25" i="2"/>
  <c r="P24" i="2"/>
  <c r="R24" i="2" s="1"/>
  <c r="M26" i="2" l="1"/>
  <c r="S25" i="2"/>
  <c r="T25" i="2" s="1"/>
  <c r="P25" i="2"/>
  <c r="R25" i="2" s="1"/>
  <c r="O25" i="2"/>
  <c r="Q25" i="2" s="1"/>
  <c r="M27" i="2" l="1"/>
  <c r="O26" i="2"/>
  <c r="Q26" i="2" s="1"/>
  <c r="S26" i="2"/>
  <c r="T26" i="2" s="1"/>
  <c r="P26" i="2"/>
  <c r="R26" i="2" s="1"/>
  <c r="M28" i="2" l="1"/>
  <c r="P27" i="2"/>
  <c r="R27" i="2" s="1"/>
  <c r="O27" i="2"/>
  <c r="Q27" i="2" s="1"/>
  <c r="S27" i="2"/>
  <c r="T27" i="2" s="1"/>
  <c r="M29" i="2" l="1"/>
  <c r="O28" i="2"/>
  <c r="Q28" i="2" s="1"/>
  <c r="S28" i="2"/>
  <c r="T28" i="2" s="1"/>
  <c r="P28" i="2"/>
  <c r="R28" i="2" s="1"/>
  <c r="M30" i="2" l="1"/>
  <c r="P29" i="2"/>
  <c r="R29" i="2" s="1"/>
  <c r="O29" i="2"/>
  <c r="Q29" i="2" s="1"/>
  <c r="S29" i="2"/>
  <c r="T29" i="2" s="1"/>
  <c r="M31" i="2" l="1"/>
  <c r="O30" i="2"/>
  <c r="Q30" i="2" s="1"/>
  <c r="S30" i="2"/>
  <c r="T30" i="2" s="1"/>
  <c r="P30" i="2"/>
  <c r="R30" i="2" s="1"/>
  <c r="M32" i="2" l="1"/>
  <c r="P31" i="2"/>
  <c r="R31" i="2" s="1"/>
  <c r="O31" i="2"/>
  <c r="Q31" i="2" s="1"/>
  <c r="S31" i="2"/>
  <c r="T31" i="2" s="1"/>
  <c r="M33" i="2" l="1"/>
  <c r="O32" i="2"/>
  <c r="Q32" i="2" s="1"/>
  <c r="S32" i="2"/>
  <c r="T32" i="2" s="1"/>
  <c r="P32" i="2"/>
  <c r="R32" i="2" s="1"/>
  <c r="M34" i="2" l="1"/>
  <c r="P33" i="2"/>
  <c r="R33" i="2" s="1"/>
  <c r="O33" i="2"/>
  <c r="Q33" i="2" s="1"/>
  <c r="S33" i="2"/>
  <c r="T33" i="2" s="1"/>
  <c r="M35" i="2" l="1"/>
  <c r="O34" i="2"/>
  <c r="Q34" i="2" s="1"/>
  <c r="S34" i="2"/>
  <c r="T34" i="2" s="1"/>
  <c r="P34" i="2"/>
  <c r="R34" i="2" s="1"/>
  <c r="M36" i="2" l="1"/>
  <c r="P35" i="2"/>
  <c r="R35" i="2" s="1"/>
  <c r="O35" i="2"/>
  <c r="Q35" i="2" s="1"/>
  <c r="S35" i="2"/>
  <c r="T35" i="2" s="1"/>
  <c r="M37" i="2" l="1"/>
  <c r="O36" i="2"/>
  <c r="Q36" i="2" s="1"/>
  <c r="S36" i="2"/>
  <c r="T36" i="2" s="1"/>
  <c r="P36" i="2"/>
  <c r="R36" i="2" s="1"/>
  <c r="M38" i="2" l="1"/>
  <c r="P37" i="2"/>
  <c r="R37" i="2" s="1"/>
  <c r="O37" i="2"/>
  <c r="Q37" i="2" s="1"/>
  <c r="S37" i="2"/>
  <c r="T37" i="2" s="1"/>
  <c r="M39" i="2" l="1"/>
  <c r="O38" i="2"/>
  <c r="Q38" i="2" s="1"/>
  <c r="S38" i="2"/>
  <c r="T38" i="2" s="1"/>
  <c r="P38" i="2"/>
  <c r="R38" i="2" s="1"/>
  <c r="M40" i="2" l="1"/>
  <c r="P39" i="2"/>
  <c r="R39" i="2" s="1"/>
  <c r="O39" i="2"/>
  <c r="Q39" i="2" s="1"/>
  <c r="S39" i="2"/>
  <c r="T39" i="2" s="1"/>
  <c r="M41" i="2" l="1"/>
  <c r="O40" i="2"/>
  <c r="Q40" i="2" s="1"/>
  <c r="S40" i="2"/>
  <c r="T40" i="2" s="1"/>
  <c r="P40" i="2"/>
  <c r="R40" i="2" s="1"/>
  <c r="M42" i="2" l="1"/>
  <c r="P41" i="2"/>
  <c r="R41" i="2" s="1"/>
  <c r="S41" i="2"/>
  <c r="T41" i="2" s="1"/>
  <c r="B22" i="2" s="1"/>
  <c r="O41" i="2"/>
  <c r="Q41" i="2" s="1"/>
  <c r="P42" i="2" l="1"/>
  <c r="R42" i="2" s="1"/>
  <c r="B19" i="2" s="1"/>
  <c r="S42" i="2"/>
  <c r="T42" i="2" s="1"/>
  <c r="O42" i="2"/>
  <c r="Q42" i="2" s="1"/>
  <c r="B17" i="2" l="1"/>
  <c r="B21" i="2" s="1"/>
  <c r="B23" i="2" s="1"/>
  <c r="B24" i="2" s="1"/>
  <c r="B20" i="2"/>
</calcChain>
</file>

<file path=xl/sharedStrings.xml><?xml version="1.0" encoding="utf-8"?>
<sst xmlns="http://schemas.openxmlformats.org/spreadsheetml/2006/main" count="94" uniqueCount="89">
  <si>
    <t>序号</t>
    <phoneticPr fontId="4" type="noConversion"/>
  </si>
  <si>
    <t>城市</t>
    <phoneticPr fontId="4" type="noConversion"/>
  </si>
  <si>
    <t>序号</t>
    <phoneticPr fontId="4" type="noConversion"/>
  </si>
  <si>
    <t>城市</t>
    <phoneticPr fontId="4" type="noConversion"/>
  </si>
  <si>
    <t>北京</t>
    <phoneticPr fontId="4" type="noConversion"/>
  </si>
  <si>
    <t>无锡</t>
    <phoneticPr fontId="4" type="noConversion"/>
  </si>
  <si>
    <t>上海</t>
    <phoneticPr fontId="4" type="noConversion"/>
  </si>
  <si>
    <t>昆明</t>
    <phoneticPr fontId="4" type="noConversion"/>
  </si>
  <si>
    <t>深圳</t>
    <phoneticPr fontId="4" type="noConversion"/>
  </si>
  <si>
    <t>合肥</t>
    <phoneticPr fontId="4" type="noConversion"/>
  </si>
  <si>
    <t>杭州</t>
    <phoneticPr fontId="4" type="noConversion"/>
  </si>
  <si>
    <t>济南</t>
    <phoneticPr fontId="4" type="noConversion"/>
  </si>
  <si>
    <t>广州</t>
    <phoneticPr fontId="4" type="noConversion"/>
  </si>
  <si>
    <t>南宁</t>
    <phoneticPr fontId="4" type="noConversion"/>
  </si>
  <si>
    <t>宁波</t>
    <phoneticPr fontId="4" type="noConversion"/>
  </si>
  <si>
    <t>南昌</t>
    <phoneticPr fontId="4" type="noConversion"/>
  </si>
  <si>
    <t>南京</t>
    <phoneticPr fontId="4" type="noConversion"/>
  </si>
  <si>
    <t>天津</t>
    <phoneticPr fontId="4" type="noConversion"/>
  </si>
  <si>
    <t>厦门</t>
    <phoneticPr fontId="4" type="noConversion"/>
  </si>
  <si>
    <t>郑州</t>
    <phoneticPr fontId="4" type="noConversion"/>
  </si>
  <si>
    <t>东莞</t>
    <phoneticPr fontId="4" type="noConversion"/>
  </si>
  <si>
    <t>青岛</t>
    <phoneticPr fontId="4" type="noConversion"/>
  </si>
  <si>
    <t>苏州</t>
    <phoneticPr fontId="4" type="noConversion"/>
  </si>
  <si>
    <t>西安</t>
    <phoneticPr fontId="4" type="noConversion"/>
  </si>
  <si>
    <t>佛山</t>
    <phoneticPr fontId="4" type="noConversion"/>
  </si>
  <si>
    <t>大连</t>
    <phoneticPr fontId="4" type="noConversion"/>
  </si>
  <si>
    <t>重庆</t>
    <phoneticPr fontId="4" type="noConversion"/>
  </si>
  <si>
    <t>石家庄</t>
    <phoneticPr fontId="4" type="noConversion"/>
  </si>
  <si>
    <t>海口</t>
    <phoneticPr fontId="4" type="noConversion"/>
  </si>
  <si>
    <t>兰州</t>
    <phoneticPr fontId="4" type="noConversion"/>
  </si>
  <si>
    <t>成都</t>
    <phoneticPr fontId="4" type="noConversion"/>
  </si>
  <si>
    <t>烟台</t>
    <phoneticPr fontId="4" type="noConversion"/>
  </si>
  <si>
    <t>武汉</t>
    <phoneticPr fontId="4" type="noConversion"/>
  </si>
  <si>
    <t>长春</t>
    <phoneticPr fontId="4" type="noConversion"/>
  </si>
  <si>
    <t>贵阳</t>
    <phoneticPr fontId="4" type="noConversion"/>
  </si>
  <si>
    <t>太原</t>
    <phoneticPr fontId="4" type="noConversion"/>
  </si>
  <si>
    <t>长沙</t>
    <phoneticPr fontId="4" type="noConversion"/>
  </si>
  <si>
    <t>哈尔滨</t>
    <phoneticPr fontId="4" type="noConversion"/>
  </si>
  <si>
    <t>福州</t>
    <phoneticPr fontId="4" type="noConversion"/>
  </si>
  <si>
    <t>沈阳</t>
    <phoneticPr fontId="4" type="noConversion"/>
  </si>
  <si>
    <t>乌鲁木齐</t>
    <phoneticPr fontId="4" type="noConversion"/>
  </si>
  <si>
    <t>养老金试算</t>
    <phoneticPr fontId="4" type="noConversion"/>
  </si>
  <si>
    <t>缴费年</t>
    <phoneticPr fontId="4" type="noConversion"/>
  </si>
  <si>
    <t>自己实际工资</t>
    <phoneticPr fontId="4" type="noConversion"/>
  </si>
  <si>
    <t>北京年平均工资</t>
    <phoneticPr fontId="4" type="noConversion"/>
  </si>
  <si>
    <t>个人缴纳养老金</t>
    <phoneticPr fontId="4" type="noConversion"/>
  </si>
  <si>
    <t>企业缴纳养老金</t>
    <phoneticPr fontId="4" type="noConversion"/>
  </si>
  <si>
    <t>退休后个人养老金账户</t>
    <phoneticPr fontId="4" type="noConversion"/>
  </si>
  <si>
    <t>过去企业共缴纳</t>
    <phoneticPr fontId="4" type="noConversion"/>
  </si>
  <si>
    <t>本人平均缴费指数</t>
    <phoneticPr fontId="4" type="noConversion"/>
  </si>
  <si>
    <t>元</t>
    <phoneticPr fontId="4" type="noConversion"/>
  </si>
  <si>
    <t>退休金缴纳</t>
    <phoneticPr fontId="4" type="noConversion"/>
  </si>
  <si>
    <t>年</t>
    <phoneticPr fontId="4" type="noConversion"/>
  </si>
  <si>
    <t>元</t>
    <phoneticPr fontId="4" type="noConversion"/>
  </si>
  <si>
    <t>%</t>
    <phoneticPr fontId="4" type="noConversion"/>
  </si>
  <si>
    <t>工资每年增长</t>
    <phoneticPr fontId="4" type="noConversion"/>
  </si>
  <si>
    <t>%</t>
    <phoneticPr fontId="4" type="noConversion"/>
  </si>
  <si>
    <t>个人缴纳比例</t>
    <phoneticPr fontId="4" type="noConversion"/>
  </si>
  <si>
    <t>企业缴纳比例</t>
    <phoneticPr fontId="4" type="noConversion"/>
  </si>
  <si>
    <t>个人退休年龄</t>
    <phoneticPr fontId="4" type="noConversion"/>
  </si>
  <si>
    <t>岁</t>
    <phoneticPr fontId="4" type="noConversion"/>
  </si>
  <si>
    <t>人口平均寿命</t>
    <phoneticPr fontId="4" type="noConversion"/>
  </si>
  <si>
    <t>岁</t>
    <phoneticPr fontId="4" type="noConversion"/>
  </si>
  <si>
    <t>养老金投资收益率</t>
    <phoneticPr fontId="4" type="noConversion"/>
  </si>
  <si>
    <t>%</t>
    <phoneticPr fontId="4" type="noConversion"/>
  </si>
  <si>
    <t>企业过去共交</t>
    <phoneticPr fontId="4" type="noConversion"/>
  </si>
  <si>
    <t>元</t>
    <phoneticPr fontId="4" type="noConversion"/>
  </si>
  <si>
    <t>个人过去共交</t>
    <phoneticPr fontId="4" type="noConversion"/>
  </si>
  <si>
    <t>退休后</t>
    <phoneticPr fontId="4" type="noConversion"/>
  </si>
  <si>
    <t>个人养老金共</t>
    <phoneticPr fontId="4" type="noConversion"/>
  </si>
  <si>
    <t>计发月数</t>
    <phoneticPr fontId="4" type="noConversion"/>
  </si>
  <si>
    <t>月</t>
    <phoneticPr fontId="4" type="noConversion"/>
  </si>
  <si>
    <t>个人养老金</t>
    <phoneticPr fontId="4" type="noConversion"/>
  </si>
  <si>
    <t>元/月</t>
    <phoneticPr fontId="4" type="noConversion"/>
  </si>
  <si>
    <t>基础养老金</t>
    <phoneticPr fontId="4" type="noConversion"/>
  </si>
  <si>
    <t>一个月可领</t>
    <phoneticPr fontId="4" type="noConversion"/>
  </si>
  <si>
    <t>元养老金</t>
    <phoneticPr fontId="4" type="noConversion"/>
  </si>
  <si>
    <t>一年可领</t>
    <phoneticPr fontId="4" type="noConversion"/>
  </si>
  <si>
    <t>元养老金</t>
    <phoneticPr fontId="4" type="noConversion"/>
  </si>
  <si>
    <t>平均工资</t>
    <phoneticPr fontId="4" type="noConversion"/>
  </si>
  <si>
    <t>平均工资</t>
    <phoneticPr fontId="4" type="noConversion"/>
  </si>
  <si>
    <t>养老金试算明细</t>
    <phoneticPr fontId="3" type="noConversion"/>
  </si>
  <si>
    <t>城市年平均工资增长</t>
    <phoneticPr fontId="4" type="noConversion"/>
  </si>
  <si>
    <t>月工资</t>
    <phoneticPr fontId="4" type="noConversion"/>
  </si>
  <si>
    <t>第一步：查询近似城市的月平均工资</t>
    <phoneticPr fontId="3" type="noConversion"/>
  </si>
  <si>
    <t>城市月平均工资</t>
    <phoneticPr fontId="4" type="noConversion"/>
  </si>
  <si>
    <t>第二步：填入城市月平均工资
退休金缴纳年限、月工资</t>
    <phoneticPr fontId="3" type="noConversion"/>
  </si>
  <si>
    <t>第三步：退休金计算完成</t>
    <phoneticPr fontId="3" type="noConversion"/>
  </si>
  <si>
    <t>资料来源：智联招聘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</si>
</sst>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87" formatCode="_ * #,##0_ ;_ * \-#,##0_ ;_ * &quot;-&quot;??_ ;_ @_ 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2"/>
      <charset val="136"/>
      <scheme val="minor"/>
    </font>
    <font>
      <sz val="11"/>
      <color theme="1"/>
      <name val="黑体"/>
      <family val="3"/>
      <charset val="134"/>
    </font>
    <font>
      <b/>
      <sz val="14"/>
      <color rgb="FFFF0000"/>
      <name val="黑体"/>
      <family val="3"/>
      <charset val="134"/>
    </font>
    <font>
      <b/>
      <sz val="18"/>
      <color rgb="FFFF0000"/>
      <name val="黑体"/>
      <family val="3"/>
      <charset val="134"/>
    </font>
    <font>
      <b/>
      <sz val="18"/>
      <color theme="1"/>
      <name val="黑体"/>
      <family val="3"/>
      <charset val="134"/>
    </font>
    <font>
      <sz val="9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3" fontId="5" fillId="2" borderId="11" xfId="1" applyFont="1" applyFill="1" applyBorder="1" applyAlignment="1">
      <alignment horizontal="center" vertical="center"/>
    </xf>
    <xf numFmtId="43" fontId="5" fillId="2" borderId="10" xfId="1" applyFont="1" applyFill="1" applyBorder="1" applyAlignment="1">
      <alignment horizontal="center" vertical="center"/>
    </xf>
    <xf numFmtId="43" fontId="5" fillId="2" borderId="9" xfId="1" applyFont="1" applyFill="1" applyBorder="1" applyAlignment="1">
      <alignment horizontal="center" vertical="center"/>
    </xf>
    <xf numFmtId="43" fontId="8" fillId="0" borderId="2" xfId="1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43" fontId="5" fillId="0" borderId="4" xfId="1" applyFont="1" applyBorder="1" applyAlignment="1">
      <alignment horizontal="center" vertical="center"/>
    </xf>
    <xf numFmtId="43" fontId="5" fillId="0" borderId="4" xfId="1" applyFont="1" applyBorder="1" applyAlignment="1">
      <alignment horizontal="center" vertical="center"/>
    </xf>
    <xf numFmtId="43" fontId="5" fillId="0" borderId="13" xfId="1" applyFont="1" applyBorder="1" applyAlignment="1">
      <alignment horizontal="center" vertical="center"/>
    </xf>
    <xf numFmtId="1" fontId="5" fillId="0" borderId="0" xfId="0" applyNumberFormat="1" applyFo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187" fontId="5" fillId="0" borderId="4" xfId="1" applyNumberFormat="1" applyFont="1" applyBorder="1" applyAlignment="1">
      <alignment horizontal="center" vertical="center"/>
    </xf>
    <xf numFmtId="187" fontId="5" fillId="0" borderId="8" xfId="1" applyNumberFormat="1" applyFont="1" applyBorder="1" applyAlignment="1">
      <alignment horizontal="center" vertical="center"/>
    </xf>
    <xf numFmtId="187" fontId="6" fillId="0" borderId="11" xfId="1" applyNumberFormat="1" applyFont="1" applyBorder="1" applyAlignment="1">
      <alignment horizontal="center" vertical="center"/>
    </xf>
    <xf numFmtId="187" fontId="6" fillId="0" borderId="9" xfId="1" applyNumberFormat="1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187" fontId="5" fillId="0" borderId="4" xfId="1" applyNumberFormat="1" applyFont="1" applyBorder="1" applyAlignment="1">
      <alignment horizontal="left" vertical="center"/>
    </xf>
    <xf numFmtId="43" fontId="8" fillId="0" borderId="0" xfId="1" applyFont="1" applyBorder="1" applyAlignment="1">
      <alignment horizontal="center" vertical="center"/>
    </xf>
    <xf numFmtId="0" fontId="5" fillId="0" borderId="12" xfId="0" applyFont="1" applyBorder="1">
      <alignment vertical="center"/>
    </xf>
    <xf numFmtId="43" fontId="5" fillId="0" borderId="1" xfId="1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9" fillId="2" borderId="15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43" fontId="2" fillId="3" borderId="11" xfId="1" applyFont="1" applyFill="1" applyBorder="1" applyAlignment="1">
      <alignment horizontal="center" vertical="center"/>
    </xf>
    <xf numFmtId="43" fontId="2" fillId="3" borderId="10" xfId="1" applyFont="1" applyFill="1" applyBorder="1" applyAlignment="1">
      <alignment horizontal="center" vertical="center"/>
    </xf>
    <xf numFmtId="43" fontId="2" fillId="3" borderId="14" xfId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23</xdr:row>
      <xdr:rowOff>133350</xdr:rowOff>
    </xdr:from>
    <xdr:to>
      <xdr:col>0</xdr:col>
      <xdr:colOff>1343026</xdr:colOff>
      <xdr:row>25</xdr:row>
      <xdr:rowOff>47625</xdr:rowOff>
    </xdr:to>
    <xdr:cxnSp macro="">
      <xdr:nvCxnSpPr>
        <xdr:cNvPr id="3" name="直接箭头连接符 2"/>
        <xdr:cNvCxnSpPr/>
      </xdr:nvCxnSpPr>
      <xdr:spPr>
        <a:xfrm flipV="1">
          <a:off x="1047750" y="4314825"/>
          <a:ext cx="295276" cy="333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1362075</xdr:colOff>
      <xdr:row>0</xdr:row>
      <xdr:rowOff>180975</xdr:rowOff>
    </xdr:from>
    <xdr:to>
      <xdr:col>3</xdr:col>
      <xdr:colOff>590551</xdr:colOff>
      <xdr:row>4</xdr:row>
      <xdr:rowOff>104775</xdr:rowOff>
    </xdr:to>
    <xdr:cxnSp macro="">
      <xdr:nvCxnSpPr>
        <xdr:cNvPr id="5" name="直接箭头连接符 4"/>
        <xdr:cNvCxnSpPr/>
      </xdr:nvCxnSpPr>
      <xdr:spPr>
        <a:xfrm flipH="1">
          <a:off x="2828925" y="180975"/>
          <a:ext cx="1371601" cy="7429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selection activeCell="H24" sqref="H24"/>
    </sheetView>
  </sheetViews>
  <sheetFormatPr defaultRowHeight="13.5" x14ac:dyDescent="0.15"/>
  <cols>
    <col min="1" max="1" width="19.25" style="13" bestFit="1" customWidth="1"/>
    <col min="2" max="2" width="19.125" style="13" bestFit="1" customWidth="1"/>
    <col min="3" max="6" width="9" style="13"/>
    <col min="7" max="7" width="12.75" style="13" bestFit="1" customWidth="1"/>
    <col min="8" max="8" width="9" style="13" customWidth="1"/>
    <col min="9" max="9" width="9" style="13"/>
    <col min="10" max="10" width="11.625" style="13" bestFit="1" customWidth="1"/>
    <col min="11" max="11" width="9" style="13"/>
    <col min="12" max="12" width="6.375" style="13" customWidth="1"/>
    <col min="13" max="13" width="13.875" style="13" bestFit="1" customWidth="1"/>
    <col min="14" max="16" width="15.25" style="13" bestFit="1" customWidth="1"/>
    <col min="17" max="17" width="21.5" style="13" bestFit="1" customWidth="1"/>
    <col min="18" max="18" width="16.125" style="13" bestFit="1" customWidth="1"/>
    <col min="19" max="19" width="7.625" style="13" bestFit="1" customWidth="1"/>
    <col min="20" max="20" width="17.375" style="13" bestFit="1" customWidth="1"/>
    <col min="21" max="16384" width="9" style="13"/>
  </cols>
  <sheetData>
    <row r="1" spans="1:20" ht="22.5" x14ac:dyDescent="0.15">
      <c r="A1" s="26" t="s">
        <v>86</v>
      </c>
      <c r="B1" s="27"/>
      <c r="C1" s="27"/>
      <c r="E1" s="7" t="s">
        <v>84</v>
      </c>
      <c r="F1" s="7"/>
      <c r="G1" s="7"/>
      <c r="H1" s="7"/>
      <c r="I1" s="7"/>
      <c r="J1" s="7"/>
      <c r="L1" s="29" t="s">
        <v>81</v>
      </c>
      <c r="M1" s="12"/>
      <c r="N1" s="12"/>
      <c r="O1" s="12"/>
      <c r="P1" s="12"/>
      <c r="Q1" s="12"/>
      <c r="R1" s="12"/>
      <c r="S1" s="12"/>
      <c r="T1" s="12"/>
    </row>
    <row r="2" spans="1:20" ht="14.25" thickBot="1" x14ac:dyDescent="0.2">
      <c r="A2" s="27"/>
      <c r="B2" s="27"/>
      <c r="C2" s="27"/>
      <c r="E2" s="3" t="s">
        <v>0</v>
      </c>
      <c r="F2" s="3" t="s">
        <v>1</v>
      </c>
      <c r="G2" s="6" t="s">
        <v>79</v>
      </c>
      <c r="H2" s="3" t="s">
        <v>2</v>
      </c>
      <c r="I2" s="3" t="s">
        <v>3</v>
      </c>
      <c r="J2" s="6" t="s">
        <v>80</v>
      </c>
      <c r="K2" s="30"/>
      <c r="L2" s="31" t="s">
        <v>42</v>
      </c>
      <c r="M2" s="15" t="s">
        <v>43</v>
      </c>
      <c r="N2" s="15" t="s">
        <v>44</v>
      </c>
      <c r="O2" s="15" t="s">
        <v>45</v>
      </c>
      <c r="P2" s="15" t="s">
        <v>46</v>
      </c>
      <c r="Q2" s="15" t="s">
        <v>47</v>
      </c>
      <c r="R2" s="16" t="s">
        <v>48</v>
      </c>
      <c r="S2" s="16"/>
      <c r="T2" s="15" t="s">
        <v>49</v>
      </c>
    </row>
    <row r="3" spans="1:20" x14ac:dyDescent="0.15">
      <c r="A3" s="27"/>
      <c r="B3" s="27"/>
      <c r="C3" s="27"/>
      <c r="E3" s="3">
        <v>1</v>
      </c>
      <c r="F3" s="5" t="s">
        <v>4</v>
      </c>
      <c r="G3" s="9">
        <v>10670</v>
      </c>
      <c r="H3" s="4">
        <v>20</v>
      </c>
      <c r="I3" s="5" t="s">
        <v>5</v>
      </c>
      <c r="J3" s="9">
        <v>7106</v>
      </c>
      <c r="L3" s="28">
        <v>1</v>
      </c>
      <c r="M3" s="15">
        <f>B7*12</f>
        <v>120000</v>
      </c>
      <c r="N3" s="15">
        <f>$B$5*12</f>
        <v>128040</v>
      </c>
      <c r="O3" s="15">
        <f>IF(M3&lt;N3*60%,N3*60%*8%,IF(M3&gt;N3*300%,N3*300%*8%,M3*8%))</f>
        <v>9600</v>
      </c>
      <c r="P3" s="15">
        <f>M3*$B$11%</f>
        <v>24000</v>
      </c>
      <c r="Q3" s="15">
        <f>SUM(O3:$O$3)</f>
        <v>9600</v>
      </c>
      <c r="R3" s="15">
        <f>SUM($P$3:P3)</f>
        <v>24000</v>
      </c>
      <c r="S3" s="15">
        <f>IF(M3&lt;N3*60%,N3*60%,IF(M3&gt;N3*300%,N3*300%,M3))/N3</f>
        <v>0.93720712277413309</v>
      </c>
      <c r="T3" s="15">
        <f>SUM($S$3:S3)/L3</f>
        <v>0.93720712277413309</v>
      </c>
    </row>
    <row r="4" spans="1:20" ht="14.25" thickBot="1" x14ac:dyDescent="0.2">
      <c r="A4" s="8" t="s">
        <v>41</v>
      </c>
      <c r="B4" s="14"/>
      <c r="C4" s="8"/>
      <c r="E4" s="3">
        <v>2</v>
      </c>
      <c r="F4" s="5" t="s">
        <v>6</v>
      </c>
      <c r="G4" s="10">
        <v>10015</v>
      </c>
      <c r="H4" s="4">
        <v>21</v>
      </c>
      <c r="I4" s="5" t="s">
        <v>7</v>
      </c>
      <c r="J4" s="10">
        <v>7100</v>
      </c>
      <c r="L4" s="28">
        <v>2</v>
      </c>
      <c r="M4" s="15">
        <f>M3*(1+$B$8%)</f>
        <v>124800</v>
      </c>
      <c r="N4" s="15">
        <f>N3*(1+$B$9%)</f>
        <v>130600.8</v>
      </c>
      <c r="O4" s="15">
        <f t="shared" ref="O4:O42" si="0">IF(M4&lt;N4*60%,N4*60%*8%,IF(M4&gt;N4*300%,N4*300%*8%,M4*8%))</f>
        <v>9984</v>
      </c>
      <c r="P4" s="15">
        <f>M4*$B$11%</f>
        <v>24960</v>
      </c>
      <c r="Q4" s="15">
        <f>SUM(O$3:$O4)</f>
        <v>19584</v>
      </c>
      <c r="R4" s="15">
        <f>SUM($P$3:P4)</f>
        <v>48960</v>
      </c>
      <c r="S4" s="15">
        <f t="shared" ref="S4:S42" si="1">IF(M4&lt;N4*60%,N4*60%,IF(M4&gt;N4*300%,N4*300%,M4))/N4</f>
        <v>0.95558373302460631</v>
      </c>
      <c r="T4" s="15">
        <f>SUM($S$3:S4)/L4</f>
        <v>0.9463954278993697</v>
      </c>
    </row>
    <row r="5" spans="1:20" x14ac:dyDescent="0.15">
      <c r="A5" s="19" t="s">
        <v>85</v>
      </c>
      <c r="B5" s="37">
        <v>10670</v>
      </c>
      <c r="C5" s="20" t="s">
        <v>50</v>
      </c>
      <c r="E5" s="3">
        <v>3</v>
      </c>
      <c r="F5" s="5" t="s">
        <v>8</v>
      </c>
      <c r="G5" s="10">
        <v>9561</v>
      </c>
      <c r="H5" s="4">
        <v>22</v>
      </c>
      <c r="I5" s="5" t="s">
        <v>9</v>
      </c>
      <c r="J5" s="10">
        <v>7081</v>
      </c>
      <c r="L5" s="28">
        <v>3</v>
      </c>
      <c r="M5" s="15">
        <f>M4*(1+$B$8%)</f>
        <v>129792</v>
      </c>
      <c r="N5" s="15">
        <f>N4*(1+$B$9%)</f>
        <v>133212.81599999999</v>
      </c>
      <c r="O5" s="15">
        <f t="shared" si="0"/>
        <v>10383.36</v>
      </c>
      <c r="P5" s="15">
        <f>M5*$B$11%</f>
        <v>25958.400000000001</v>
      </c>
      <c r="Q5" s="15">
        <f>SUM(O$3:$O5)</f>
        <v>29967.360000000001</v>
      </c>
      <c r="R5" s="15">
        <f>SUM($P$3:P5)</f>
        <v>74918.399999999994</v>
      </c>
      <c r="S5" s="15">
        <f t="shared" si="1"/>
        <v>0.97432066896626524</v>
      </c>
      <c r="T5" s="15">
        <f>SUM($S$3:S5)/L5</f>
        <v>0.95570384158833488</v>
      </c>
    </row>
    <row r="6" spans="1:20" x14ac:dyDescent="0.15">
      <c r="A6" s="19" t="s">
        <v>51</v>
      </c>
      <c r="B6" s="38">
        <v>25</v>
      </c>
      <c r="C6" s="20" t="s">
        <v>52</v>
      </c>
      <c r="E6" s="3">
        <v>4</v>
      </c>
      <c r="F6" s="5" t="s">
        <v>10</v>
      </c>
      <c r="G6" s="10">
        <v>8798</v>
      </c>
      <c r="H6" s="4">
        <v>23</v>
      </c>
      <c r="I6" s="5" t="s">
        <v>11</v>
      </c>
      <c r="J6" s="10">
        <v>7065</v>
      </c>
      <c r="L6" s="28">
        <v>4</v>
      </c>
      <c r="M6" s="15">
        <f>M5*(1+$B$8%)</f>
        <v>134983.67999999999</v>
      </c>
      <c r="N6" s="15">
        <f>N5*(1+$B$9%)</f>
        <v>135877.07232000001</v>
      </c>
      <c r="O6" s="15">
        <f t="shared" si="0"/>
        <v>10798.6944</v>
      </c>
      <c r="P6" s="15">
        <f>M6*$B$11%</f>
        <v>26996.736000000001</v>
      </c>
      <c r="Q6" s="15">
        <f>SUM(O$3:$O6)</f>
        <v>40766.054400000001</v>
      </c>
      <c r="R6" s="15">
        <f>SUM($P$3:P6)</f>
        <v>101915.136</v>
      </c>
      <c r="S6" s="15">
        <f t="shared" si="1"/>
        <v>0.99342499580874088</v>
      </c>
      <c r="T6" s="15">
        <f>SUM($S$3:S6)/L6</f>
        <v>0.96513413014343641</v>
      </c>
    </row>
    <row r="7" spans="1:20" ht="14.25" thickBot="1" x14ac:dyDescent="0.2">
      <c r="A7" s="19" t="s">
        <v>83</v>
      </c>
      <c r="B7" s="39">
        <v>10000</v>
      </c>
      <c r="C7" s="20" t="s">
        <v>53</v>
      </c>
      <c r="E7" s="3">
        <v>5</v>
      </c>
      <c r="F7" s="5" t="s">
        <v>12</v>
      </c>
      <c r="G7" s="10">
        <v>8281</v>
      </c>
      <c r="H7" s="4">
        <v>24</v>
      </c>
      <c r="I7" s="5" t="s">
        <v>13</v>
      </c>
      <c r="J7" s="10">
        <v>7027</v>
      </c>
      <c r="L7" s="28">
        <v>5</v>
      </c>
      <c r="M7" s="15">
        <f>M6*(1+$B$8%)</f>
        <v>140383.02720000001</v>
      </c>
      <c r="N7" s="15">
        <f>N6*(1+$B$9%)</f>
        <v>138594.6137664</v>
      </c>
      <c r="O7" s="15">
        <f t="shared" si="0"/>
        <v>11230.642176000001</v>
      </c>
      <c r="P7" s="15">
        <f>M7*$B$11%</f>
        <v>28076.605440000003</v>
      </c>
      <c r="Q7" s="15">
        <f>SUM(O$3:$O7)</f>
        <v>51996.696576000002</v>
      </c>
      <c r="R7" s="15">
        <f>SUM($P$3:P7)</f>
        <v>129991.74144</v>
      </c>
      <c r="S7" s="15">
        <f t="shared" si="1"/>
        <v>1.012903917295187</v>
      </c>
      <c r="T7" s="15">
        <f>SUM($S$3:S7)/L7</f>
        <v>0.97468808757378655</v>
      </c>
    </row>
    <row r="8" spans="1:20" x14ac:dyDescent="0.15">
      <c r="A8" s="2" t="s">
        <v>55</v>
      </c>
      <c r="B8" s="17">
        <v>4</v>
      </c>
      <c r="C8" s="2" t="s">
        <v>56</v>
      </c>
      <c r="E8" s="3">
        <v>6</v>
      </c>
      <c r="F8" s="5" t="s">
        <v>14</v>
      </c>
      <c r="G8" s="10">
        <v>7892</v>
      </c>
      <c r="H8" s="4">
        <v>25</v>
      </c>
      <c r="I8" s="5" t="s">
        <v>15</v>
      </c>
      <c r="J8" s="10">
        <v>6974</v>
      </c>
      <c r="L8" s="28">
        <v>6</v>
      </c>
      <c r="M8" s="15">
        <f>M7*(1+$B$8%)</f>
        <v>145998.34828800001</v>
      </c>
      <c r="N8" s="15">
        <f>N7*(1+$B$9%)</f>
        <v>141366.50604172799</v>
      </c>
      <c r="O8" s="15">
        <f t="shared" si="0"/>
        <v>11679.867863040001</v>
      </c>
      <c r="P8" s="15">
        <f>M8*$B$11%</f>
        <v>29199.669657600003</v>
      </c>
      <c r="Q8" s="15">
        <f>SUM(O$3:$O8)</f>
        <v>63676.564439040005</v>
      </c>
      <c r="R8" s="15">
        <f>SUM($P$3:P8)</f>
        <v>159191.41109760001</v>
      </c>
      <c r="S8" s="15">
        <f t="shared" si="1"/>
        <v>1.032764778418622</v>
      </c>
      <c r="T8" s="15">
        <f>SUM($S$3:S8)/L8</f>
        <v>0.98436753604792582</v>
      </c>
    </row>
    <row r="9" spans="1:20" x14ac:dyDescent="0.15">
      <c r="A9" s="2" t="s">
        <v>82</v>
      </c>
      <c r="B9" s="21">
        <v>2</v>
      </c>
      <c r="C9" s="2" t="s">
        <v>54</v>
      </c>
      <c r="E9" s="3">
        <v>7</v>
      </c>
      <c r="F9" s="5" t="s">
        <v>16</v>
      </c>
      <c r="G9" s="10">
        <v>7825</v>
      </c>
      <c r="H9" s="4">
        <v>26</v>
      </c>
      <c r="I9" s="5" t="s">
        <v>17</v>
      </c>
      <c r="J9" s="10">
        <v>6920</v>
      </c>
      <c r="L9" s="28">
        <v>7</v>
      </c>
      <c r="M9" s="15">
        <f>M8*(1+$B$8%)</f>
        <v>151838.28221952001</v>
      </c>
      <c r="N9" s="15">
        <f>N8*(1+$B$9%)</f>
        <v>144193.83616256254</v>
      </c>
      <c r="O9" s="15">
        <f t="shared" si="0"/>
        <v>12147.062577561601</v>
      </c>
      <c r="P9" s="15">
        <f>M9*$B$11%</f>
        <v>30367.656443904005</v>
      </c>
      <c r="Q9" s="15">
        <f>SUM(O$3:$O9)</f>
        <v>75823.627016601604</v>
      </c>
      <c r="R9" s="15">
        <f>SUM($P$3:P9)</f>
        <v>189559.06754150402</v>
      </c>
      <c r="S9" s="15">
        <f t="shared" si="1"/>
        <v>1.0530150681915365</v>
      </c>
      <c r="T9" s="15">
        <f>SUM($S$3:S9)/L9</f>
        <v>0.99417432635415592</v>
      </c>
    </row>
    <row r="10" spans="1:20" x14ac:dyDescent="0.15">
      <c r="A10" s="2" t="s">
        <v>57</v>
      </c>
      <c r="B10" s="15">
        <v>8</v>
      </c>
      <c r="C10" s="2" t="s">
        <v>56</v>
      </c>
      <c r="E10" s="3">
        <v>8</v>
      </c>
      <c r="F10" s="5" t="s">
        <v>18</v>
      </c>
      <c r="G10" s="10">
        <v>7770</v>
      </c>
      <c r="H10" s="4">
        <v>27</v>
      </c>
      <c r="I10" s="5" t="s">
        <v>19</v>
      </c>
      <c r="J10" s="10">
        <v>6903</v>
      </c>
      <c r="L10" s="28">
        <v>8</v>
      </c>
      <c r="M10" s="15">
        <f>M9*(1+$B$8%)</f>
        <v>157911.81350830081</v>
      </c>
      <c r="N10" s="15">
        <f>N9*(1+$B$9%)</f>
        <v>147077.71288581379</v>
      </c>
      <c r="O10" s="15">
        <f t="shared" si="0"/>
        <v>12632.945080664065</v>
      </c>
      <c r="P10" s="15">
        <f>M10*$B$11%</f>
        <v>31582.362701660164</v>
      </c>
      <c r="Q10" s="15">
        <f>SUM(O$3:$O10)</f>
        <v>88456.572097265671</v>
      </c>
      <c r="R10" s="15">
        <f>SUM($P$3:P10)</f>
        <v>221141.43024316418</v>
      </c>
      <c r="S10" s="15">
        <f t="shared" si="1"/>
        <v>1.0736624224698017</v>
      </c>
      <c r="T10" s="15">
        <f>SUM($S$3:S10)/L10</f>
        <v>1.0041103383686116</v>
      </c>
    </row>
    <row r="11" spans="1:20" x14ac:dyDescent="0.15">
      <c r="A11" s="2" t="s">
        <v>58</v>
      </c>
      <c r="B11" s="15">
        <v>20</v>
      </c>
      <c r="C11" s="2" t="s">
        <v>54</v>
      </c>
      <c r="E11" s="3">
        <v>9</v>
      </c>
      <c r="F11" s="5" t="s">
        <v>20</v>
      </c>
      <c r="G11" s="10">
        <v>7750</v>
      </c>
      <c r="H11" s="4">
        <v>28</v>
      </c>
      <c r="I11" s="5" t="s">
        <v>21</v>
      </c>
      <c r="J11" s="10">
        <v>6884</v>
      </c>
      <c r="L11" s="28">
        <v>9</v>
      </c>
      <c r="M11" s="15">
        <f>M10*(1+$B$8%)</f>
        <v>164228.28604863284</v>
      </c>
      <c r="N11" s="15">
        <f>N10*(1+$B$9%)</f>
        <v>150019.26714353007</v>
      </c>
      <c r="O11" s="15">
        <f t="shared" si="0"/>
        <v>13138.262883890628</v>
      </c>
      <c r="P11" s="15">
        <f>M11*$B$11%</f>
        <v>32845.657209726567</v>
      </c>
      <c r="Q11" s="15">
        <f>SUM(O$3:$O11)</f>
        <v>101594.83498115629</v>
      </c>
      <c r="R11" s="15">
        <f>SUM($P$3:P11)</f>
        <v>253987.08745289076</v>
      </c>
      <c r="S11" s="15">
        <f t="shared" si="1"/>
        <v>1.0947146268319548</v>
      </c>
      <c r="T11" s="15">
        <f>SUM($S$3:S11)/L11</f>
        <v>1.0141774815312052</v>
      </c>
    </row>
    <row r="12" spans="1:20" x14ac:dyDescent="0.15">
      <c r="A12" s="2" t="s">
        <v>59</v>
      </c>
      <c r="B12" s="15">
        <v>70</v>
      </c>
      <c r="C12" s="2" t="s">
        <v>60</v>
      </c>
      <c r="E12" s="3">
        <v>10</v>
      </c>
      <c r="F12" s="5" t="s">
        <v>22</v>
      </c>
      <c r="G12" s="10">
        <v>7723</v>
      </c>
      <c r="H12" s="4">
        <v>29</v>
      </c>
      <c r="I12" s="5" t="s">
        <v>23</v>
      </c>
      <c r="J12" s="10">
        <v>6654</v>
      </c>
      <c r="L12" s="28">
        <v>10</v>
      </c>
      <c r="M12" s="15">
        <f>M11*(1+$B$8%)</f>
        <v>170797.41749057817</v>
      </c>
      <c r="N12" s="15">
        <f>N11*(1+$B$9%)</f>
        <v>153019.65248640068</v>
      </c>
      <c r="O12" s="15">
        <f>IF(M12&lt;N12*60%,N12*60%*8%,IF(M12&gt;N12*300%,N12*300%*8%,M12*8%))</f>
        <v>13663.793399246253</v>
      </c>
      <c r="P12" s="15">
        <f>M12*$B$11%</f>
        <v>34159.483498115638</v>
      </c>
      <c r="Q12" s="15">
        <f>SUM(O$3:$O12)</f>
        <v>115258.62838040254</v>
      </c>
      <c r="R12" s="15">
        <f>SUM($P$3:P12)</f>
        <v>288146.57095100638</v>
      </c>
      <c r="S12" s="15">
        <f t="shared" si="1"/>
        <v>1.1161796195149343</v>
      </c>
      <c r="T12" s="15">
        <f>SUM($S$3:S12)/L12</f>
        <v>1.0243776953295782</v>
      </c>
    </row>
    <row r="13" spans="1:20" x14ac:dyDescent="0.15">
      <c r="A13" s="2" t="s">
        <v>61</v>
      </c>
      <c r="B13" s="15">
        <v>75</v>
      </c>
      <c r="C13" s="2" t="s">
        <v>62</v>
      </c>
      <c r="E13" s="3">
        <v>11</v>
      </c>
      <c r="F13" s="5" t="s">
        <v>24</v>
      </c>
      <c r="G13" s="10">
        <v>7635</v>
      </c>
      <c r="H13" s="4">
        <v>30</v>
      </c>
      <c r="I13" s="5" t="s">
        <v>25</v>
      </c>
      <c r="J13" s="10">
        <v>6648</v>
      </c>
      <c r="L13" s="28">
        <v>11</v>
      </c>
      <c r="M13" s="15">
        <f>M12*(1+$B$8%)</f>
        <v>177629.31419020132</v>
      </c>
      <c r="N13" s="15">
        <f>N12*(1+$B$9%)</f>
        <v>156080.04553612869</v>
      </c>
      <c r="O13" s="15">
        <f t="shared" si="0"/>
        <v>14210.345135216106</v>
      </c>
      <c r="P13" s="15">
        <f>M13*$B$11%</f>
        <v>35525.862838040266</v>
      </c>
      <c r="Q13" s="15">
        <f>SUM(O$3:$O13)</f>
        <v>129468.97351561865</v>
      </c>
      <c r="R13" s="15">
        <f>SUM($P$3:P13)</f>
        <v>323672.43378904666</v>
      </c>
      <c r="S13" s="15">
        <f t="shared" si="1"/>
        <v>1.138065494407384</v>
      </c>
      <c r="T13" s="15">
        <f>SUM($S$3:S13)/L13</f>
        <v>1.0347129497911969</v>
      </c>
    </row>
    <row r="14" spans="1:20" x14ac:dyDescent="0.15">
      <c r="A14" s="2" t="s">
        <v>63</v>
      </c>
      <c r="B14" s="15">
        <v>4</v>
      </c>
      <c r="C14" s="2" t="s">
        <v>64</v>
      </c>
      <c r="E14" s="3">
        <v>12</v>
      </c>
      <c r="F14" s="5" t="s">
        <v>26</v>
      </c>
      <c r="G14" s="10">
        <v>7424</v>
      </c>
      <c r="H14" s="4">
        <v>31</v>
      </c>
      <c r="I14" s="5" t="s">
        <v>27</v>
      </c>
      <c r="J14" s="10">
        <v>6608</v>
      </c>
      <c r="L14" s="28">
        <v>12</v>
      </c>
      <c r="M14" s="15">
        <f>M13*(1+$B$8%)</f>
        <v>184734.48675780938</v>
      </c>
      <c r="N14" s="15">
        <f>N13*(1+$B$9%)</f>
        <v>159201.64644685126</v>
      </c>
      <c r="O14" s="15">
        <f t="shared" si="0"/>
        <v>14778.758940624752</v>
      </c>
      <c r="P14" s="15">
        <f>M14*$B$11%</f>
        <v>36946.897351561878</v>
      </c>
      <c r="Q14" s="15">
        <f>SUM(O$3:$O14)</f>
        <v>144247.73245624339</v>
      </c>
      <c r="R14" s="15">
        <f>SUM($P$3:P14)</f>
        <v>360619.33114060853</v>
      </c>
      <c r="S14" s="15">
        <f t="shared" si="1"/>
        <v>1.1603805041016466</v>
      </c>
      <c r="T14" s="15">
        <f>SUM($S$3:S14)/L14</f>
        <v>1.0451852459837345</v>
      </c>
    </row>
    <row r="15" spans="1:20" x14ac:dyDescent="0.15">
      <c r="A15" s="1"/>
      <c r="B15" s="1"/>
      <c r="C15" s="1"/>
      <c r="E15" s="3">
        <v>13</v>
      </c>
      <c r="F15" s="5" t="s">
        <v>28</v>
      </c>
      <c r="G15" s="10">
        <v>7373</v>
      </c>
      <c r="H15" s="4">
        <v>32</v>
      </c>
      <c r="I15" s="5" t="s">
        <v>29</v>
      </c>
      <c r="J15" s="10">
        <v>6580</v>
      </c>
      <c r="L15" s="28">
        <v>13</v>
      </c>
      <c r="M15" s="15">
        <f>M14*(1+$B$8%)</f>
        <v>192123.86622812177</v>
      </c>
      <c r="N15" s="15">
        <f>N14*(1+$B$9%)</f>
        <v>162385.67937578828</v>
      </c>
      <c r="O15" s="15">
        <f t="shared" si="0"/>
        <v>15369.909298249742</v>
      </c>
      <c r="P15" s="15">
        <f>M15*$B$11%</f>
        <v>38424.773245624354</v>
      </c>
      <c r="Q15" s="15">
        <f>SUM(O$3:$O15)</f>
        <v>159617.64175449315</v>
      </c>
      <c r="R15" s="15">
        <f>SUM($P$3:P15)</f>
        <v>399044.10438623291</v>
      </c>
      <c r="S15" s="15">
        <f t="shared" si="1"/>
        <v>1.1831330630056005</v>
      </c>
      <c r="T15" s="15">
        <f>SUM($S$3:S15)/L15</f>
        <v>1.0557966165238779</v>
      </c>
    </row>
    <row r="16" spans="1:20" x14ac:dyDescent="0.15">
      <c r="A16" s="8" t="s">
        <v>68</v>
      </c>
      <c r="B16" s="8"/>
      <c r="C16" s="8"/>
      <c r="E16" s="3">
        <v>14</v>
      </c>
      <c r="F16" s="5" t="s">
        <v>30</v>
      </c>
      <c r="G16" s="10">
        <v>7367</v>
      </c>
      <c r="H16" s="4">
        <v>33</v>
      </c>
      <c r="I16" s="5" t="s">
        <v>31</v>
      </c>
      <c r="J16" s="10">
        <v>6477</v>
      </c>
      <c r="L16" s="28">
        <v>14</v>
      </c>
      <c r="M16" s="15">
        <f>M15*(1+$B$8%)</f>
        <v>199808.82087724665</v>
      </c>
      <c r="N16" s="15">
        <f>N15*(1+$B$9%)</f>
        <v>165633.39296330404</v>
      </c>
      <c r="O16" s="15">
        <f t="shared" si="0"/>
        <v>15984.705670179732</v>
      </c>
      <c r="P16" s="15">
        <f>M16*$B$11%</f>
        <v>39961.764175449331</v>
      </c>
      <c r="Q16" s="15">
        <f>SUM(O$3:$O16)</f>
        <v>175602.34742467289</v>
      </c>
      <c r="R16" s="15">
        <f>SUM($P$3:P16)</f>
        <v>439005.86856168223</v>
      </c>
      <c r="S16" s="15">
        <f t="shared" si="1"/>
        <v>1.2063317505155144</v>
      </c>
      <c r="T16" s="15">
        <f>SUM($S$3:S16)/L16</f>
        <v>1.0665491260947093</v>
      </c>
    </row>
    <row r="17" spans="1:20" x14ac:dyDescent="0.15">
      <c r="A17" s="2" t="s">
        <v>69</v>
      </c>
      <c r="B17" s="22">
        <f>VLOOKUP(B6,L2:R42,6,FALSE)</f>
        <v>399800.71955698088</v>
      </c>
      <c r="C17" s="2" t="s">
        <v>66</v>
      </c>
      <c r="E17" s="3">
        <v>15</v>
      </c>
      <c r="F17" s="5" t="s">
        <v>32</v>
      </c>
      <c r="G17" s="10">
        <v>7267</v>
      </c>
      <c r="H17" s="4">
        <v>34</v>
      </c>
      <c r="I17" s="5" t="s">
        <v>33</v>
      </c>
      <c r="J17" s="10">
        <v>6357</v>
      </c>
      <c r="L17" s="28">
        <v>15</v>
      </c>
      <c r="M17" s="15">
        <f>M16*(1+$B$8%)</f>
        <v>207801.17371233652</v>
      </c>
      <c r="N17" s="15">
        <f>N16*(1+$B$9%)</f>
        <v>168946.06082257011</v>
      </c>
      <c r="O17" s="15">
        <f t="shared" si="0"/>
        <v>16624.09389698692</v>
      </c>
      <c r="P17" s="15">
        <f>M17*$B$11%</f>
        <v>41560.234742467306</v>
      </c>
      <c r="Q17" s="15">
        <f>SUM(O$3:$O17)</f>
        <v>192226.4413216598</v>
      </c>
      <c r="R17" s="15">
        <f>SUM($P$3:P17)</f>
        <v>480566.10330414952</v>
      </c>
      <c r="S17" s="15">
        <f t="shared" si="1"/>
        <v>1.2299853142511128</v>
      </c>
      <c r="T17" s="15">
        <f>SUM($S$3:S17)/L17</f>
        <v>1.0774448719718028</v>
      </c>
    </row>
    <row r="18" spans="1:20" x14ac:dyDescent="0.15">
      <c r="A18" s="2" t="s">
        <v>70</v>
      </c>
      <c r="B18" s="22">
        <f>ROUND(12*((1-(1+B14%)^-(B13-B12))/B14%)*(1+B14%),0)</f>
        <v>56</v>
      </c>
      <c r="C18" s="2" t="s">
        <v>71</v>
      </c>
      <c r="E18" s="3">
        <v>16</v>
      </c>
      <c r="F18" s="5" t="s">
        <v>34</v>
      </c>
      <c r="G18" s="10">
        <v>7230</v>
      </c>
      <c r="H18" s="4">
        <v>35</v>
      </c>
      <c r="I18" s="5" t="s">
        <v>35</v>
      </c>
      <c r="J18" s="10">
        <v>6224</v>
      </c>
      <c r="L18" s="28">
        <v>16</v>
      </c>
      <c r="M18" s="15">
        <f>M17*(1+$B$8%)</f>
        <v>216113.22066082997</v>
      </c>
      <c r="N18" s="15">
        <f>N17*(1+$B$9%)</f>
        <v>172324.98203902153</v>
      </c>
      <c r="O18" s="15">
        <f t="shared" si="0"/>
        <v>17289.057652866399</v>
      </c>
      <c r="P18" s="15">
        <f>M18*$B$11%</f>
        <v>43222.644132165995</v>
      </c>
      <c r="Q18" s="15">
        <f>SUM(O$3:$O18)</f>
        <v>209515.49897452621</v>
      </c>
      <c r="R18" s="15">
        <f>SUM($P$3:P18)</f>
        <v>523788.74743631552</v>
      </c>
      <c r="S18" s="15">
        <f t="shared" si="1"/>
        <v>1.2541026733540757</v>
      </c>
      <c r="T18" s="15">
        <f>SUM($S$3:S18)/L18</f>
        <v>1.0884859845581949</v>
      </c>
    </row>
    <row r="19" spans="1:20" x14ac:dyDescent="0.15">
      <c r="A19" s="2" t="s">
        <v>65</v>
      </c>
      <c r="B19" s="22">
        <f>VLOOKUP(B6,L2:R42,7,FALSE)</f>
        <v>999501.79889245238</v>
      </c>
      <c r="C19" s="2" t="s">
        <v>66</v>
      </c>
      <c r="E19" s="3">
        <v>17</v>
      </c>
      <c r="F19" s="5" t="s">
        <v>36</v>
      </c>
      <c r="G19" s="10">
        <v>7206</v>
      </c>
      <c r="H19" s="4">
        <v>36</v>
      </c>
      <c r="I19" s="5" t="s">
        <v>37</v>
      </c>
      <c r="J19" s="10">
        <v>6186</v>
      </c>
      <c r="L19" s="28">
        <v>17</v>
      </c>
      <c r="M19" s="15">
        <f>M18*(1+$B$8%)</f>
        <v>224757.74948726318</v>
      </c>
      <c r="N19" s="15">
        <f>N18*(1+$B$9%)</f>
        <v>175771.48167980197</v>
      </c>
      <c r="O19" s="15">
        <f t="shared" si="0"/>
        <v>17980.619958981053</v>
      </c>
      <c r="P19" s="15">
        <f>M19*$B$11%</f>
        <v>44951.549897452642</v>
      </c>
      <c r="Q19" s="15">
        <f>SUM(O$3:$O19)</f>
        <v>227496.11893350727</v>
      </c>
      <c r="R19" s="15">
        <f>SUM($P$3:P19)</f>
        <v>568740.2973337681</v>
      </c>
      <c r="S19" s="15">
        <f t="shared" si="1"/>
        <v>1.2786929218512144</v>
      </c>
      <c r="T19" s="15">
        <f>SUM($S$3:S19)/L19</f>
        <v>1.0996746279283725</v>
      </c>
    </row>
    <row r="20" spans="1:20" ht="14.25" thickBot="1" x14ac:dyDescent="0.2">
      <c r="A20" s="2" t="s">
        <v>67</v>
      </c>
      <c r="B20" s="22">
        <f>VLOOKUP(B6,L2:R42,6,FALSE)</f>
        <v>399800.71955698088</v>
      </c>
      <c r="C20" s="2" t="s">
        <v>66</v>
      </c>
      <c r="E20" s="3">
        <v>18</v>
      </c>
      <c r="F20" s="5" t="s">
        <v>38</v>
      </c>
      <c r="G20" s="10">
        <v>7199</v>
      </c>
      <c r="H20" s="4">
        <v>37</v>
      </c>
      <c r="I20" s="5" t="s">
        <v>39</v>
      </c>
      <c r="J20" s="11">
        <v>6138</v>
      </c>
      <c r="L20" s="28">
        <v>18</v>
      </c>
      <c r="M20" s="15">
        <f>M19*(1+$B$8%)</f>
        <v>233748.05946675371</v>
      </c>
      <c r="N20" s="15">
        <f>N19*(1+$B$9%)</f>
        <v>179286.91131339801</v>
      </c>
      <c r="O20" s="15">
        <f t="shared" si="0"/>
        <v>18699.844757340295</v>
      </c>
      <c r="P20" s="15">
        <f>M20*$B$11%</f>
        <v>46749.611893350746</v>
      </c>
      <c r="Q20" s="15">
        <f>SUM(O$3:$O20)</f>
        <v>246195.96369084757</v>
      </c>
      <c r="R20" s="15">
        <f>SUM($P$3:P20)</f>
        <v>615489.90922711883</v>
      </c>
      <c r="S20" s="15">
        <f t="shared" si="1"/>
        <v>1.3037653320835911</v>
      </c>
      <c r="T20" s="15">
        <f>SUM($S$3:S20)/L20</f>
        <v>1.11101300038144</v>
      </c>
    </row>
    <row r="21" spans="1:20" ht="14.25" thickBot="1" x14ac:dyDescent="0.2">
      <c r="A21" s="2" t="s">
        <v>72</v>
      </c>
      <c r="B21" s="22">
        <f>B17/B18</f>
        <v>7139.2985635175155</v>
      </c>
      <c r="C21" s="2" t="s">
        <v>73</v>
      </c>
      <c r="E21" s="3">
        <v>19</v>
      </c>
      <c r="F21" s="5" t="s">
        <v>40</v>
      </c>
      <c r="G21" s="11">
        <v>7132</v>
      </c>
      <c r="H21" s="34" t="s">
        <v>88</v>
      </c>
      <c r="I21" s="35"/>
      <c r="J21" s="36"/>
      <c r="L21" s="28">
        <v>19</v>
      </c>
      <c r="M21" s="15">
        <f>M20*(1+$B$8%)</f>
        <v>243097.98184542387</v>
      </c>
      <c r="N21" s="15">
        <f>N20*(1+$B$9%)</f>
        <v>182872.64953966599</v>
      </c>
      <c r="O21" s="15">
        <f t="shared" si="0"/>
        <v>19447.83854763391</v>
      </c>
      <c r="P21" s="15">
        <f>M21*$B$11%</f>
        <v>48619.596369084778</v>
      </c>
      <c r="Q21" s="15">
        <f>SUM(O$3:$O21)</f>
        <v>265643.80223848147</v>
      </c>
      <c r="R21" s="15">
        <f>SUM($P$3:P21)</f>
        <v>664109.50559620361</v>
      </c>
      <c r="S21" s="15">
        <f t="shared" si="1"/>
        <v>1.3293293582028771</v>
      </c>
      <c r="T21" s="15">
        <f>SUM($S$3:S21)/L21</f>
        <v>1.1225033350036209</v>
      </c>
    </row>
    <row r="22" spans="1:20" ht="14.25" thickBot="1" x14ac:dyDescent="0.2">
      <c r="A22" s="2" t="s">
        <v>74</v>
      </c>
      <c r="B22" s="23">
        <f>VLOOKUP(B6-1,L2:T42,3,FALSE)/12*(1+VLOOKUP(B6-1,L2:T42,9,FALSE))/2*B6*1%</f>
        <v>4589.8219858458115</v>
      </c>
      <c r="C22" s="2" t="s">
        <v>73</v>
      </c>
      <c r="L22" s="28">
        <v>20</v>
      </c>
      <c r="M22" s="15">
        <f>M21*(1+$B$8%)</f>
        <v>252821.90111924082</v>
      </c>
      <c r="N22" s="15">
        <f>N21*(1+$B$9%)</f>
        <v>186530.10253045932</v>
      </c>
      <c r="O22" s="15">
        <f t="shared" si="0"/>
        <v>20225.752089539266</v>
      </c>
      <c r="P22" s="15">
        <f>M22*$B$11%</f>
        <v>50564.380223848166</v>
      </c>
      <c r="Q22" s="15">
        <f>SUM(O$3:$O22)</f>
        <v>285869.55432802072</v>
      </c>
      <c r="R22" s="15">
        <f>SUM($P$3:P22)</f>
        <v>714673.88582005177</v>
      </c>
      <c r="S22" s="15">
        <f t="shared" si="1"/>
        <v>1.3553946397362668</v>
      </c>
      <c r="T22" s="15">
        <f>SUM($S$3:S22)/L22</f>
        <v>1.1341479002402532</v>
      </c>
    </row>
    <row r="23" spans="1:20" ht="18.75" x14ac:dyDescent="0.15">
      <c r="A23" s="19" t="s">
        <v>75</v>
      </c>
      <c r="B23" s="24">
        <f>B21+B22</f>
        <v>11729.120549363328</v>
      </c>
      <c r="C23" s="20" t="s">
        <v>76</v>
      </c>
      <c r="L23" s="28">
        <v>21</v>
      </c>
      <c r="M23" s="15">
        <f>M22*(1+$B$8%)</f>
        <v>262934.77716401045</v>
      </c>
      <c r="N23" s="15">
        <f>N22*(1+$B$9%)</f>
        <v>190260.70458106851</v>
      </c>
      <c r="O23" s="15">
        <f t="shared" si="0"/>
        <v>21034.782173120835</v>
      </c>
      <c r="P23" s="15">
        <f>M23*$B$11%</f>
        <v>52586.955432802089</v>
      </c>
      <c r="Q23" s="15">
        <f>SUM(O$3:$O23)</f>
        <v>306904.33650114154</v>
      </c>
      <c r="R23" s="15">
        <f>SUM($P$3:P23)</f>
        <v>767260.84125285386</v>
      </c>
      <c r="S23" s="15">
        <f t="shared" si="1"/>
        <v>1.3819710052212917</v>
      </c>
      <c r="T23" s="15">
        <f>SUM($S$3:S23)/L23</f>
        <v>1.1459490004774455</v>
      </c>
    </row>
    <row r="24" spans="1:20" ht="19.5" thickBot="1" x14ac:dyDescent="0.2">
      <c r="A24" s="19" t="s">
        <v>77</v>
      </c>
      <c r="B24" s="25">
        <f>B23*12</f>
        <v>140749.44659235992</v>
      </c>
      <c r="C24" s="20" t="s">
        <v>78</v>
      </c>
      <c r="L24" s="28">
        <v>22</v>
      </c>
      <c r="M24" s="15">
        <f>M23*(1+$B$8%)</f>
        <v>273452.16825057089</v>
      </c>
      <c r="N24" s="15">
        <f>N23*(1+$B$9%)</f>
        <v>194065.91867268988</v>
      </c>
      <c r="O24" s="15">
        <f t="shared" si="0"/>
        <v>21876.173460045673</v>
      </c>
      <c r="P24" s="15">
        <f>M24*$B$11%</f>
        <v>54690.433650114181</v>
      </c>
      <c r="Q24" s="15">
        <f>SUM(O$3:$O24)</f>
        <v>328780.5099611872</v>
      </c>
      <c r="R24" s="15">
        <f>SUM($P$3:P24)</f>
        <v>821951.27490296809</v>
      </c>
      <c r="S24" s="15">
        <f t="shared" si="1"/>
        <v>1.4090684759119052</v>
      </c>
      <c r="T24" s="15">
        <f>SUM($S$3:S24)/L24</f>
        <v>1.1579089766335573</v>
      </c>
    </row>
    <row r="25" spans="1:20" x14ac:dyDescent="0.15">
      <c r="L25" s="28">
        <v>23</v>
      </c>
      <c r="M25" s="15">
        <f>M24*(1+$B$8%)</f>
        <v>284390.25498059375</v>
      </c>
      <c r="N25" s="15">
        <f>N24*(1+$B$9%)</f>
        <v>197947.23704614368</v>
      </c>
      <c r="O25" s="15">
        <f t="shared" si="0"/>
        <v>22751.220398447502</v>
      </c>
      <c r="P25" s="15">
        <f>M25*$B$11%</f>
        <v>56878.050996118749</v>
      </c>
      <c r="Q25" s="15">
        <f>SUM(O$3:$O25)</f>
        <v>351531.73035963468</v>
      </c>
      <c r="R25" s="15">
        <f>SUM($P$3:P25)</f>
        <v>878829.32589908689</v>
      </c>
      <c r="S25" s="15">
        <f t="shared" si="1"/>
        <v>1.4366972695572369</v>
      </c>
      <c r="T25" s="15">
        <f>SUM($S$3:S25)/L25</f>
        <v>1.1700302067606738</v>
      </c>
    </row>
    <row r="26" spans="1:20" x14ac:dyDescent="0.15">
      <c r="A26" s="32" t="s">
        <v>87</v>
      </c>
      <c r="B26" s="33"/>
      <c r="C26" s="33"/>
      <c r="L26" s="28">
        <v>24</v>
      </c>
      <c r="M26" s="15">
        <f>M25*(1+$B$8%)</f>
        <v>295765.86517981748</v>
      </c>
      <c r="N26" s="15">
        <f>N25*(1+$B$9%)</f>
        <v>201906.18178706657</v>
      </c>
      <c r="O26" s="15">
        <f t="shared" si="0"/>
        <v>23661.2692143854</v>
      </c>
      <c r="P26" s="15">
        <f>M26*$B$11%</f>
        <v>59153.173035963497</v>
      </c>
      <c r="Q26" s="15">
        <f>SUM(O$3:$O26)</f>
        <v>375192.9995740201</v>
      </c>
      <c r="R26" s="15">
        <f>SUM($P$3:P26)</f>
        <v>937982.49893505033</v>
      </c>
      <c r="S26" s="15">
        <f t="shared" si="1"/>
        <v>1.4648678042544374</v>
      </c>
      <c r="T26" s="15">
        <f>SUM($S$3:S26)/L26</f>
        <v>1.1823151066562474</v>
      </c>
    </row>
    <row r="27" spans="1:20" x14ac:dyDescent="0.15">
      <c r="A27" s="33"/>
      <c r="B27" s="33"/>
      <c r="C27" s="33"/>
      <c r="L27" s="28">
        <v>25</v>
      </c>
      <c r="M27" s="15">
        <f>M26*(1+$B$8%)</f>
        <v>307596.49978701019</v>
      </c>
      <c r="N27" s="15">
        <f>N26*(1+$B$9%)</f>
        <v>205944.3054228079</v>
      </c>
      <c r="O27" s="15">
        <f t="shared" si="0"/>
        <v>24607.719982960814</v>
      </c>
      <c r="P27" s="15">
        <f>M27*$B$11%</f>
        <v>61519.299957402043</v>
      </c>
      <c r="Q27" s="15">
        <f>SUM(O$3:$O27)</f>
        <v>399800.71955698088</v>
      </c>
      <c r="R27" s="15">
        <f>SUM($P$3:P27)</f>
        <v>999501.79889245238</v>
      </c>
      <c r="S27" s="15">
        <f t="shared" si="1"/>
        <v>1.4935907023770736</v>
      </c>
      <c r="T27" s="15">
        <f>SUM($S$3:S27)/L27</f>
        <v>1.1947661304850805</v>
      </c>
    </row>
    <row r="28" spans="1:20" x14ac:dyDescent="0.15">
      <c r="A28" s="33"/>
      <c r="B28" s="33"/>
      <c r="C28" s="33"/>
      <c r="L28" s="28">
        <v>26</v>
      </c>
      <c r="M28" s="15">
        <f>M27*(1+$B$8%)</f>
        <v>319900.35977849062</v>
      </c>
      <c r="N28" s="15">
        <f>N27*(1+$B$9%)</f>
        <v>210063.19153126405</v>
      </c>
      <c r="O28" s="15">
        <f t="shared" si="0"/>
        <v>25592.028782279249</v>
      </c>
      <c r="P28" s="15">
        <f>M28*$B$11%</f>
        <v>63980.071955698128</v>
      </c>
      <c r="Q28" s="15">
        <f>SUM(O$3:$O28)</f>
        <v>425392.74833926011</v>
      </c>
      <c r="R28" s="15">
        <f>SUM($P$3:P28)</f>
        <v>1063481.8708481505</v>
      </c>
      <c r="S28" s="15">
        <f t="shared" si="1"/>
        <v>1.5228767945805457</v>
      </c>
      <c r="T28" s="15">
        <f>SUM($S$3:S28)/L28</f>
        <v>1.2073857714118292</v>
      </c>
    </row>
    <row r="29" spans="1:20" x14ac:dyDescent="0.15">
      <c r="A29" s="33"/>
      <c r="B29" s="33"/>
      <c r="C29" s="33"/>
      <c r="L29" s="28">
        <v>27</v>
      </c>
      <c r="M29" s="15">
        <f>M28*(1+$B$8%)</f>
        <v>332696.37416963023</v>
      </c>
      <c r="N29" s="15">
        <f>N28*(1+$B$9%)</f>
        <v>214264.45536188933</v>
      </c>
      <c r="O29" s="15">
        <f t="shared" si="0"/>
        <v>26615.709933570419</v>
      </c>
      <c r="P29" s="15">
        <f>M29*$B$11%</f>
        <v>66539.274833926043</v>
      </c>
      <c r="Q29" s="15">
        <f>SUM(O$3:$O29)</f>
        <v>452008.45827283052</v>
      </c>
      <c r="R29" s="15">
        <f>SUM($P$3:P29)</f>
        <v>1130021.1456820765</v>
      </c>
      <c r="S29" s="15">
        <f t="shared" si="1"/>
        <v>1.5527371238860466</v>
      </c>
      <c r="T29" s="15">
        <f>SUM($S$3:S29)/L29</f>
        <v>1.2201765622442073</v>
      </c>
    </row>
    <row r="30" spans="1:20" x14ac:dyDescent="0.15">
      <c r="L30" s="28">
        <v>28</v>
      </c>
      <c r="M30" s="15">
        <f>M29*(1+$B$8%)</f>
        <v>346004.22913641547</v>
      </c>
      <c r="N30" s="15">
        <f>N29*(1+$B$9%)</f>
        <v>218549.74446912712</v>
      </c>
      <c r="O30" s="15">
        <f t="shared" si="0"/>
        <v>27680.338330913237</v>
      </c>
      <c r="P30" s="15">
        <f>M30*$B$11%</f>
        <v>69200.84582728309</v>
      </c>
      <c r="Q30" s="15">
        <f>SUM(O$3:$O30)</f>
        <v>479688.79660374374</v>
      </c>
      <c r="R30" s="15">
        <f>SUM($P$3:P30)</f>
        <v>1199221.9915093596</v>
      </c>
      <c r="S30" s="15">
        <f t="shared" si="1"/>
        <v>1.5831829498445964</v>
      </c>
      <c r="T30" s="15">
        <f>SUM($S$3:S30)/L30</f>
        <v>1.2331410760870785</v>
      </c>
    </row>
    <row r="31" spans="1:20" x14ac:dyDescent="0.15">
      <c r="L31" s="28">
        <v>29</v>
      </c>
      <c r="M31" s="15">
        <f>M30*(1+$B$8%)</f>
        <v>359844.39830187208</v>
      </c>
      <c r="N31" s="15">
        <f>N30*(1+$B$9%)</f>
        <v>222920.73935850966</v>
      </c>
      <c r="O31" s="15">
        <f t="shared" si="0"/>
        <v>28787.551864149766</v>
      </c>
      <c r="P31" s="15">
        <f>M31*$B$11%</f>
        <v>71968.879660374412</v>
      </c>
      <c r="Q31" s="15">
        <f>SUM(O$3:$O31)</f>
        <v>508476.34846789349</v>
      </c>
      <c r="R31" s="15">
        <f>SUM($P$3:P31)</f>
        <v>1271190.871169734</v>
      </c>
      <c r="S31" s="15">
        <f t="shared" si="1"/>
        <v>1.614225752782726</v>
      </c>
      <c r="T31" s="15">
        <f>SUM($S$3:S31)/L31</f>
        <v>1.246281927007618</v>
      </c>
    </row>
    <row r="32" spans="1:20" x14ac:dyDescent="0.15">
      <c r="L32" s="28">
        <v>30</v>
      </c>
      <c r="M32" s="15">
        <f>M31*(1+$B$8%)</f>
        <v>374238.17423394695</v>
      </c>
      <c r="N32" s="15">
        <f>N31*(1+$B$9%)</f>
        <v>227379.15414567984</v>
      </c>
      <c r="O32" s="15">
        <f t="shared" si="0"/>
        <v>29939.053938715755</v>
      </c>
      <c r="P32" s="15">
        <f>M32*$B$11%</f>
        <v>74847.634846789399</v>
      </c>
      <c r="Q32" s="15">
        <f>SUM(O$3:$O32)</f>
        <v>538415.40240660927</v>
      </c>
      <c r="R32" s="15">
        <f>SUM($P$3:P32)</f>
        <v>1346038.5060165233</v>
      </c>
      <c r="S32" s="15">
        <f t="shared" si="1"/>
        <v>1.6458772381314069</v>
      </c>
      <c r="T32" s="15">
        <f>SUM($S$3:S32)/L32</f>
        <v>1.2596017707117442</v>
      </c>
    </row>
    <row r="33" spans="11:20" x14ac:dyDescent="0.15">
      <c r="L33" s="28">
        <v>31</v>
      </c>
      <c r="M33" s="15">
        <f>M32*(1+$B$8%)</f>
        <v>389207.70120330487</v>
      </c>
      <c r="N33" s="15">
        <f>N32*(1+$B$9%)</f>
        <v>231926.73722859344</v>
      </c>
      <c r="O33" s="15">
        <f t="shared" si="0"/>
        <v>31136.616096264392</v>
      </c>
      <c r="P33" s="15">
        <f>M33*$B$11%</f>
        <v>77841.540240660979</v>
      </c>
      <c r="Q33" s="15">
        <f>SUM(O$3:$O33)</f>
        <v>569552.0185028736</v>
      </c>
      <c r="R33" s="15">
        <f>SUM($P$3:P33)</f>
        <v>1423880.0462571844</v>
      </c>
      <c r="S33" s="15">
        <f t="shared" si="1"/>
        <v>1.678149340839866</v>
      </c>
      <c r="T33" s="15">
        <f>SUM($S$3:S33)/L33</f>
        <v>1.2731033052320062</v>
      </c>
    </row>
    <row r="34" spans="11:20" x14ac:dyDescent="0.15">
      <c r="L34" s="28">
        <v>32</v>
      </c>
      <c r="M34" s="15">
        <f>M33*(1+$B$8%)</f>
        <v>404776.00925143709</v>
      </c>
      <c r="N34" s="15">
        <f>N33*(1+$B$9%)</f>
        <v>236565.27197316531</v>
      </c>
      <c r="O34" s="15">
        <f t="shared" si="0"/>
        <v>32382.080740114969</v>
      </c>
      <c r="P34" s="15">
        <f>M34*$B$11%</f>
        <v>80955.201850287427</v>
      </c>
      <c r="Q34" s="15">
        <f>SUM(O$3:$O34)</f>
        <v>601934.09924298862</v>
      </c>
      <c r="R34" s="15">
        <f>SUM($P$3:P34)</f>
        <v>1504835.2481074717</v>
      </c>
      <c r="S34" s="15">
        <f t="shared" si="1"/>
        <v>1.7110542298759419</v>
      </c>
      <c r="T34" s="15">
        <f>SUM($S$3:S34)/L34</f>
        <v>1.2867892716271292</v>
      </c>
    </row>
    <row r="35" spans="11:20" x14ac:dyDescent="0.15">
      <c r="L35" s="28">
        <v>33</v>
      </c>
      <c r="M35" s="15">
        <f>M34*(1+$B$8%)</f>
        <v>420967.0496214946</v>
      </c>
      <c r="N35" s="15">
        <f>N34*(1+$B$9%)</f>
        <v>241296.57741262863</v>
      </c>
      <c r="O35" s="15">
        <f t="shared" si="0"/>
        <v>33677.363969719569</v>
      </c>
      <c r="P35" s="15">
        <f>M35*$B$11%</f>
        <v>84193.409924298932</v>
      </c>
      <c r="Q35" s="15">
        <f>SUM(O$3:$O35)</f>
        <v>635611.46321270824</v>
      </c>
      <c r="R35" s="15">
        <f>SUM($P$3:P35)</f>
        <v>1589028.6580317707</v>
      </c>
      <c r="S35" s="15">
        <f t="shared" si="1"/>
        <v>1.7446043128146858</v>
      </c>
      <c r="T35" s="15">
        <f>SUM($S$3:S35)/L35</f>
        <v>1.3006624546934189</v>
      </c>
    </row>
    <row r="36" spans="11:20" x14ac:dyDescent="0.15">
      <c r="L36" s="28">
        <v>34</v>
      </c>
      <c r="M36" s="15">
        <f>M35*(1+$B$8%)</f>
        <v>437805.73160635441</v>
      </c>
      <c r="N36" s="15">
        <f>N35*(1+$B$9%)</f>
        <v>246122.50896088121</v>
      </c>
      <c r="O36" s="15">
        <f t="shared" si="0"/>
        <v>35024.458528508352</v>
      </c>
      <c r="P36" s="15">
        <f>M36*$B$11%</f>
        <v>87561.146321270891</v>
      </c>
      <c r="Q36" s="15">
        <f>SUM(O$3:$O36)</f>
        <v>670635.92174121656</v>
      </c>
      <c r="R36" s="15">
        <f>SUM($P$3:P36)</f>
        <v>1676589.8043530416</v>
      </c>
      <c r="S36" s="15">
        <f t="shared" si="1"/>
        <v>1.7788122405169347</v>
      </c>
      <c r="T36" s="15">
        <f>SUM($S$3:S36)/L36</f>
        <v>1.3147256836882282</v>
      </c>
    </row>
    <row r="37" spans="11:20" x14ac:dyDescent="0.15">
      <c r="L37" s="28">
        <v>35</v>
      </c>
      <c r="M37" s="15">
        <f>M36*(1+$B$8%)</f>
        <v>455317.96087060863</v>
      </c>
      <c r="N37" s="15">
        <f>N36*(1+$B$9%)</f>
        <v>251044.95914009883</v>
      </c>
      <c r="O37" s="15">
        <f t="shared" si="0"/>
        <v>36425.436869648693</v>
      </c>
      <c r="P37" s="15">
        <f>M37*$B$11%</f>
        <v>91063.592174121732</v>
      </c>
      <c r="Q37" s="15">
        <f>SUM(O$3:$O37)</f>
        <v>707061.35861086519</v>
      </c>
      <c r="R37" s="15">
        <f>SUM($P$3:P37)</f>
        <v>1767653.3965271632</v>
      </c>
      <c r="S37" s="15">
        <f t="shared" si="1"/>
        <v>1.8136909118996198</v>
      </c>
      <c r="T37" s="15">
        <f>SUM($S$3:S37)/L37</f>
        <v>1.3289818330656964</v>
      </c>
    </row>
    <row r="38" spans="11:20" x14ac:dyDescent="0.15">
      <c r="L38" s="28">
        <v>36</v>
      </c>
      <c r="M38" s="15">
        <f>M37*(1+$B$8%)</f>
        <v>473530.679305433</v>
      </c>
      <c r="N38" s="15">
        <f>N37*(1+$B$9%)</f>
        <v>256065.85832290081</v>
      </c>
      <c r="O38" s="15">
        <f t="shared" si="0"/>
        <v>37882.454344434642</v>
      </c>
      <c r="P38" s="15">
        <f>M38*$B$11%</f>
        <v>94706.135861086601</v>
      </c>
      <c r="Q38" s="15">
        <f>SUM(O$3:$O38)</f>
        <v>744943.81295529986</v>
      </c>
      <c r="R38" s="15">
        <f>SUM($P$3:P38)</f>
        <v>1862359.5323882499</v>
      </c>
      <c r="S38" s="15">
        <f t="shared" si="1"/>
        <v>1.8492534787996124</v>
      </c>
      <c r="T38" s="15">
        <f>SUM($S$3:S38)/L38</f>
        <v>1.3434338232249718</v>
      </c>
    </row>
    <row r="39" spans="11:20" x14ac:dyDescent="0.15">
      <c r="L39" s="28">
        <v>37</v>
      </c>
      <c r="M39" s="15">
        <f>M38*(1+$B$8%)</f>
        <v>492471.90647765034</v>
      </c>
      <c r="N39" s="15">
        <f>N38*(1+$B$9%)</f>
        <v>261187.17548935884</v>
      </c>
      <c r="O39" s="15">
        <f t="shared" si="0"/>
        <v>39397.75251821203</v>
      </c>
      <c r="P39" s="15">
        <f>M39*$B$11%</f>
        <v>98494.381295530067</v>
      </c>
      <c r="Q39" s="15">
        <f>SUM(O$3:$O39)</f>
        <v>784341.56547351193</v>
      </c>
      <c r="R39" s="15">
        <f>SUM($P$3:P39)</f>
        <v>1960853.91368378</v>
      </c>
      <c r="S39" s="15">
        <f t="shared" si="1"/>
        <v>1.885513350932938</v>
      </c>
      <c r="T39" s="15">
        <f>SUM($S$3:S39)/L39</f>
        <v>1.3580846212711331</v>
      </c>
    </row>
    <row r="40" spans="11:20" x14ac:dyDescent="0.15">
      <c r="L40" s="28">
        <v>38</v>
      </c>
      <c r="M40" s="15">
        <f>M39*(1+$B$8%)</f>
        <v>512170.78273675637</v>
      </c>
      <c r="N40" s="15">
        <f>N39*(1+$B$9%)</f>
        <v>266410.91899914603</v>
      </c>
      <c r="O40" s="15">
        <f t="shared" si="0"/>
        <v>40973.662618940514</v>
      </c>
      <c r="P40" s="15">
        <f>M40*$B$11%</f>
        <v>102434.15654735127</v>
      </c>
      <c r="Q40" s="15">
        <f>SUM(O$3:$O40)</f>
        <v>825315.22809245239</v>
      </c>
      <c r="R40" s="15">
        <f>SUM($P$3:P40)</f>
        <v>2063288.0702311313</v>
      </c>
      <c r="S40" s="15">
        <f t="shared" si="1"/>
        <v>1.9224842009512311</v>
      </c>
      <c r="T40" s="15">
        <f>SUM($S$3:S40)/L40</f>
        <v>1.3729372417890304</v>
      </c>
    </row>
    <row r="41" spans="11:20" x14ac:dyDescent="0.15">
      <c r="L41" s="28">
        <v>39</v>
      </c>
      <c r="M41" s="15">
        <f>M40*(1+$B$8%)</f>
        <v>532657.6140462266</v>
      </c>
      <c r="N41" s="15">
        <f>N40*(1+$B$9%)</f>
        <v>271739.13737912895</v>
      </c>
      <c r="O41" s="15">
        <f t="shared" si="0"/>
        <v>42612.60912369813</v>
      </c>
      <c r="P41" s="15">
        <f>M41*$B$11%</f>
        <v>106531.52280924533</v>
      </c>
      <c r="Q41" s="15">
        <f>SUM(O$3:$O41)</f>
        <v>867927.83721615048</v>
      </c>
      <c r="R41" s="15">
        <f>SUM($P$3:P41)</f>
        <v>2169819.5930403764</v>
      </c>
      <c r="S41" s="15">
        <f t="shared" si="1"/>
        <v>1.9601799695973334</v>
      </c>
      <c r="T41" s="15">
        <f>SUM($S$3:S41)/L41</f>
        <v>1.387994747630269</v>
      </c>
    </row>
    <row r="42" spans="11:20" x14ac:dyDescent="0.15">
      <c r="L42" s="28">
        <v>40</v>
      </c>
      <c r="M42" s="15">
        <f>M41*(1+$B$8%)</f>
        <v>553963.91860807571</v>
      </c>
      <c r="N42" s="15">
        <f>N41*(1+$B$9%)</f>
        <v>277173.92012671154</v>
      </c>
      <c r="O42" s="15">
        <f t="shared" si="0"/>
        <v>44317.113488646057</v>
      </c>
      <c r="P42" s="15">
        <f>M42*$B$11%</f>
        <v>110792.78372161515</v>
      </c>
      <c r="Q42" s="15">
        <f>SUM(O$3:$O42)</f>
        <v>912244.95070479659</v>
      </c>
      <c r="R42" s="15">
        <f>SUM($P$3:P42)</f>
        <v>2280612.3767619915</v>
      </c>
      <c r="S42" s="15">
        <f t="shared" si="1"/>
        <v>1.9986148709619871</v>
      </c>
      <c r="T42" s="15">
        <f>SUM($S$3:S42)/L42</f>
        <v>1.4032602507135619</v>
      </c>
    </row>
    <row r="46" spans="11:20" x14ac:dyDescent="0.15">
      <c r="K46" s="18"/>
    </row>
    <row r="47" spans="11:20" x14ac:dyDescent="0.15">
      <c r="K47" s="18"/>
    </row>
    <row r="48" spans="11:20" x14ac:dyDescent="0.15">
      <c r="K48" s="18"/>
    </row>
    <row r="49" spans="11:11" x14ac:dyDescent="0.15">
      <c r="K49" s="18"/>
    </row>
    <row r="50" spans="11:11" x14ac:dyDescent="0.15">
      <c r="K50" s="18"/>
    </row>
    <row r="51" spans="11:11" x14ac:dyDescent="0.15">
      <c r="K51" s="18"/>
    </row>
  </sheetData>
  <mergeCells count="8">
    <mergeCell ref="A26:C29"/>
    <mergeCell ref="A16:C16"/>
    <mergeCell ref="H21:J21"/>
    <mergeCell ref="R2:S2"/>
    <mergeCell ref="E1:J1"/>
    <mergeCell ref="L1:T1"/>
    <mergeCell ref="A4:C4"/>
    <mergeCell ref="A1:C3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养老金试算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隔壁表哥</dc:creator>
  <cp:lastModifiedBy>adminasq</cp:lastModifiedBy>
  <dcterms:created xsi:type="dcterms:W3CDTF">2019-10-23T02:33:11Z</dcterms:created>
  <dcterms:modified xsi:type="dcterms:W3CDTF">2019-10-23T05:06:49Z</dcterms:modified>
</cp:coreProperties>
</file>