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E:\Archivos\Mis documentos\AACREA\0-2024\Normas Ganadería\"/>
    </mc:Choice>
  </mc:AlternateContent>
  <xr:revisionPtr revIDLastSave="0" documentId="13_ncr:1_{BBC2CA02-A7D3-4DE3-9BAB-D5999E3BE77C}" xr6:coauthVersionLast="45" xr6:coauthVersionMax="45" xr10:uidLastSave="{00000000-0000-0000-0000-000000000000}"/>
  <bookViews>
    <workbookView xWindow="-120" yWindow="-120" windowWidth="20730" windowHeight="11310" firstSheet="1" activeTab="2" xr2:uid="{D13090F0-3978-43F5-8968-5876F1A2C8C9}"/>
  </bookViews>
  <sheets>
    <sheet name="Portada" sheetId="9" r:id="rId1"/>
    <sheet name="Ayuda" sheetId="7" r:id="rId2"/>
    <sheet name="Planilla de datos" sheetId="2" r:id="rId3"/>
    <sheet name="Criterios de validación" sheetId="11" r:id="rId4"/>
    <sheet name="SIPM (Actualización en $)" sheetId="6" r:id="rId5"/>
    <sheet name="Dólar" sheetId="10" r:id="rId6"/>
  </sheets>
  <definedNames>
    <definedName name="Actividad">'Planilla de datos'!$J$19</definedName>
    <definedName name="Cabezas">TablaInventarios[Cabezas]</definedName>
    <definedName name="Categorías">TablaInventarios[Categoria]</definedName>
    <definedName name="Home">'Planilla de datos'!$A$1</definedName>
    <definedName name="Kg._Diferencia">TablaInventarios[Kg. Diferencia]</definedName>
    <definedName name="KilajeCierre">TablaInventarios[Kg./Cab. 
al Cierre]</definedName>
    <definedName name="PrecioCierre">TablaInventarios[$/Kg. 
al Cierre]</definedName>
    <definedName name="Titulo_Inventario_inicio">'Planilla de datos'!$W$1:$AI$1</definedName>
    <definedName name="TotalDiferencia">TablaInventarios[$ Total Diferencia]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0" i="6" l="1"/>
  <c r="B39" i="6"/>
  <c r="B38" i="6"/>
  <c r="B37" i="6"/>
  <c r="B36" i="6"/>
  <c r="B35" i="6"/>
  <c r="B34" i="6"/>
  <c r="B33" i="6"/>
  <c r="B32" i="6"/>
  <c r="B31" i="6"/>
  <c r="B30" i="6"/>
  <c r="B29" i="6"/>
  <c r="B28" i="6"/>
  <c r="B27" i="6"/>
  <c r="B26" i="6"/>
  <c r="B25" i="6"/>
  <c r="B24" i="6"/>
  <c r="B23" i="6"/>
  <c r="B22" i="6"/>
  <c r="B21" i="6"/>
  <c r="B20" i="6"/>
  <c r="B19" i="6"/>
  <c r="B18" i="6"/>
  <c r="B41" i="6"/>
  <c r="H51" i="6" l="1" a="1"/>
  <c r="H51" i="6" s="1"/>
  <c r="H53" i="6" a="1"/>
  <c r="H53" i="6" s="1"/>
  <c r="I45" i="6" a="1"/>
  <c r="I45" i="6" s="1"/>
  <c r="I49" i="6" a="1"/>
  <c r="I49" i="6" s="1"/>
  <c r="I53" i="6" a="1"/>
  <c r="I53" i="6" s="1"/>
  <c r="J45" i="6" a="1"/>
  <c r="J45" i="6" s="1"/>
  <c r="J49" i="6" a="1"/>
  <c r="J49" i="6" s="1"/>
  <c r="J53" i="6" a="1"/>
  <c r="J53" i="6" s="1"/>
  <c r="L43" i="6"/>
  <c r="D43" i="6" s="1" a="1"/>
  <c r="D43" i="6" s="1"/>
  <c r="L44" i="6"/>
  <c r="L45" i="6"/>
  <c r="D45" i="6" s="1" a="1"/>
  <c r="D45" i="6" s="1"/>
  <c r="L46" i="6"/>
  <c r="D46" i="6" s="1" a="1"/>
  <c r="D46" i="6" s="1"/>
  <c r="L47" i="6"/>
  <c r="D47" i="6" s="1" a="1"/>
  <c r="D47" i="6" s="1"/>
  <c r="L48" i="6"/>
  <c r="L49" i="6"/>
  <c r="D49" i="6" s="1" a="1"/>
  <c r="D49" i="6" s="1"/>
  <c r="L50" i="6"/>
  <c r="D50" i="6" s="1" a="1"/>
  <c r="D50" i="6" s="1"/>
  <c r="L51" i="6"/>
  <c r="D51" i="6" s="1" a="1"/>
  <c r="D51" i="6" s="1"/>
  <c r="L52" i="6"/>
  <c r="L53" i="6"/>
  <c r="D53" i="6" s="1" a="1"/>
  <c r="D53" i="6" s="1"/>
  <c r="L54" i="6"/>
  <c r="D54" i="6" s="1" a="1"/>
  <c r="D54" i="6" s="1"/>
  <c r="B43" i="6"/>
  <c r="B44" i="6"/>
  <c r="B45" i="6"/>
  <c r="B46" i="6"/>
  <c r="B47" i="6"/>
  <c r="B48" i="6"/>
  <c r="B49" i="6"/>
  <c r="B50" i="6"/>
  <c r="B51" i="6"/>
  <c r="B52" i="6"/>
  <c r="B53" i="6"/>
  <c r="B54" i="6"/>
  <c r="B42" i="6"/>
  <c r="B6" i="6"/>
  <c r="B7" i="6"/>
  <c r="B8" i="6"/>
  <c r="B9" i="6"/>
  <c r="B10" i="6"/>
  <c r="B11" i="6"/>
  <c r="B12" i="6"/>
  <c r="B13" i="6"/>
  <c r="B14" i="6"/>
  <c r="B15" i="6"/>
  <c r="B16" i="6"/>
  <c r="B17" i="6"/>
  <c r="D48" i="6" l="1" a="1"/>
  <c r="D48" i="6" s="1"/>
  <c r="E48" i="6" a="1"/>
  <c r="E48" i="6" s="1"/>
  <c r="F48" i="6" a="1"/>
  <c r="F48" i="6" s="1"/>
  <c r="G48" i="6" a="1"/>
  <c r="G48" i="6" s="1"/>
  <c r="H48" i="6" a="1"/>
  <c r="H48" i="6" s="1"/>
  <c r="I48" i="6" a="1"/>
  <c r="I48" i="6" s="1"/>
  <c r="J48" i="6" a="1"/>
  <c r="J48" i="6" s="1"/>
  <c r="D44" i="6" a="1"/>
  <c r="D44" i="6" s="1"/>
  <c r="E44" i="6" a="1"/>
  <c r="E44" i="6" s="1"/>
  <c r="F44" i="6" a="1"/>
  <c r="F44" i="6" s="1"/>
  <c r="G44" i="6" a="1"/>
  <c r="G44" i="6" s="1"/>
  <c r="H44" i="6" a="1"/>
  <c r="H44" i="6" s="1"/>
  <c r="I44" i="6" a="1"/>
  <c r="I44" i="6" s="1"/>
  <c r="J44" i="6" a="1"/>
  <c r="J44" i="6" s="1"/>
  <c r="D52" i="6" a="1"/>
  <c r="D52" i="6" s="1"/>
  <c r="E52" i="6" a="1"/>
  <c r="E52" i="6" s="1"/>
  <c r="F52" i="6" a="1"/>
  <c r="F52" i="6" s="1"/>
  <c r="G52" i="6" a="1"/>
  <c r="G52" i="6" s="1"/>
  <c r="H52" i="6" a="1"/>
  <c r="H52" i="6" s="1"/>
  <c r="I52" i="6" a="1"/>
  <c r="I52" i="6" s="1"/>
  <c r="J52" i="6" a="1"/>
  <c r="J52" i="6" s="1"/>
  <c r="J51" i="6" a="1"/>
  <c r="J51" i="6" s="1"/>
  <c r="J43" i="6" a="1"/>
  <c r="J43" i="6" s="1"/>
  <c r="I51" i="6" a="1"/>
  <c r="I51" i="6" s="1"/>
  <c r="I47" i="6" a="1"/>
  <c r="I47" i="6" s="1"/>
  <c r="I43" i="6" a="1"/>
  <c r="I43" i="6" s="1"/>
  <c r="J47" i="6" a="1"/>
  <c r="J47" i="6" s="1"/>
  <c r="J54" i="6" a="1"/>
  <c r="J54" i="6" s="1"/>
  <c r="J50" i="6" a="1"/>
  <c r="J50" i="6" s="1"/>
  <c r="J46" i="6" a="1"/>
  <c r="J46" i="6" s="1"/>
  <c r="I54" i="6" a="1"/>
  <c r="I54" i="6" s="1"/>
  <c r="I50" i="6" a="1"/>
  <c r="I50" i="6" s="1"/>
  <c r="I46" i="6" a="1"/>
  <c r="I46" i="6" s="1"/>
  <c r="H54" i="6" a="1"/>
  <c r="H54" i="6" s="1"/>
  <c r="H50" i="6" a="1"/>
  <c r="H50" i="6" s="1"/>
  <c r="H46" i="6" a="1"/>
  <c r="H46" i="6" s="1"/>
  <c r="G54" i="6" a="1"/>
  <c r="G54" i="6" s="1"/>
  <c r="G50" i="6" a="1"/>
  <c r="G50" i="6" s="1"/>
  <c r="G46" i="6" a="1"/>
  <c r="G46" i="6" s="1"/>
  <c r="F54" i="6" a="1"/>
  <c r="F54" i="6" s="1"/>
  <c r="F50" i="6" a="1"/>
  <c r="F50" i="6" s="1"/>
  <c r="F46" i="6" a="1"/>
  <c r="F46" i="6" s="1"/>
  <c r="E54" i="6" a="1"/>
  <c r="E54" i="6" s="1"/>
  <c r="E50" i="6" a="1"/>
  <c r="E50" i="6" s="1"/>
  <c r="E46" i="6" a="1"/>
  <c r="E46" i="6" s="1"/>
  <c r="H49" i="6" a="1"/>
  <c r="H49" i="6" s="1"/>
  <c r="H47" i="6" a="1"/>
  <c r="H47" i="6" s="1"/>
  <c r="H45" i="6" a="1"/>
  <c r="H45" i="6" s="1"/>
  <c r="H43" i="6" a="1"/>
  <c r="H43" i="6" s="1"/>
  <c r="G53" i="6" a="1"/>
  <c r="G53" i="6" s="1"/>
  <c r="G51" i="6" a="1"/>
  <c r="G51" i="6" s="1"/>
  <c r="G49" i="6" a="1"/>
  <c r="G49" i="6" s="1"/>
  <c r="G47" i="6" a="1"/>
  <c r="G47" i="6" s="1"/>
  <c r="G45" i="6" a="1"/>
  <c r="G45" i="6" s="1"/>
  <c r="G43" i="6" a="1"/>
  <c r="G43" i="6" s="1"/>
  <c r="F53" i="6" a="1"/>
  <c r="F53" i="6" s="1"/>
  <c r="F51" i="6" a="1"/>
  <c r="F51" i="6" s="1"/>
  <c r="F49" i="6" a="1"/>
  <c r="F49" i="6" s="1"/>
  <c r="F47" i="6" a="1"/>
  <c r="F47" i="6" s="1"/>
  <c r="F45" i="6" a="1"/>
  <c r="F45" i="6" s="1"/>
  <c r="F43" i="6" a="1"/>
  <c r="F43" i="6" s="1"/>
  <c r="E53" i="6" a="1"/>
  <c r="E53" i="6" s="1"/>
  <c r="E51" i="6" a="1"/>
  <c r="E51" i="6" s="1"/>
  <c r="E49" i="6" a="1"/>
  <c r="E49" i="6" s="1"/>
  <c r="E47" i="6" a="1"/>
  <c r="E47" i="6" s="1"/>
  <c r="E45" i="6" a="1"/>
  <c r="E45" i="6" s="1"/>
  <c r="E43" i="6" a="1"/>
  <c r="E43" i="6" s="1"/>
  <c r="K43" i="6" s="1"/>
  <c r="N35" i="2"/>
  <c r="N29" i="2"/>
  <c r="H29" i="2"/>
  <c r="K51" i="6" l="1"/>
  <c r="K54" i="6"/>
  <c r="K45" i="6"/>
  <c r="K53" i="6"/>
  <c r="K47" i="6"/>
  <c r="K46" i="6"/>
  <c r="K49" i="6"/>
  <c r="K50" i="6"/>
  <c r="K48" i="6"/>
  <c r="K44" i="6"/>
  <c r="K52" i="6"/>
  <c r="A13" i="2"/>
  <c r="B13" i="2" s="1"/>
  <c r="S13" i="2"/>
  <c r="X13" i="2"/>
  <c r="AD13" i="2"/>
  <c r="AF13" i="2"/>
  <c r="AI13" i="2" s="1"/>
  <c r="AH13" i="2"/>
  <c r="A7" i="2"/>
  <c r="B7" i="2" s="1"/>
  <c r="S7" i="2"/>
  <c r="X7" i="2"/>
  <c r="AH7" i="2"/>
  <c r="W4" i="2"/>
  <c r="W5" i="2" s="1"/>
  <c r="A4" i="2"/>
  <c r="B4" i="2" s="1"/>
  <c r="S4" i="2"/>
  <c r="X4" i="2"/>
  <c r="AD4" i="2"/>
  <c r="AF4" i="2"/>
  <c r="AI4" i="2" s="1"/>
  <c r="AH4" i="2"/>
  <c r="AF7" i="2" l="1"/>
  <c r="AI7" i="2" s="1"/>
  <c r="AD7" i="2"/>
  <c r="AD3" i="2"/>
  <c r="AD5" i="2"/>
  <c r="AD6" i="2"/>
  <c r="AD8" i="2"/>
  <c r="AD9" i="2"/>
  <c r="AD10" i="2"/>
  <c r="AD11" i="2"/>
  <c r="AD12" i="2"/>
  <c r="AD14" i="2"/>
  <c r="AD15" i="2"/>
  <c r="E8" i="11"/>
  <c r="E7" i="11"/>
  <c r="AL126" i="2" l="1"/>
  <c r="AJ4" i="2"/>
  <c r="A14" i="2" l="1"/>
  <c r="A6" i="2"/>
  <c r="B6" i="2" s="1"/>
  <c r="A8" i="2"/>
  <c r="B8" i="2" s="1"/>
  <c r="S8" i="2"/>
  <c r="X8" i="2"/>
  <c r="AF8" i="2"/>
  <c r="AI8" i="2" s="1"/>
  <c r="AH8" i="2"/>
  <c r="A9" i="2"/>
  <c r="S9" i="2"/>
  <c r="X9" i="2"/>
  <c r="AF9" i="2"/>
  <c r="AI9" i="2" s="1"/>
  <c r="AH9" i="2"/>
  <c r="A10" i="2"/>
  <c r="S10" i="2"/>
  <c r="X10" i="2"/>
  <c r="AF10" i="2"/>
  <c r="AI10" i="2" s="1"/>
  <c r="AH10" i="2"/>
  <c r="A11" i="2"/>
  <c r="S11" i="2"/>
  <c r="X11" i="2"/>
  <c r="AF11" i="2"/>
  <c r="AI11" i="2" s="1"/>
  <c r="AH11" i="2"/>
  <c r="A12" i="2"/>
  <c r="S12" i="2"/>
  <c r="X12" i="2"/>
  <c r="AF12" i="2"/>
  <c r="AI12" i="2" s="1"/>
  <c r="AH12" i="2"/>
  <c r="S14" i="2"/>
  <c r="X14" i="2"/>
  <c r="AF14" i="2"/>
  <c r="AI14" i="2" s="1"/>
  <c r="AH14" i="2"/>
  <c r="A15" i="2"/>
  <c r="S15" i="2"/>
  <c r="X15" i="2"/>
  <c r="AF15" i="2"/>
  <c r="AI15" i="2" s="1"/>
  <c r="AH15" i="2"/>
  <c r="Z20" i="2"/>
  <c r="AA20" i="2"/>
  <c r="AD20" i="2"/>
  <c r="AH20" i="2"/>
  <c r="S6" i="2"/>
  <c r="X6" i="2"/>
  <c r="AF6" i="2"/>
  <c r="AI6" i="2" s="1"/>
  <c r="AH6" i="2"/>
  <c r="O922" i="10"/>
  <c r="N922" i="10"/>
  <c r="M937" i="10"/>
  <c r="M936" i="10"/>
  <c r="M935" i="10"/>
  <c r="M934" i="10"/>
  <c r="M933" i="10"/>
  <c r="M932" i="10"/>
  <c r="M931" i="10"/>
  <c r="M930" i="10"/>
  <c r="M929" i="10"/>
  <c r="M928" i="10"/>
  <c r="M927" i="10"/>
  <c r="M926" i="10"/>
  <c r="M925" i="10"/>
  <c r="M924" i="10"/>
  <c r="M923" i="10"/>
  <c r="M922" i="10"/>
  <c r="M921" i="10"/>
  <c r="M920" i="10"/>
  <c r="M919" i="10"/>
  <c r="M918" i="10"/>
  <c r="M917" i="10"/>
  <c r="M916" i="10"/>
  <c r="M915" i="10"/>
  <c r="M914" i="10"/>
  <c r="M913" i="10"/>
  <c r="M912" i="10"/>
  <c r="M911" i="10"/>
  <c r="M910" i="10"/>
  <c r="M909" i="10"/>
  <c r="M908" i="10"/>
  <c r="M907" i="10"/>
  <c r="M906" i="10"/>
  <c r="M905" i="10"/>
  <c r="AF20" i="2" l="1"/>
  <c r="B15" i="2"/>
  <c r="B10" i="2"/>
  <c r="B11" i="2"/>
  <c r="B12" i="2"/>
  <c r="B9" i="2"/>
  <c r="B14" i="2"/>
  <c r="M904" i="10"/>
  <c r="M903" i="10"/>
  <c r="M902" i="10"/>
  <c r="M901" i="10"/>
  <c r="M900" i="10"/>
  <c r="M899" i="10"/>
  <c r="M898" i="10"/>
  <c r="M897" i="10"/>
  <c r="M896" i="10"/>
  <c r="M895" i="10"/>
  <c r="M894" i="10"/>
  <c r="M893" i="10"/>
  <c r="M892" i="10"/>
  <c r="M891" i="10"/>
  <c r="M890" i="10"/>
  <c r="M889" i="10"/>
  <c r="M888" i="10"/>
  <c r="M887" i="10"/>
  <c r="M886" i="10"/>
  <c r="M885" i="10"/>
  <c r="M884" i="10"/>
  <c r="M883" i="10"/>
  <c r="M882" i="10"/>
  <c r="M881" i="10"/>
  <c r="M880" i="10"/>
  <c r="M879" i="10"/>
  <c r="M878" i="10"/>
  <c r="M877" i="10"/>
  <c r="M876" i="10"/>
  <c r="M875" i="10"/>
  <c r="M874" i="10"/>
  <c r="M873" i="10"/>
  <c r="M872" i="10"/>
  <c r="M871" i="10"/>
  <c r="M870" i="10"/>
  <c r="M869" i="10"/>
  <c r="M868" i="10"/>
  <c r="M867" i="10"/>
  <c r="M866" i="10"/>
  <c r="M865" i="10"/>
  <c r="M864" i="10"/>
  <c r="M863" i="10"/>
  <c r="M862" i="10"/>
  <c r="M861" i="10"/>
  <c r="M860" i="10"/>
  <c r="M859" i="10"/>
  <c r="M858" i="10"/>
  <c r="M857" i="10"/>
  <c r="M856" i="10"/>
  <c r="M855" i="10"/>
  <c r="M854" i="10"/>
  <c r="M853" i="10"/>
  <c r="M852" i="10"/>
  <c r="M851" i="10"/>
  <c r="M850" i="10"/>
  <c r="M849" i="10"/>
  <c r="M848" i="10"/>
  <c r="M847" i="10"/>
  <c r="M846" i="10"/>
  <c r="M845" i="10"/>
  <c r="M844" i="10"/>
  <c r="M843" i="10"/>
  <c r="M842" i="10"/>
  <c r="M841" i="10"/>
  <c r="M840" i="10"/>
  <c r="M839" i="10"/>
  <c r="M838" i="10"/>
  <c r="M837" i="10"/>
  <c r="M836" i="10"/>
  <c r="M835" i="10"/>
  <c r="M834" i="10"/>
  <c r="M833" i="10"/>
  <c r="M832" i="10"/>
  <c r="M831" i="10"/>
  <c r="M830" i="10"/>
  <c r="M829" i="10"/>
  <c r="M828" i="10"/>
  <c r="M827" i="10"/>
  <c r="M826" i="10"/>
  <c r="M825" i="10"/>
  <c r="M824" i="10"/>
  <c r="M823" i="10"/>
  <c r="M822" i="10"/>
  <c r="M821" i="10"/>
  <c r="M820" i="10"/>
  <c r="M819" i="10"/>
  <c r="M818" i="10"/>
  <c r="M817" i="10"/>
  <c r="M816" i="10"/>
  <c r="M815" i="10"/>
  <c r="M814" i="10"/>
  <c r="M813" i="10"/>
  <c r="M812" i="10"/>
  <c r="M811" i="10"/>
  <c r="M810" i="10"/>
  <c r="M809" i="10"/>
  <c r="M808" i="10"/>
  <c r="M807" i="10"/>
  <c r="M806" i="10"/>
  <c r="M805" i="10"/>
  <c r="M804" i="10"/>
  <c r="M803" i="10"/>
  <c r="M802" i="10"/>
  <c r="M801" i="10"/>
  <c r="M800" i="10"/>
  <c r="M799" i="10"/>
  <c r="M798" i="10"/>
  <c r="M797" i="10"/>
  <c r="M796" i="10"/>
  <c r="M795" i="10"/>
  <c r="M794" i="10"/>
  <c r="M793" i="10"/>
  <c r="M792" i="10"/>
  <c r="M791" i="10"/>
  <c r="M790" i="10"/>
  <c r="M789" i="10"/>
  <c r="M788" i="10"/>
  <c r="M787" i="10"/>
  <c r="M786" i="10"/>
  <c r="M785" i="10"/>
  <c r="M784" i="10"/>
  <c r="M783" i="10"/>
  <c r="M782" i="10"/>
  <c r="M781" i="10"/>
  <c r="M780" i="10"/>
  <c r="M779" i="10"/>
  <c r="M778" i="10"/>
  <c r="M777" i="10"/>
  <c r="M776" i="10"/>
  <c r="M775" i="10"/>
  <c r="M774" i="10"/>
  <c r="M773" i="10"/>
  <c r="M772" i="10"/>
  <c r="M771" i="10"/>
  <c r="M770" i="10"/>
  <c r="M769" i="10"/>
  <c r="M768" i="10"/>
  <c r="M767" i="10"/>
  <c r="M766" i="10"/>
  <c r="M765" i="10"/>
  <c r="M764" i="10"/>
  <c r="M763" i="10"/>
  <c r="M762" i="10"/>
  <c r="M761" i="10"/>
  <c r="M760" i="10"/>
  <c r="M759" i="10"/>
  <c r="M758" i="10"/>
  <c r="M757" i="10"/>
  <c r="M756" i="10"/>
  <c r="M755" i="10"/>
  <c r="M754" i="10"/>
  <c r="M753" i="10"/>
  <c r="M752" i="10"/>
  <c r="M751" i="10"/>
  <c r="M750" i="10"/>
  <c r="M749" i="10"/>
  <c r="M748" i="10"/>
  <c r="M747" i="10"/>
  <c r="M746" i="10"/>
  <c r="M745" i="10"/>
  <c r="M744" i="10"/>
  <c r="M743" i="10"/>
  <c r="M742" i="10"/>
  <c r="M741" i="10"/>
  <c r="M740" i="10"/>
  <c r="M739" i="10"/>
  <c r="M738" i="10"/>
  <c r="M737" i="10"/>
  <c r="M736" i="10"/>
  <c r="M735" i="10"/>
  <c r="M734" i="10"/>
  <c r="M733" i="10"/>
  <c r="M732" i="10"/>
  <c r="M731" i="10"/>
  <c r="M730" i="10"/>
  <c r="M729" i="10"/>
  <c r="M728" i="10"/>
  <c r="M727" i="10"/>
  <c r="M726" i="10"/>
  <c r="M725" i="10"/>
  <c r="M724" i="10"/>
  <c r="M723" i="10"/>
  <c r="M722" i="10"/>
  <c r="M721" i="10"/>
  <c r="M720" i="10"/>
  <c r="M719" i="10"/>
  <c r="M718" i="10"/>
  <c r="M717" i="10"/>
  <c r="M716" i="10"/>
  <c r="M715" i="10"/>
  <c r="M714" i="10"/>
  <c r="M713" i="10"/>
  <c r="M712" i="10"/>
  <c r="M711" i="10"/>
  <c r="M710" i="10"/>
  <c r="M709" i="10"/>
  <c r="M708" i="10"/>
  <c r="M707" i="10"/>
  <c r="M706" i="10"/>
  <c r="M705" i="10"/>
  <c r="M704" i="10"/>
  <c r="M703" i="10"/>
  <c r="M702" i="10"/>
  <c r="M701" i="10"/>
  <c r="M700" i="10"/>
  <c r="M699" i="10"/>
  <c r="M698" i="10"/>
  <c r="M697" i="10"/>
  <c r="M696" i="10"/>
  <c r="M695" i="10"/>
  <c r="M694" i="10"/>
  <c r="M693" i="10"/>
  <c r="M692" i="10"/>
  <c r="M691" i="10"/>
  <c r="M690" i="10"/>
  <c r="M689" i="10"/>
  <c r="M688" i="10"/>
  <c r="M687" i="10"/>
  <c r="M686" i="10"/>
  <c r="M685" i="10"/>
  <c r="M684" i="10"/>
  <c r="M683" i="10"/>
  <c r="M682" i="10"/>
  <c r="M681" i="10"/>
  <c r="M680" i="10"/>
  <c r="M679" i="10"/>
  <c r="M678" i="10"/>
  <c r="M677" i="10"/>
  <c r="M676" i="10"/>
  <c r="M675" i="10"/>
  <c r="M674" i="10"/>
  <c r="M673" i="10"/>
  <c r="M672" i="10"/>
  <c r="M671" i="10"/>
  <c r="M670" i="10"/>
  <c r="M669" i="10"/>
  <c r="M668" i="10"/>
  <c r="M667" i="10"/>
  <c r="M666" i="10"/>
  <c r="M665" i="10"/>
  <c r="M664" i="10"/>
  <c r="M663" i="10"/>
  <c r="M662" i="10"/>
  <c r="M661" i="10"/>
  <c r="M660" i="10"/>
  <c r="M659" i="10"/>
  <c r="M658" i="10"/>
  <c r="M657" i="10"/>
  <c r="M656" i="10"/>
  <c r="M655" i="10"/>
  <c r="M654" i="10"/>
  <c r="M653" i="10"/>
  <c r="M652" i="10"/>
  <c r="M651" i="10"/>
  <c r="M650" i="10"/>
  <c r="M649" i="10"/>
  <c r="M648" i="10"/>
  <c r="M647" i="10"/>
  <c r="M646" i="10"/>
  <c r="M645" i="10"/>
  <c r="M644" i="10"/>
  <c r="M643" i="10"/>
  <c r="M642" i="10"/>
  <c r="M641" i="10"/>
  <c r="M640" i="10"/>
  <c r="M639" i="10"/>
  <c r="M638" i="10"/>
  <c r="M637" i="10"/>
  <c r="M636" i="10"/>
  <c r="M635" i="10"/>
  <c r="M634" i="10"/>
  <c r="M633" i="10"/>
  <c r="M632" i="10"/>
  <c r="M631" i="10"/>
  <c r="M630" i="10"/>
  <c r="M629" i="10"/>
  <c r="M628" i="10"/>
  <c r="M627" i="10"/>
  <c r="M626" i="10"/>
  <c r="M625" i="10"/>
  <c r="M624" i="10"/>
  <c r="M623" i="10"/>
  <c r="M622" i="10"/>
  <c r="M621" i="10"/>
  <c r="M620" i="10"/>
  <c r="M619" i="10"/>
  <c r="M618" i="10"/>
  <c r="M617" i="10"/>
  <c r="M616" i="10"/>
  <c r="M615" i="10"/>
  <c r="M614" i="10"/>
  <c r="M613" i="10"/>
  <c r="M612" i="10"/>
  <c r="M611" i="10"/>
  <c r="M610" i="10"/>
  <c r="M609" i="10"/>
  <c r="M608" i="10"/>
  <c r="M607" i="10"/>
  <c r="M606" i="10"/>
  <c r="M605" i="10"/>
  <c r="M604" i="10"/>
  <c r="M603" i="10"/>
  <c r="M602" i="10"/>
  <c r="M601" i="10"/>
  <c r="M600" i="10"/>
  <c r="M599" i="10"/>
  <c r="M598" i="10"/>
  <c r="M597" i="10"/>
  <c r="M596" i="10"/>
  <c r="M595" i="10"/>
  <c r="M594" i="10"/>
  <c r="M593" i="10"/>
  <c r="M592" i="10"/>
  <c r="M591" i="10"/>
  <c r="M590" i="10"/>
  <c r="M589" i="10"/>
  <c r="M588" i="10"/>
  <c r="M587" i="10"/>
  <c r="M586" i="10"/>
  <c r="M585" i="10"/>
  <c r="M584" i="10"/>
  <c r="M583" i="10"/>
  <c r="M582" i="10"/>
  <c r="M581" i="10"/>
  <c r="M580" i="10"/>
  <c r="M579" i="10"/>
  <c r="M578" i="10"/>
  <c r="M577" i="10"/>
  <c r="M576" i="10"/>
  <c r="M575" i="10"/>
  <c r="M574" i="10"/>
  <c r="M573" i="10"/>
  <c r="M572" i="10"/>
  <c r="M571" i="10"/>
  <c r="M570" i="10"/>
  <c r="M569" i="10"/>
  <c r="M568" i="10"/>
  <c r="M567" i="10"/>
  <c r="M566" i="10"/>
  <c r="M565" i="10"/>
  <c r="M564" i="10"/>
  <c r="M563" i="10"/>
  <c r="M562" i="10"/>
  <c r="M561" i="10"/>
  <c r="M560" i="10"/>
  <c r="M559" i="10"/>
  <c r="M558" i="10"/>
  <c r="M557" i="10"/>
  <c r="M556" i="10"/>
  <c r="M555" i="10"/>
  <c r="M554" i="10"/>
  <c r="M553" i="10"/>
  <c r="M552" i="10"/>
  <c r="M551" i="10"/>
  <c r="M550" i="10"/>
  <c r="M549" i="10"/>
  <c r="M548" i="10"/>
  <c r="M547" i="10"/>
  <c r="M546" i="10"/>
  <c r="M545" i="10"/>
  <c r="M544" i="10"/>
  <c r="M543" i="10"/>
  <c r="M542" i="10"/>
  <c r="M541" i="10"/>
  <c r="M540" i="10"/>
  <c r="M539" i="10"/>
  <c r="M538" i="10"/>
  <c r="M537" i="10"/>
  <c r="M536" i="10"/>
  <c r="M535" i="10"/>
  <c r="M534" i="10"/>
  <c r="M533" i="10"/>
  <c r="M532" i="10"/>
  <c r="M531" i="10"/>
  <c r="M530" i="10"/>
  <c r="M529" i="10"/>
  <c r="M528" i="10"/>
  <c r="M527" i="10"/>
  <c r="M526" i="10"/>
  <c r="M525" i="10"/>
  <c r="M524" i="10"/>
  <c r="M523" i="10"/>
  <c r="M522" i="10"/>
  <c r="M521" i="10"/>
  <c r="M520" i="10"/>
  <c r="M519" i="10"/>
  <c r="M518" i="10"/>
  <c r="M517" i="10"/>
  <c r="M516" i="10"/>
  <c r="M515" i="10"/>
  <c r="M514" i="10"/>
  <c r="M513" i="10"/>
  <c r="M512" i="10"/>
  <c r="M511" i="10"/>
  <c r="M510" i="10"/>
  <c r="M509" i="10"/>
  <c r="M508" i="10"/>
  <c r="M507" i="10"/>
  <c r="M506" i="10"/>
  <c r="M505" i="10"/>
  <c r="M504" i="10"/>
  <c r="M502" i="10"/>
  <c r="M501" i="10"/>
  <c r="M500" i="10"/>
  <c r="M499" i="10"/>
  <c r="M498" i="10"/>
  <c r="M497" i="10"/>
  <c r="M496" i="10"/>
  <c r="M495" i="10"/>
  <c r="M494" i="10"/>
  <c r="M493" i="10"/>
  <c r="M492" i="10"/>
  <c r="M491" i="10"/>
  <c r="M490" i="10"/>
  <c r="M489" i="10"/>
  <c r="M488" i="10"/>
  <c r="M487" i="10"/>
  <c r="M486" i="10"/>
  <c r="M485" i="10"/>
  <c r="M484" i="10"/>
  <c r="M483" i="10"/>
  <c r="M482" i="10"/>
  <c r="M481" i="10"/>
  <c r="M480" i="10"/>
  <c r="M479" i="10"/>
  <c r="M478" i="10"/>
  <c r="M477" i="10"/>
  <c r="M476" i="10"/>
  <c r="M475" i="10"/>
  <c r="M474" i="10"/>
  <c r="M473" i="10"/>
  <c r="M472" i="10"/>
  <c r="M471" i="10"/>
  <c r="M470" i="10"/>
  <c r="M469" i="10"/>
  <c r="M468" i="10"/>
  <c r="M467" i="10"/>
  <c r="M466" i="10"/>
  <c r="M465" i="10"/>
  <c r="M464" i="10"/>
  <c r="M463" i="10"/>
  <c r="M462" i="10"/>
  <c r="M461" i="10"/>
  <c r="M460" i="10"/>
  <c r="M459" i="10"/>
  <c r="M458" i="10"/>
  <c r="M457" i="10"/>
  <c r="M456" i="10"/>
  <c r="M455" i="10"/>
  <c r="M454" i="10"/>
  <c r="M453" i="10"/>
  <c r="M452" i="10"/>
  <c r="M451" i="10"/>
  <c r="M450" i="10"/>
  <c r="M449" i="10"/>
  <c r="M448" i="10"/>
  <c r="M447" i="10"/>
  <c r="M446" i="10"/>
  <c r="M445" i="10"/>
  <c r="M444" i="10"/>
  <c r="M443" i="10"/>
  <c r="M442" i="10"/>
  <c r="M441" i="10"/>
  <c r="M440" i="10"/>
  <c r="M439" i="10"/>
  <c r="M438" i="10"/>
  <c r="M437" i="10"/>
  <c r="M436" i="10"/>
  <c r="M435" i="10"/>
  <c r="M434" i="10"/>
  <c r="M433" i="10"/>
  <c r="M432" i="10"/>
  <c r="M431" i="10"/>
  <c r="M430" i="10"/>
  <c r="M429" i="10"/>
  <c r="M428" i="10"/>
  <c r="M427" i="10"/>
  <c r="M426" i="10"/>
  <c r="M425" i="10"/>
  <c r="M424" i="10"/>
  <c r="M423" i="10"/>
  <c r="M422" i="10"/>
  <c r="M421" i="10"/>
  <c r="M420" i="10"/>
  <c r="M419" i="10"/>
  <c r="M418" i="10"/>
  <c r="M417" i="10"/>
  <c r="M416" i="10"/>
  <c r="M415" i="10"/>
  <c r="M414" i="10"/>
  <c r="M413" i="10"/>
  <c r="M412" i="10"/>
  <c r="M411" i="10"/>
  <c r="M410" i="10"/>
  <c r="M409" i="10"/>
  <c r="M408" i="10"/>
  <c r="M407" i="10"/>
  <c r="M406" i="10"/>
  <c r="M405" i="10"/>
  <c r="M404" i="10"/>
  <c r="M403" i="10"/>
  <c r="M402" i="10"/>
  <c r="M401" i="10"/>
  <c r="M400" i="10"/>
  <c r="M399" i="10"/>
  <c r="M398" i="10"/>
  <c r="M397" i="10"/>
  <c r="M396" i="10"/>
  <c r="M395" i="10"/>
  <c r="M394" i="10"/>
  <c r="M393" i="10"/>
  <c r="M392" i="10"/>
  <c r="M391" i="10"/>
  <c r="M390" i="10"/>
  <c r="M389" i="10"/>
  <c r="M388" i="10"/>
  <c r="M387" i="10"/>
  <c r="M386" i="10"/>
  <c r="M385" i="10"/>
  <c r="M384" i="10"/>
  <c r="M383" i="10"/>
  <c r="M382" i="10"/>
  <c r="M381" i="10"/>
  <c r="M380" i="10"/>
  <c r="M379" i="10"/>
  <c r="M378" i="10"/>
  <c r="M377" i="10"/>
  <c r="M376" i="10"/>
  <c r="M375" i="10"/>
  <c r="M374" i="10"/>
  <c r="M373" i="10"/>
  <c r="M372" i="10"/>
  <c r="M371" i="10"/>
  <c r="M370" i="10"/>
  <c r="M369" i="10"/>
  <c r="M368" i="10"/>
  <c r="M367" i="10"/>
  <c r="M366" i="10"/>
  <c r="M365" i="10"/>
  <c r="M364" i="10"/>
  <c r="M363" i="10"/>
  <c r="M362" i="10"/>
  <c r="M361" i="10"/>
  <c r="M360" i="10"/>
  <c r="M359" i="10"/>
  <c r="M358" i="10"/>
  <c r="M357" i="10"/>
  <c r="M356" i="10"/>
  <c r="M355" i="10"/>
  <c r="M354" i="10"/>
  <c r="M353" i="10"/>
  <c r="M352" i="10"/>
  <c r="M351" i="10"/>
  <c r="M350" i="10"/>
  <c r="M349" i="10"/>
  <c r="M348" i="10"/>
  <c r="M347" i="10"/>
  <c r="M346" i="10"/>
  <c r="M345" i="10"/>
  <c r="M344" i="10"/>
  <c r="M343" i="10"/>
  <c r="M342" i="10"/>
  <c r="M341" i="10"/>
  <c r="M340" i="10"/>
  <c r="M339" i="10"/>
  <c r="M338" i="10"/>
  <c r="M337" i="10"/>
  <c r="M336" i="10"/>
  <c r="M335" i="10"/>
  <c r="M334" i="10"/>
  <c r="M333" i="10"/>
  <c r="M332" i="10"/>
  <c r="M331" i="10"/>
  <c r="M330" i="10"/>
  <c r="M329" i="10"/>
  <c r="M328" i="10"/>
  <c r="M327" i="10"/>
  <c r="M326" i="10"/>
  <c r="M325" i="10"/>
  <c r="M324" i="10"/>
  <c r="M323" i="10"/>
  <c r="M322" i="10"/>
  <c r="M321" i="10"/>
  <c r="M320" i="10"/>
  <c r="M319" i="10"/>
  <c r="M318" i="10"/>
  <c r="M317" i="10"/>
  <c r="M316" i="10"/>
  <c r="M315" i="10"/>
  <c r="M314" i="10"/>
  <c r="M313" i="10"/>
  <c r="M312" i="10"/>
  <c r="M311" i="10"/>
  <c r="M310" i="10"/>
  <c r="M309" i="10"/>
  <c r="M308" i="10"/>
  <c r="M307" i="10"/>
  <c r="M306" i="10"/>
  <c r="M305" i="10"/>
  <c r="M304" i="10"/>
  <c r="AI20" i="2" l="1"/>
  <c r="J29" i="2"/>
  <c r="I29" i="2" s="1"/>
  <c r="E3" i="11"/>
  <c r="E4" i="11" s="1"/>
  <c r="E5" i="11" s="1"/>
  <c r="E6" i="11" s="1"/>
  <c r="AJ20" i="2" l="1"/>
  <c r="L29" i="2"/>
  <c r="C4" i="6"/>
  <c r="M29" i="2" l="1"/>
  <c r="M27" i="2"/>
  <c r="M26" i="2"/>
  <c r="M25" i="2"/>
  <c r="T27" i="2"/>
  <c r="T26" i="2"/>
  <c r="T28" i="2"/>
  <c r="T34" i="2"/>
  <c r="T25" i="2"/>
  <c r="T33" i="2"/>
  <c r="T32" i="2"/>
  <c r="T37" i="2"/>
  <c r="T35" i="2"/>
  <c r="T29" i="2"/>
  <c r="T31" i="2"/>
  <c r="C588" i="10"/>
  <c r="B588" i="10"/>
  <c r="H503" i="10"/>
  <c r="G503" i="10"/>
  <c r="M503" i="10" s="1"/>
  <c r="C459" i="10"/>
  <c r="B459" i="10"/>
  <c r="C401" i="10"/>
  <c r="B401" i="10"/>
  <c r="C375" i="10"/>
  <c r="B375" i="10"/>
  <c r="C214" i="10"/>
  <c r="B214" i="10"/>
  <c r="L7" i="6" l="1"/>
  <c r="L8" i="6"/>
  <c r="L9" i="6"/>
  <c r="L10" i="6"/>
  <c r="L11" i="6"/>
  <c r="L12" i="6"/>
  <c r="L13" i="6"/>
  <c r="L14" i="6"/>
  <c r="L15" i="6"/>
  <c r="L16" i="6"/>
  <c r="L17" i="6"/>
  <c r="L18" i="6"/>
  <c r="R24" i="2"/>
  <c r="X3" i="2"/>
  <c r="X5" i="2"/>
  <c r="L6" i="6"/>
  <c r="L19" i="6"/>
  <c r="L20" i="6"/>
  <c r="L21" i="6"/>
  <c r="L22" i="6"/>
  <c r="L23" i="6"/>
  <c r="L24" i="6"/>
  <c r="L25" i="6"/>
  <c r="L26" i="6"/>
  <c r="L27" i="6"/>
  <c r="L28" i="6"/>
  <c r="L29" i="6"/>
  <c r="L30" i="6"/>
  <c r="L31" i="6"/>
  <c r="L32" i="6"/>
  <c r="L33" i="6"/>
  <c r="L34" i="6"/>
  <c r="L35" i="6"/>
  <c r="L36" i="6"/>
  <c r="L37" i="6"/>
  <c r="L38" i="6"/>
  <c r="L39" i="6"/>
  <c r="L40" i="6"/>
  <c r="L41" i="6"/>
  <c r="L42" i="6"/>
  <c r="K24" i="2"/>
  <c r="B4" i="6"/>
  <c r="A5" i="2" l="1"/>
  <c r="S5" i="2"/>
  <c r="B5" i="2" l="1"/>
  <c r="K3" i="6"/>
  <c r="J3" i="6"/>
  <c r="I3" i="6"/>
  <c r="H3" i="6"/>
  <c r="G3" i="6"/>
  <c r="F3" i="6"/>
  <c r="E3" i="6"/>
  <c r="D3" i="6"/>
  <c r="G49" i="2" a="1"/>
  <c r="G49" i="2" s="1"/>
  <c r="H49" i="2" a="1"/>
  <c r="H49" i="2" s="1"/>
  <c r="P25" i="2" a="1"/>
  <c r="P25" i="2" s="1"/>
  <c r="L4" i="6" l="1"/>
  <c r="L19" i="2" l="1"/>
  <c r="H42" i="6" l="1" a="1"/>
  <c r="H42" i="6" s="1"/>
  <c r="I40" i="6" a="1"/>
  <c r="I40" i="6" s="1"/>
  <c r="D41" i="6" a="1"/>
  <c r="D41" i="6" s="1"/>
  <c r="D42" i="6" a="1"/>
  <c r="D42" i="6" s="1"/>
  <c r="H41" i="6" a="1"/>
  <c r="H41" i="6" s="1"/>
  <c r="E40" i="6" a="1"/>
  <c r="E40" i="6" s="1"/>
  <c r="G40" i="6" a="1"/>
  <c r="G40" i="6" s="1"/>
  <c r="F40" i="6" a="1"/>
  <c r="F40" i="6" s="1"/>
  <c r="D40" i="6" a="1"/>
  <c r="D40" i="6" s="1"/>
  <c r="E42" i="6" a="1"/>
  <c r="E42" i="6" s="1"/>
  <c r="H40" i="6" a="1"/>
  <c r="H40" i="6" s="1"/>
  <c r="I42" i="6" a="1"/>
  <c r="I42" i="6" s="1"/>
  <c r="E41" i="6" a="1"/>
  <c r="E41" i="6" s="1"/>
  <c r="F42" i="6" a="1"/>
  <c r="F42" i="6" s="1"/>
  <c r="G42" i="6" a="1"/>
  <c r="G42" i="6" s="1"/>
  <c r="J42" i="6" a="1"/>
  <c r="J42" i="6" s="1"/>
  <c r="I41" i="6" a="1"/>
  <c r="I41" i="6" s="1"/>
  <c r="J40" i="6" a="1"/>
  <c r="J40" i="6" s="1"/>
  <c r="F41" i="6" a="1"/>
  <c r="F41" i="6" s="1"/>
  <c r="G41" i="6" a="1"/>
  <c r="G41" i="6" s="1"/>
  <c r="J41" i="6" a="1"/>
  <c r="J41" i="6" s="1"/>
  <c r="D14" i="6" a="1"/>
  <c r="D14" i="6" s="1"/>
  <c r="E9" i="6" a="1"/>
  <c r="E9" i="6" s="1"/>
  <c r="H9" i="6" a="1"/>
  <c r="H9" i="6" s="1"/>
  <c r="J12" i="6" a="1"/>
  <c r="J12" i="6" s="1"/>
  <c r="E17" i="6" a="1"/>
  <c r="E17" i="6" s="1"/>
  <c r="G16" i="6" a="1"/>
  <c r="G16" i="6" s="1"/>
  <c r="J11" i="6" a="1"/>
  <c r="J11" i="6" s="1"/>
  <c r="D12" i="6" a="1"/>
  <c r="D12" i="6" s="1"/>
  <c r="G8" i="6" a="1"/>
  <c r="G8" i="6" s="1"/>
  <c r="J10" i="6" a="1"/>
  <c r="J10" i="6" s="1"/>
  <c r="I14" i="6" a="1"/>
  <c r="I14" i="6" s="1"/>
  <c r="G9" i="6" a="1"/>
  <c r="G9" i="6" s="1"/>
  <c r="J16" i="6" a="1"/>
  <c r="J16" i="6" s="1"/>
  <c r="E7" i="6" a="1"/>
  <c r="E7" i="6" s="1"/>
  <c r="I10" i="6" a="1"/>
  <c r="I10" i="6" s="1"/>
  <c r="E14" i="6" a="1"/>
  <c r="E14" i="6" s="1"/>
  <c r="F14" i="6" a="1"/>
  <c r="F14" i="6" s="1"/>
  <c r="D11" i="6" a="1"/>
  <c r="D11" i="6" s="1"/>
  <c r="J9" i="6" a="1"/>
  <c r="J9" i="6" s="1"/>
  <c r="H17" i="6" a="1"/>
  <c r="H17" i="6" s="1"/>
  <c r="E18" i="6" a="1"/>
  <c r="E18" i="6" s="1"/>
  <c r="J14" i="6" a="1"/>
  <c r="J14" i="6" s="1"/>
  <c r="D10" i="6" a="1"/>
  <c r="D10" i="6" s="1"/>
  <c r="F9" i="6" a="1"/>
  <c r="F9" i="6" s="1"/>
  <c r="G15" i="6" a="1"/>
  <c r="G15" i="6" s="1"/>
  <c r="I12" i="6" a="1"/>
  <c r="I12" i="6" s="1"/>
  <c r="H7" i="6" a="1"/>
  <c r="H7" i="6" s="1"/>
  <c r="J18" i="6" a="1"/>
  <c r="J18" i="6" s="1"/>
  <c r="D16" i="6" a="1"/>
  <c r="D16" i="6" s="1"/>
  <c r="F7" i="6" a="1"/>
  <c r="F7" i="6" s="1"/>
  <c r="I11" i="6" a="1"/>
  <c r="I11" i="6" s="1"/>
  <c r="E15" i="6" a="1"/>
  <c r="E15" i="6" s="1"/>
  <c r="F15" i="6" a="1"/>
  <c r="F15" i="6" s="1"/>
  <c r="F16" i="6" a="1"/>
  <c r="F16" i="6" s="1"/>
  <c r="I15" i="6" a="1"/>
  <c r="I15" i="6" s="1"/>
  <c r="D13" i="6" a="1"/>
  <c r="D13" i="6" s="1"/>
  <c r="J8" i="6" a="1"/>
  <c r="J8" i="6" s="1"/>
  <c r="E13" i="6" a="1"/>
  <c r="E13" i="6" s="1"/>
  <c r="G14" i="6" a="1"/>
  <c r="G14" i="6" s="1"/>
  <c r="F8" i="6" a="1"/>
  <c r="F8" i="6" s="1"/>
  <c r="D15" i="6" a="1"/>
  <c r="D15" i="6" s="1"/>
  <c r="J7" i="6" a="1"/>
  <c r="J7" i="6" s="1"/>
  <c r="G12" i="6" a="1"/>
  <c r="G12" i="6" s="1"/>
  <c r="F12" i="6" a="1"/>
  <c r="F12" i="6" s="1"/>
  <c r="J15" i="6" a="1"/>
  <c r="J15" i="6" s="1"/>
  <c r="D7" i="6" a="1"/>
  <c r="D7" i="6" s="1"/>
  <c r="I13" i="6" a="1"/>
  <c r="I13" i="6" s="1"/>
  <c r="D18" i="6" a="1"/>
  <c r="D18" i="6" s="1"/>
  <c r="H18" i="6" a="1"/>
  <c r="H18" i="6" s="1"/>
  <c r="H11" i="6" a="1"/>
  <c r="H11" i="6" s="1"/>
  <c r="F17" i="6" a="1"/>
  <c r="F17" i="6" s="1"/>
  <c r="I8" i="6" a="1"/>
  <c r="I8" i="6" s="1"/>
  <c r="I16" i="6" a="1"/>
  <c r="I16" i="6" s="1"/>
  <c r="H8" i="6" a="1"/>
  <c r="H8" i="6" s="1"/>
  <c r="J17" i="6" a="1"/>
  <c r="J17" i="6" s="1"/>
  <c r="F18" i="6" a="1"/>
  <c r="F18" i="6" s="1"/>
  <c r="D17" i="6" a="1"/>
  <c r="D17" i="6" s="1"/>
  <c r="I9" i="6" a="1"/>
  <c r="I9" i="6" s="1"/>
  <c r="G13" i="6" a="1"/>
  <c r="G13" i="6" s="1"/>
  <c r="F13" i="6" a="1"/>
  <c r="F13" i="6" s="1"/>
  <c r="H16" i="6" a="1"/>
  <c r="H16" i="6" s="1"/>
  <c r="E10" i="6" a="1"/>
  <c r="E10" i="6" s="1"/>
  <c r="H15" i="6" a="1"/>
  <c r="H15" i="6" s="1"/>
  <c r="G7" i="6" a="1"/>
  <c r="G7" i="6" s="1"/>
  <c r="E11" i="6" a="1"/>
  <c r="E11" i="6" s="1"/>
  <c r="F11" i="6" a="1"/>
  <c r="F11" i="6" s="1"/>
  <c r="H14" i="6" a="1"/>
  <c r="H14" i="6" s="1"/>
  <c r="F10" i="6" a="1"/>
  <c r="F10" i="6" s="1"/>
  <c r="D8" i="6" a="1"/>
  <c r="D8" i="6" s="1"/>
  <c r="G10" i="6" a="1"/>
  <c r="G10" i="6" s="1"/>
  <c r="H10" i="6" a="1"/>
  <c r="H10" i="6" s="1"/>
  <c r="J13" i="6" a="1"/>
  <c r="J13" i="6" s="1"/>
  <c r="I17" i="6" a="1"/>
  <c r="I17" i="6" s="1"/>
  <c r="E8" i="6" a="1"/>
  <c r="E8" i="6" s="1"/>
  <c r="H13" i="6" a="1"/>
  <c r="H13" i="6" s="1"/>
  <c r="G18" i="6" a="1"/>
  <c r="G18" i="6" s="1"/>
  <c r="I18" i="6" a="1"/>
  <c r="I18" i="6" s="1"/>
  <c r="I7" i="6" a="1"/>
  <c r="I7" i="6" s="1"/>
  <c r="G11" i="6" a="1"/>
  <c r="G11" i="6" s="1"/>
  <c r="E12" i="6" a="1"/>
  <c r="E12" i="6" s="1"/>
  <c r="H12" i="6" a="1"/>
  <c r="H12" i="6" s="1"/>
  <c r="D9" i="6" a="1"/>
  <c r="D9" i="6" s="1"/>
  <c r="E16" i="6" a="1"/>
  <c r="E16" i="6" s="1"/>
  <c r="G17" i="6" a="1"/>
  <c r="G17" i="6" s="1"/>
  <c r="I23" i="6" a="1"/>
  <c r="I23" i="6" s="1"/>
  <c r="H21" i="6" a="1"/>
  <c r="H21" i="6" s="1"/>
  <c r="G19" i="6" a="1"/>
  <c r="G19" i="6" s="1"/>
  <c r="F22" i="6" a="1"/>
  <c r="F22" i="6" s="1"/>
  <c r="E20" i="6" a="1"/>
  <c r="E20" i="6" s="1"/>
  <c r="J19" i="6" a="1"/>
  <c r="J19" i="6" s="1"/>
  <c r="D19" i="6" a="1"/>
  <c r="D19" i="6" s="1"/>
  <c r="J20" i="6" a="1"/>
  <c r="J20" i="6" s="1"/>
  <c r="E21" i="6" a="1"/>
  <c r="E21" i="6" s="1"/>
  <c r="I6" i="6" a="1"/>
  <c r="I6" i="6" s="1"/>
  <c r="E6" i="6" a="1"/>
  <c r="E6" i="6" s="1"/>
  <c r="G6" i="6" a="1"/>
  <c r="G6" i="6" s="1"/>
  <c r="J21" i="6" a="1"/>
  <c r="J21" i="6" s="1"/>
  <c r="G23" i="6" a="1"/>
  <c r="G23" i="6" s="1"/>
  <c r="F21" i="6" a="1"/>
  <c r="F21" i="6" s="1"/>
  <c r="E19" i="6" a="1"/>
  <c r="E19" i="6" s="1"/>
  <c r="D22" i="6" a="1"/>
  <c r="D22" i="6" s="1"/>
  <c r="H23" i="6" a="1"/>
  <c r="H23" i="6" s="1"/>
  <c r="F19" i="6" a="1"/>
  <c r="F19" i="6" s="1"/>
  <c r="E22" i="6" a="1"/>
  <c r="E22" i="6" s="1"/>
  <c r="F20" i="6" a="1"/>
  <c r="F20" i="6" s="1"/>
  <c r="I22" i="6" a="1"/>
  <c r="I22" i="6" s="1"/>
  <c r="H6" i="6" a="1"/>
  <c r="H6" i="6" s="1"/>
  <c r="D6" i="6" a="1"/>
  <c r="D6" i="6" s="1"/>
  <c r="D21" i="6" a="1"/>
  <c r="D21" i="6" s="1"/>
  <c r="J22" i="6" a="1"/>
  <c r="J22" i="6" s="1"/>
  <c r="I20" i="6" a="1"/>
  <c r="I20" i="6" s="1"/>
  <c r="D23" i="6" a="1"/>
  <c r="D23" i="6" s="1"/>
  <c r="I21" i="6" a="1"/>
  <c r="I21" i="6" s="1"/>
  <c r="D20" i="6" a="1"/>
  <c r="D20" i="6" s="1"/>
  <c r="J23" i="6" a="1"/>
  <c r="J23" i="6" s="1"/>
  <c r="H20" i="6" a="1"/>
  <c r="H20" i="6" s="1"/>
  <c r="I19" i="6" a="1"/>
  <c r="I19" i="6" s="1"/>
  <c r="H22" i="6" a="1"/>
  <c r="H22" i="6" s="1"/>
  <c r="G20" i="6" a="1"/>
  <c r="G20" i="6" s="1"/>
  <c r="G21" i="6" a="1"/>
  <c r="G21" i="6" s="1"/>
  <c r="H19" i="6" a="1"/>
  <c r="H19" i="6" s="1"/>
  <c r="G22" i="6" a="1"/>
  <c r="G22" i="6" s="1"/>
  <c r="F23" i="6" a="1"/>
  <c r="F23" i="6" s="1"/>
  <c r="J6" i="6" a="1"/>
  <c r="J6" i="6" s="1"/>
  <c r="F6" i="6" a="1"/>
  <c r="F6" i="6" s="1"/>
  <c r="E23" i="6" a="1"/>
  <c r="E23" i="6" s="1"/>
  <c r="K42" i="6" l="1"/>
  <c r="K41" i="6"/>
  <c r="K40" i="6"/>
  <c r="K23" i="6"/>
  <c r="K18" i="6"/>
  <c r="K12" i="6"/>
  <c r="K10" i="6"/>
  <c r="K13" i="6"/>
  <c r="K9" i="6"/>
  <c r="K7" i="6"/>
  <c r="K11" i="6"/>
  <c r="K8" i="6"/>
  <c r="K17" i="6"/>
  <c r="K15" i="6"/>
  <c r="K16" i="6"/>
  <c r="K14" i="6"/>
  <c r="K19" i="6"/>
  <c r="K20" i="6"/>
  <c r="K21" i="6"/>
  <c r="K22" i="6"/>
  <c r="K6" i="6"/>
  <c r="S3" i="2"/>
  <c r="W6" i="2" l="1"/>
  <c r="W7" i="2" s="1"/>
  <c r="AH5" i="2"/>
  <c r="AH3" i="2"/>
  <c r="W8" i="2" l="1"/>
  <c r="AJ7" i="2"/>
  <c r="AJ6" i="2"/>
  <c r="J1" i="2"/>
  <c r="A1" i="2"/>
  <c r="B17" i="2"/>
  <c r="A3" i="2"/>
  <c r="W1" i="2"/>
  <c r="AF3" i="2"/>
  <c r="AF5" i="2"/>
  <c r="AI5" i="2" s="1"/>
  <c r="AJ5" i="2" s="1"/>
  <c r="C7" i="2" l="1"/>
  <c r="D7" i="2" s="1" a="1"/>
  <c r="D7" i="2" s="1"/>
  <c r="C13" i="2"/>
  <c r="E13" i="2" a="1"/>
  <c r="E13" i="2" s="1"/>
  <c r="E7" i="2" a="1"/>
  <c r="E7" i="2" s="1"/>
  <c r="C4" i="2"/>
  <c r="E4" i="2" a="1"/>
  <c r="E4" i="2" s="1"/>
  <c r="F4" i="2" s="1"/>
  <c r="C3" i="2"/>
  <c r="AJ8" i="2"/>
  <c r="W9" i="2"/>
  <c r="C12" i="2"/>
  <c r="C6" i="2"/>
  <c r="C14" i="2"/>
  <c r="C11" i="2"/>
  <c r="C9" i="2"/>
  <c r="C15" i="2"/>
  <c r="C10" i="2"/>
  <c r="C8" i="2"/>
  <c r="C5" i="2"/>
  <c r="E14" i="2" a="1"/>
  <c r="E14" i="2" s="1"/>
  <c r="E9" i="2" a="1"/>
  <c r="E9" i="2" s="1"/>
  <c r="E10" i="2" a="1"/>
  <c r="E10" i="2" s="1"/>
  <c r="E11" i="2" a="1"/>
  <c r="E11" i="2" s="1"/>
  <c r="F11" i="2" s="1"/>
  <c r="E15" i="2" a="1"/>
  <c r="E15" i="2" s="1"/>
  <c r="E8" i="2" a="1"/>
  <c r="E8" i="2" s="1"/>
  <c r="E12" i="2" a="1"/>
  <c r="E12" i="2" s="1"/>
  <c r="F12" i="2" s="1"/>
  <c r="E6" i="2" a="1"/>
  <c r="E6" i="2" s="1"/>
  <c r="E5" i="2" a="1"/>
  <c r="E5" i="2" s="1"/>
  <c r="AI3" i="2"/>
  <c r="H7" i="2" s="1" a="1"/>
  <c r="H7" i="2" s="1"/>
  <c r="I7" i="2" s="1"/>
  <c r="Z17" i="2"/>
  <c r="F13" i="2" l="1"/>
  <c r="H13" i="2" a="1"/>
  <c r="H13" i="2" s="1"/>
  <c r="I13" i="2" s="1"/>
  <c r="D13" i="2" a="1"/>
  <c r="D13" i="2" s="1"/>
  <c r="G13" i="2"/>
  <c r="J13" i="2" a="1"/>
  <c r="J13" i="2" s="1"/>
  <c r="G7" i="2"/>
  <c r="F7" i="2"/>
  <c r="J7" i="2" a="1"/>
  <c r="J7" i="2" s="1"/>
  <c r="AJ3" i="2"/>
  <c r="H4" i="2" a="1"/>
  <c r="H4" i="2" s="1"/>
  <c r="I4" i="2" s="1"/>
  <c r="J4" i="2" a="1"/>
  <c r="J4" i="2" s="1"/>
  <c r="G4" i="2"/>
  <c r="D4" i="2" a="1"/>
  <c r="D4" i="2" s="1"/>
  <c r="AJ9" i="2"/>
  <c r="W10" i="2"/>
  <c r="G12" i="2"/>
  <c r="D12" i="2" a="1"/>
  <c r="D12" i="2" s="1"/>
  <c r="D8" i="2" a="1"/>
  <c r="D8" i="2" s="1"/>
  <c r="H12" i="2" a="1"/>
  <c r="H12" i="2" s="1"/>
  <c r="I12" i="2" s="1"/>
  <c r="H11" i="2" a="1"/>
  <c r="H11" i="2" s="1"/>
  <c r="I11" i="2" s="1"/>
  <c r="G11" i="2"/>
  <c r="D11" i="2" a="1"/>
  <c r="D11" i="2" s="1"/>
  <c r="H9" i="2" a="1"/>
  <c r="H9" i="2" s="1"/>
  <c r="I9" i="2" s="1"/>
  <c r="D15" i="2" a="1"/>
  <c r="D15" i="2" s="1"/>
  <c r="H15" i="2" a="1"/>
  <c r="H15" i="2" s="1"/>
  <c r="I15" i="2" s="1"/>
  <c r="H14" i="2" a="1"/>
  <c r="H14" i="2" s="1"/>
  <c r="I14" i="2" s="1"/>
  <c r="H10" i="2" a="1"/>
  <c r="H10" i="2" s="1"/>
  <c r="I10" i="2" s="1"/>
  <c r="D10" i="2" a="1"/>
  <c r="D10" i="2" s="1"/>
  <c r="D14" i="2" a="1"/>
  <c r="D14" i="2" s="1"/>
  <c r="H8" i="2" a="1"/>
  <c r="H8" i="2" s="1"/>
  <c r="I8" i="2" s="1"/>
  <c r="D9" i="2" a="1"/>
  <c r="D9" i="2" s="1"/>
  <c r="H6" i="2" a="1"/>
  <c r="H6" i="2" s="1"/>
  <c r="D6" i="2" a="1"/>
  <c r="D6" i="2" s="1"/>
  <c r="AC17" i="2"/>
  <c r="AD17" i="2"/>
  <c r="AF17" i="2"/>
  <c r="D5" i="2" a="1"/>
  <c r="D5" i="2" s="1"/>
  <c r="H5" i="2" a="1"/>
  <c r="H5" i="2" s="1"/>
  <c r="I5" i="2" s="1"/>
  <c r="AI17" i="2"/>
  <c r="B3" i="2"/>
  <c r="G9" i="2" l="1"/>
  <c r="F8" i="2"/>
  <c r="G8" i="2"/>
  <c r="AJ10" i="2"/>
  <c r="W11" i="2"/>
  <c r="F9" i="2"/>
  <c r="F10" i="2"/>
  <c r="G14" i="2"/>
  <c r="F14" i="2"/>
  <c r="G10" i="2"/>
  <c r="G15" i="2"/>
  <c r="F15" i="2"/>
  <c r="I6" i="2"/>
  <c r="G6" i="2"/>
  <c r="F6" i="2"/>
  <c r="AE17" i="2"/>
  <c r="G5" i="2"/>
  <c r="F5" i="2"/>
  <c r="AJ11" i="2" l="1"/>
  <c r="W12" i="2"/>
  <c r="W13" i="2" s="1"/>
  <c r="H48" i="2" a="1"/>
  <c r="H48" i="2" s="1"/>
  <c r="G48" i="2" a="1"/>
  <c r="G48" i="2" s="1"/>
  <c r="W14" i="2" l="1"/>
  <c r="AJ13" i="2"/>
  <c r="AJ12" i="2"/>
  <c r="P34" i="2" a="1"/>
  <c r="P34" i="2" s="1"/>
  <c r="P29" i="2" a="1"/>
  <c r="P29" i="2" s="1"/>
  <c r="P36" i="2" a="1"/>
  <c r="P36" i="2" s="1"/>
  <c r="P35" i="2" a="1"/>
  <c r="P35" i="2" s="1"/>
  <c r="P30" i="2" a="1"/>
  <c r="P30" i="2" s="1"/>
  <c r="P32" i="2" a="1"/>
  <c r="P32" i="2" s="1"/>
  <c r="P31" i="2" a="1"/>
  <c r="P31" i="2" s="1"/>
  <c r="P26" i="2" a="1"/>
  <c r="P26" i="2" s="1"/>
  <c r="P37" i="2" a="1"/>
  <c r="P37" i="2" s="1"/>
  <c r="P28" i="2" a="1"/>
  <c r="P28" i="2" s="1"/>
  <c r="P27" i="2" a="1"/>
  <c r="P27" i="2" s="1"/>
  <c r="P33" i="2" a="1"/>
  <c r="P33" i="2" s="1"/>
  <c r="E3" i="2" a="1"/>
  <c r="E3" i="2" s="1"/>
  <c r="L13" i="2" s="1" a="1"/>
  <c r="L13" i="2" s="1"/>
  <c r="K13" i="2" l="1"/>
  <c r="T13" i="2"/>
  <c r="L4" i="2" a="1"/>
  <c r="L4" i="2" s="1"/>
  <c r="L7" i="2" a="1"/>
  <c r="L7" i="2" s="1"/>
  <c r="AJ14" i="2"/>
  <c r="W15" i="2"/>
  <c r="J15" i="2" a="1"/>
  <c r="J15" i="2" s="1"/>
  <c r="J11" i="2" a="1"/>
  <c r="J11" i="2" s="1"/>
  <c r="J14" i="2" a="1"/>
  <c r="J14" i="2" s="1"/>
  <c r="J12" i="2" a="1"/>
  <c r="J12" i="2" s="1"/>
  <c r="J9" i="2" a="1"/>
  <c r="J9" i="2" s="1"/>
  <c r="J10" i="2" a="1"/>
  <c r="J10" i="2" s="1"/>
  <c r="J8" i="2" a="1"/>
  <c r="J8" i="2" s="1"/>
  <c r="L8" i="2" a="1"/>
  <c r="L8" i="2" s="1"/>
  <c r="L12" i="2" a="1"/>
  <c r="L12" i="2" s="1"/>
  <c r="L11" i="2" a="1"/>
  <c r="L11" i="2" s="1"/>
  <c r="L10" i="2" a="1"/>
  <c r="L10" i="2" s="1"/>
  <c r="M10" i="2" s="1"/>
  <c r="L15" i="2" a="1"/>
  <c r="L15" i="2" s="1"/>
  <c r="L14" i="2" a="1"/>
  <c r="L14" i="2" s="1"/>
  <c r="L9" i="2" a="1"/>
  <c r="L9" i="2" s="1"/>
  <c r="J6" i="2" a="1"/>
  <c r="J6" i="2" s="1"/>
  <c r="L6" i="2" a="1"/>
  <c r="L6" i="2" s="1"/>
  <c r="I35" i="6" a="1"/>
  <c r="I35" i="6" s="1"/>
  <c r="F35" i="6" a="1"/>
  <c r="F35" i="6" s="1"/>
  <c r="G35" i="6" a="1"/>
  <c r="G35" i="6" s="1"/>
  <c r="D35" i="6" a="1"/>
  <c r="D35" i="6" s="1"/>
  <c r="J35" i="6" a="1"/>
  <c r="J35" i="6" s="1"/>
  <c r="H35" i="6" a="1"/>
  <c r="H35" i="6" s="1"/>
  <c r="E35" i="6" a="1"/>
  <c r="E35" i="6" s="1"/>
  <c r="J36" i="6" a="1"/>
  <c r="J36" i="6" s="1"/>
  <c r="I36" i="6" a="1"/>
  <c r="I36" i="6" s="1"/>
  <c r="G36" i="6" a="1"/>
  <c r="G36" i="6" s="1"/>
  <c r="D36" i="6" a="1"/>
  <c r="D36" i="6" s="1"/>
  <c r="H36" i="6" a="1"/>
  <c r="H36" i="6" s="1"/>
  <c r="E36" i="6" a="1"/>
  <c r="E36" i="6" s="1"/>
  <c r="F36" i="6" a="1"/>
  <c r="F36" i="6" s="1"/>
  <c r="F24" i="6" a="1"/>
  <c r="F24" i="6" s="1"/>
  <c r="G24" i="6" a="1"/>
  <c r="G24" i="6" s="1"/>
  <c r="E24" i="6" a="1"/>
  <c r="E24" i="6" s="1"/>
  <c r="J24" i="6" a="1"/>
  <c r="J24" i="6" s="1"/>
  <c r="H24" i="6" a="1"/>
  <c r="H24" i="6" s="1"/>
  <c r="I24" i="6" a="1"/>
  <c r="I24" i="6" s="1"/>
  <c r="D24" i="6" a="1"/>
  <c r="D24" i="6" s="1"/>
  <c r="H28" i="6" a="1"/>
  <c r="H28" i="6" s="1"/>
  <c r="I28" i="6" a="1"/>
  <c r="I28" i="6" s="1"/>
  <c r="F28" i="6" a="1"/>
  <c r="F28" i="6" s="1"/>
  <c r="G28" i="6" a="1"/>
  <c r="G28" i="6" s="1"/>
  <c r="D28" i="6" a="1"/>
  <c r="D28" i="6" s="1"/>
  <c r="E28" i="6" a="1"/>
  <c r="E28" i="6" s="1"/>
  <c r="J28" i="6" a="1"/>
  <c r="J28" i="6" s="1"/>
  <c r="I31" i="6" a="1"/>
  <c r="I31" i="6" s="1"/>
  <c r="J31" i="6" a="1"/>
  <c r="J31" i="6" s="1"/>
  <c r="F31" i="6" a="1"/>
  <c r="F31" i="6" s="1"/>
  <c r="G31" i="6" a="1"/>
  <c r="G31" i="6" s="1"/>
  <c r="D31" i="6" a="1"/>
  <c r="D31" i="6" s="1"/>
  <c r="H31" i="6" a="1"/>
  <c r="H31" i="6" s="1"/>
  <c r="E31" i="6" a="1"/>
  <c r="E31" i="6" s="1"/>
  <c r="J25" i="6" a="1"/>
  <c r="J25" i="6" s="1"/>
  <c r="G25" i="6" a="1"/>
  <c r="G25" i="6" s="1"/>
  <c r="H25" i="6" a="1"/>
  <c r="H25" i="6" s="1"/>
  <c r="F25" i="6" a="1"/>
  <c r="F25" i="6" s="1"/>
  <c r="I25" i="6" a="1"/>
  <c r="I25" i="6" s="1"/>
  <c r="D25" i="6" a="1"/>
  <c r="D25" i="6" s="1"/>
  <c r="E25" i="6" a="1"/>
  <c r="E25" i="6" s="1"/>
  <c r="D29" i="6" a="1"/>
  <c r="D29" i="6" s="1"/>
  <c r="J29" i="6" a="1"/>
  <c r="J29" i="6" s="1"/>
  <c r="G29" i="6" a="1"/>
  <c r="G29" i="6" s="1"/>
  <c r="H29" i="6" a="1"/>
  <c r="H29" i="6" s="1"/>
  <c r="I29" i="6" a="1"/>
  <c r="I29" i="6" s="1"/>
  <c r="F29" i="6" a="1"/>
  <c r="F29" i="6" s="1"/>
  <c r="E29" i="6" a="1"/>
  <c r="E29" i="6" s="1"/>
  <c r="G33" i="6" a="1"/>
  <c r="G33" i="6" s="1"/>
  <c r="H33" i="6" a="1"/>
  <c r="H33" i="6" s="1"/>
  <c r="E33" i="6" a="1"/>
  <c r="E33" i="6" s="1"/>
  <c r="I33" i="6" a="1"/>
  <c r="I33" i="6" s="1"/>
  <c r="F33" i="6" a="1"/>
  <c r="F33" i="6" s="1"/>
  <c r="D33" i="6" a="1"/>
  <c r="D33" i="6" s="1"/>
  <c r="J33" i="6" a="1"/>
  <c r="J33" i="6" s="1"/>
  <c r="H27" i="6" a="1"/>
  <c r="H27" i="6" s="1"/>
  <c r="I27" i="6" a="1"/>
  <c r="I27" i="6" s="1"/>
  <c r="F27" i="6" a="1"/>
  <c r="F27" i="6" s="1"/>
  <c r="G27" i="6" a="1"/>
  <c r="G27" i="6" s="1"/>
  <c r="J27" i="6" a="1"/>
  <c r="J27" i="6" s="1"/>
  <c r="E27" i="6" a="1"/>
  <c r="E27" i="6" s="1"/>
  <c r="D27" i="6" a="1"/>
  <c r="D27" i="6" s="1"/>
  <c r="J32" i="6" a="1"/>
  <c r="J32" i="6" s="1"/>
  <c r="E32" i="6" a="1"/>
  <c r="E32" i="6" s="1"/>
  <c r="G32" i="6" a="1"/>
  <c r="G32" i="6" s="1"/>
  <c r="I32" i="6" a="1"/>
  <c r="I32" i="6" s="1"/>
  <c r="D32" i="6" a="1"/>
  <c r="D32" i="6" s="1"/>
  <c r="H32" i="6" a="1"/>
  <c r="H32" i="6" s="1"/>
  <c r="F32" i="6" a="1"/>
  <c r="F32" i="6" s="1"/>
  <c r="G26" i="6" a="1"/>
  <c r="G26" i="6" s="1"/>
  <c r="H26" i="6" a="1"/>
  <c r="H26" i="6" s="1"/>
  <c r="E26" i="6" a="1"/>
  <c r="E26" i="6" s="1"/>
  <c r="F26" i="6" a="1"/>
  <c r="F26" i="6" s="1"/>
  <c r="D26" i="6" a="1"/>
  <c r="D26" i="6" s="1"/>
  <c r="I26" i="6" a="1"/>
  <c r="I26" i="6" s="1"/>
  <c r="J26" i="6" a="1"/>
  <c r="J26" i="6" s="1"/>
  <c r="I30" i="6" a="1"/>
  <c r="I30" i="6" s="1"/>
  <c r="J30" i="6" a="1"/>
  <c r="J30" i="6" s="1"/>
  <c r="G30" i="6" a="1"/>
  <c r="G30" i="6" s="1"/>
  <c r="H30" i="6" a="1"/>
  <c r="H30" i="6" s="1"/>
  <c r="E30" i="6" a="1"/>
  <c r="E30" i="6" s="1"/>
  <c r="F30" i="6" a="1"/>
  <c r="F30" i="6" s="1"/>
  <c r="D30" i="6" a="1"/>
  <c r="D30" i="6" s="1"/>
  <c r="H34" i="6" a="1"/>
  <c r="H34" i="6" s="1"/>
  <c r="G34" i="6" a="1"/>
  <c r="G34" i="6" s="1"/>
  <c r="D34" i="6" a="1"/>
  <c r="D34" i="6" s="1"/>
  <c r="I34" i="6" a="1"/>
  <c r="I34" i="6" s="1"/>
  <c r="F34" i="6" a="1"/>
  <c r="F34" i="6" s="1"/>
  <c r="E34" i="6" a="1"/>
  <c r="E34" i="6" s="1"/>
  <c r="J34" i="6" a="1"/>
  <c r="J34" i="6" s="1"/>
  <c r="J5" i="2" a="1"/>
  <c r="J5" i="2" s="1"/>
  <c r="L5" i="2" a="1"/>
  <c r="L5" i="2" s="1"/>
  <c r="E17" i="2"/>
  <c r="Q39" i="2" s="1"/>
  <c r="C17" i="2"/>
  <c r="P39" i="2" s="1"/>
  <c r="J3" i="2" a="1"/>
  <c r="J3" i="2" s="1"/>
  <c r="T4" i="2" l="1"/>
  <c r="K4" i="2"/>
  <c r="K7" i="2"/>
  <c r="T7" i="2"/>
  <c r="AJ15" i="2"/>
  <c r="K9" i="2"/>
  <c r="K14" i="2"/>
  <c r="K15" i="2"/>
  <c r="K12" i="2"/>
  <c r="K8" i="2"/>
  <c r="K10" i="2"/>
  <c r="K11" i="2"/>
  <c r="T11" i="2"/>
  <c r="T12" i="2"/>
  <c r="T8" i="2"/>
  <c r="T15" i="2"/>
  <c r="T10" i="2"/>
  <c r="T9" i="2"/>
  <c r="T14" i="2"/>
  <c r="K6" i="2"/>
  <c r="T6" i="2"/>
  <c r="K35" i="6"/>
  <c r="K30" i="6"/>
  <c r="K32" i="6"/>
  <c r="K34" i="6"/>
  <c r="K26" i="6"/>
  <c r="K27" i="6"/>
  <c r="K33" i="6"/>
  <c r="K29" i="6"/>
  <c r="K28" i="6"/>
  <c r="K25" i="6"/>
  <c r="K31" i="6"/>
  <c r="K24" i="6"/>
  <c r="K36" i="6"/>
  <c r="H38" i="6" a="1"/>
  <c r="H38" i="6" s="1"/>
  <c r="E38" i="6" a="1"/>
  <c r="E38" i="6" s="1"/>
  <c r="D38" i="6" a="1"/>
  <c r="D38" i="6" s="1"/>
  <c r="I38" i="6" a="1"/>
  <c r="I38" i="6" s="1"/>
  <c r="F38" i="6" a="1"/>
  <c r="F38" i="6" s="1"/>
  <c r="J38" i="6" a="1"/>
  <c r="J38" i="6" s="1"/>
  <c r="G38" i="6" a="1"/>
  <c r="G38" i="6" s="1"/>
  <c r="K5" i="2"/>
  <c r="T5" i="2"/>
  <c r="Q26" i="2" a="1"/>
  <c r="Q26" i="2" s="1"/>
  <c r="J28" i="2" a="1"/>
  <c r="J28" i="2" s="1"/>
  <c r="Q33" i="2" a="1"/>
  <c r="Q33" i="2" s="1"/>
  <c r="J27" i="2" a="1"/>
  <c r="J27" i="2" s="1"/>
  <c r="Q34" i="2" a="1"/>
  <c r="Q34" i="2" s="1"/>
  <c r="Q28" i="2" a="1"/>
  <c r="Q28" i="2" s="1"/>
  <c r="R28" i="2" s="1"/>
  <c r="Q37" i="2" a="1"/>
  <c r="Q37" i="2" s="1"/>
  <c r="J25" i="2" a="1"/>
  <c r="J25" i="2" s="1"/>
  <c r="Q35" i="2" a="1"/>
  <c r="Q35" i="2" s="1"/>
  <c r="Q29" i="2" a="1"/>
  <c r="Q29" i="2" s="1"/>
  <c r="Q32" i="2" a="1"/>
  <c r="Q32" i="2" s="1"/>
  <c r="Q31" i="2" a="1"/>
  <c r="Q31" i="2" s="1"/>
  <c r="R31" i="2" s="1"/>
  <c r="Q25" i="2" a="1"/>
  <c r="Q25" i="2" s="1"/>
  <c r="J26" i="2" a="1"/>
  <c r="J26" i="2" s="1"/>
  <c r="Q27" i="2" a="1"/>
  <c r="Q27" i="2" s="1"/>
  <c r="J17" i="2"/>
  <c r="D3" i="2" a="1"/>
  <c r="D3" i="2" s="1"/>
  <c r="I28" i="2" l="1"/>
  <c r="K38" i="6"/>
  <c r="L41" i="2" a="1"/>
  <c r="L41" i="2" s="1"/>
  <c r="L42" i="2" a="1"/>
  <c r="L42" i="2" s="1"/>
  <c r="S32" i="2" a="1"/>
  <c r="S32" i="2" s="1"/>
  <c r="L27" i="2" a="1"/>
  <c r="L27" i="2" s="1"/>
  <c r="S26" i="2" a="1"/>
  <c r="S26" i="2" s="1"/>
  <c r="S28" i="2" a="1"/>
  <c r="S28" i="2" s="1"/>
  <c r="L25" i="2" a="1"/>
  <c r="L25" i="2" s="1"/>
  <c r="S27" i="2" a="1"/>
  <c r="S27" i="2" s="1"/>
  <c r="S34" i="2" a="1"/>
  <c r="S34" i="2" s="1"/>
  <c r="S35" i="2" a="1"/>
  <c r="S35" i="2" s="1"/>
  <c r="S29" i="2" a="1"/>
  <c r="S29" i="2" s="1"/>
  <c r="L26" i="2" a="1"/>
  <c r="L26" i="2" s="1"/>
  <c r="S37" i="2" a="1"/>
  <c r="S37" i="2" s="1"/>
  <c r="S31" i="2" a="1"/>
  <c r="S31" i="2" s="1"/>
  <c r="L28" i="2" a="1"/>
  <c r="L28" i="2" s="1"/>
  <c r="S25" i="2" a="1"/>
  <c r="S25" i="2" s="1"/>
  <c r="S33" i="2" a="1"/>
  <c r="S33" i="2" s="1"/>
  <c r="H3" i="2" a="1"/>
  <c r="H3" i="2" s="1"/>
  <c r="O13" i="2" s="1" a="1"/>
  <c r="O13" i="2" s="1"/>
  <c r="M13" i="2" s="1"/>
  <c r="N13" i="2" l="1"/>
  <c r="P13" i="2"/>
  <c r="U13" i="2"/>
  <c r="O4" i="2" a="1"/>
  <c r="O4" i="2" s="1"/>
  <c r="O7" i="2" a="1"/>
  <c r="O7" i="2" s="1"/>
  <c r="M7" i="2" s="1"/>
  <c r="O14" i="2" a="1"/>
  <c r="O14" i="2" s="1"/>
  <c r="M14" i="2" s="1"/>
  <c r="O11" i="2" a="1"/>
  <c r="O11" i="2" s="1"/>
  <c r="M11" i="2" s="1"/>
  <c r="O10" i="2" a="1"/>
  <c r="O10" i="2" s="1"/>
  <c r="O9" i="2" a="1"/>
  <c r="O9" i="2" s="1"/>
  <c r="M9" i="2" s="1"/>
  <c r="O15" i="2" a="1"/>
  <c r="O15" i="2" s="1"/>
  <c r="M15" i="2" s="1"/>
  <c r="O8" i="2" a="1"/>
  <c r="O8" i="2" s="1"/>
  <c r="M8" i="2" s="1"/>
  <c r="O12" i="2" a="1"/>
  <c r="O12" i="2" s="1"/>
  <c r="M12" i="2" s="1"/>
  <c r="O6" i="2" a="1"/>
  <c r="O6" i="2" s="1"/>
  <c r="M6" i="2" s="1"/>
  <c r="I3" i="2"/>
  <c r="O5" i="2" a="1"/>
  <c r="O5" i="2" s="1"/>
  <c r="H17" i="2"/>
  <c r="G3" i="2"/>
  <c r="F3" i="2"/>
  <c r="P4" i="2" l="1"/>
  <c r="M4" i="2"/>
  <c r="U4" i="2"/>
  <c r="N4" i="2"/>
  <c r="P7" i="2"/>
  <c r="N7" i="2"/>
  <c r="U7" i="2"/>
  <c r="P5" i="2"/>
  <c r="M5" i="2"/>
  <c r="N12" i="2"/>
  <c r="P12" i="2"/>
  <c r="U12" i="2"/>
  <c r="N10" i="2"/>
  <c r="P10" i="2"/>
  <c r="U10" i="2"/>
  <c r="N8" i="2"/>
  <c r="P8" i="2"/>
  <c r="U8" i="2"/>
  <c r="N11" i="2"/>
  <c r="P11" i="2"/>
  <c r="U11" i="2"/>
  <c r="N14" i="2"/>
  <c r="P14" i="2"/>
  <c r="U14" i="2"/>
  <c r="N15" i="2"/>
  <c r="P15" i="2"/>
  <c r="U15" i="2"/>
  <c r="N9" i="2"/>
  <c r="P9" i="2"/>
  <c r="U9" i="2"/>
  <c r="N6" i="2"/>
  <c r="P6" i="2"/>
  <c r="U6" i="2"/>
  <c r="U5" i="2"/>
  <c r="N5" i="2"/>
  <c r="L40" i="2" l="1"/>
  <c r="J40" i="2"/>
  <c r="K29" i="2" s="1"/>
  <c r="I17" i="2" l="1"/>
  <c r="J44" i="2"/>
  <c r="L44" i="2"/>
  <c r="P38" i="2" l="1"/>
  <c r="R25" i="2" l="1"/>
  <c r="K25" i="2"/>
  <c r="G37" i="6" a="1"/>
  <c r="G37" i="6" s="1"/>
  <c r="I37" i="6" a="1"/>
  <c r="I37" i="6" s="1"/>
  <c r="F37" i="6" a="1"/>
  <c r="F37" i="6" s="1"/>
  <c r="D37" i="6" a="1"/>
  <c r="D37" i="6" s="1"/>
  <c r="J37" i="6" a="1"/>
  <c r="J37" i="6" s="1"/>
  <c r="H37" i="6" a="1"/>
  <c r="H37" i="6" s="1"/>
  <c r="E37" i="6" a="1"/>
  <c r="E37" i="6" s="1"/>
  <c r="P40" i="2"/>
  <c r="L3" i="2" a="1"/>
  <c r="L3" i="2" s="1"/>
  <c r="O3" i="2" a="1"/>
  <c r="O3" i="2" s="1"/>
  <c r="P3" i="2" s="1"/>
  <c r="T3" i="2" l="1"/>
  <c r="M3" i="2"/>
  <c r="T41" i="2" s="1"/>
  <c r="K37" i="6"/>
  <c r="I39" i="6" a="1"/>
  <c r="I39" i="6" s="1"/>
  <c r="I4" i="6" s="1"/>
  <c r="D39" i="6" a="1"/>
  <c r="D39" i="6" s="1"/>
  <c r="H39" i="6" a="1"/>
  <c r="H39" i="6" s="1"/>
  <c r="H4" i="6" s="1"/>
  <c r="E39" i="6" a="1"/>
  <c r="E39" i="6" s="1"/>
  <c r="E4" i="6" s="1"/>
  <c r="F39" i="6" a="1"/>
  <c r="F39" i="6" s="1"/>
  <c r="F4" i="6" s="1"/>
  <c r="J39" i="6" a="1"/>
  <c r="J39" i="6" s="1"/>
  <c r="J4" i="6" s="1"/>
  <c r="G39" i="6" a="1"/>
  <c r="G39" i="6" s="1"/>
  <c r="G4" i="6" s="1"/>
  <c r="O17" i="2"/>
  <c r="S38" i="2" s="1"/>
  <c r="L17" i="2"/>
  <c r="Q38" i="2" s="1"/>
  <c r="K3" i="2"/>
  <c r="N3" i="2"/>
  <c r="U3" i="2"/>
  <c r="D17" i="2"/>
  <c r="F17" i="2"/>
  <c r="G17" i="2"/>
  <c r="S41" i="2" l="1" a="1"/>
  <c r="S41" i="2" s="1"/>
  <c r="K39" i="6"/>
  <c r="D4" i="6"/>
  <c r="K4" i="6" s="1"/>
  <c r="K46" i="2" s="1"/>
  <c r="K47" i="2" s="1"/>
  <c r="S39" i="2" a="1"/>
  <c r="S39" i="2" s="1"/>
  <c r="T39" i="2" s="1"/>
  <c r="U17" i="2"/>
  <c r="G39" i="2" s="1"/>
  <c r="T17" i="2" a="1"/>
  <c r="T17" i="2" s="1"/>
  <c r="G36" i="2" s="1"/>
  <c r="M17" i="2"/>
  <c r="K17" i="2"/>
  <c r="N17" i="2"/>
  <c r="S40" i="2" l="1"/>
  <c r="S44" i="2" s="1"/>
  <c r="Q40" i="2"/>
  <c r="Q44" i="2" l="1"/>
  <c r="R41" i="2" l="1"/>
  <c r="P17" i="2" l="1"/>
  <c r="R39" i="2"/>
  <c r="T38" i="2" l="1"/>
  <c r="R29" i="2"/>
  <c r="R26" i="2"/>
  <c r="K26" i="2"/>
  <c r="M41" i="2" a="1"/>
  <c r="M41" i="2" s="1"/>
  <c r="K41" i="2" s="1"/>
  <c r="R33" i="2"/>
  <c r="R37" i="2"/>
  <c r="M28" i="2" a="1"/>
  <c r="M28" i="2" s="1"/>
  <c r="K28" i="2" s="1"/>
  <c r="R35" i="2"/>
  <c r="R32" i="2"/>
  <c r="R34" i="2"/>
  <c r="M42" i="2" a="1"/>
  <c r="M42" i="2" s="1"/>
  <c r="K42" i="2" s="1"/>
  <c r="K27" i="2"/>
  <c r="R38" i="2" l="1"/>
  <c r="R27" i="2"/>
  <c r="M40" i="2"/>
  <c r="M43" i="2" s="1"/>
  <c r="T40" i="2"/>
  <c r="T44" i="2" s="1"/>
  <c r="K43" i="2" l="1"/>
  <c r="R40" i="2"/>
  <c r="R44" i="2"/>
  <c r="M44" i="2"/>
  <c r="K44" i="2" s="1"/>
  <c r="K40" i="2"/>
  <c r="AJ17" i="2"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<sst xmlns="http://schemas.openxmlformats.org/spreadsheetml/2006/main" count="259" uniqueCount="162">
  <si>
    <t>Toros</t>
  </si>
  <si>
    <t>Kg/Cab.</t>
  </si>
  <si>
    <t>$/Kg</t>
  </si>
  <si>
    <t>$/Cab.</t>
  </si>
  <si>
    <t>Fecha</t>
  </si>
  <si>
    <t>Cab.</t>
  </si>
  <si>
    <t>Kg.</t>
  </si>
  <si>
    <t>Categoria</t>
  </si>
  <si>
    <t>Mortandad</t>
  </si>
  <si>
    <t>Venta</t>
  </si>
  <si>
    <t>Movimientos</t>
  </si>
  <si>
    <t>Kilos Producidos</t>
  </si>
  <si>
    <t>Compra</t>
  </si>
  <si>
    <t>Cambio Categoria</t>
  </si>
  <si>
    <t>TOTAL</t>
  </si>
  <si>
    <t>Movimiento</t>
  </si>
  <si>
    <t>Comentarios</t>
  </si>
  <si>
    <t>Kilos</t>
  </si>
  <si>
    <t>Kg. Diferencia</t>
  </si>
  <si>
    <t>Dif. Real - Contable</t>
  </si>
  <si>
    <t xml:space="preserve">Inventario Final </t>
  </si>
  <si>
    <t>Inventario Inicial</t>
  </si>
  <si>
    <t>$ Total Diferencia</t>
  </si>
  <si>
    <t>Nacimiento</t>
  </si>
  <si>
    <t>MOVIMIENTOS</t>
  </si>
  <si>
    <t>Traslado Salida</t>
  </si>
  <si>
    <t>Consumo</t>
  </si>
  <si>
    <t>Donación</t>
  </si>
  <si>
    <t>Robo</t>
  </si>
  <si>
    <t>Traslado Entrada</t>
  </si>
  <si>
    <t>Error de recuento (-)</t>
  </si>
  <si>
    <t>Error de recuento (+)</t>
  </si>
  <si>
    <t>Ajuste por exposición inflación</t>
  </si>
  <si>
    <t>Res. por Tenencia</t>
  </si>
  <si>
    <t>Cabezas</t>
  </si>
  <si>
    <t>Alta / Baja</t>
  </si>
  <si>
    <t>-</t>
  </si>
  <si>
    <t>+</t>
  </si>
  <si>
    <t>Cambio Categoría (-)</t>
  </si>
  <si>
    <t>Cambio Categoría (+)</t>
  </si>
  <si>
    <t>/ / / / / / / / / /</t>
  </si>
  <si>
    <t>/ / / / / / / / / / /</t>
  </si>
  <si>
    <r>
      <t xml:space="preserve">GUIA DE AYUDA RÁPIDA: </t>
    </r>
    <r>
      <rPr>
        <b/>
        <sz val="14"/>
        <color rgb="FFFFFF00"/>
        <rFont val="Calibri"/>
        <family val="2"/>
        <scheme val="minor"/>
      </rPr>
      <t>(hacé click sobre cada uno de los pasos)</t>
    </r>
  </si>
  <si>
    <t>1.-</t>
  </si>
  <si>
    <t>2.-</t>
  </si>
  <si>
    <t>3.-</t>
  </si>
  <si>
    <t>4.-</t>
  </si>
  <si>
    <t>5.-</t>
  </si>
  <si>
    <t>Planilla para el cálculo de la Producción de Carne y del Ingreso Neto Ganadero</t>
  </si>
  <si>
    <t>6.-</t>
  </si>
  <si>
    <t>7.-</t>
  </si>
  <si>
    <r>
      <rPr>
        <b/>
        <sz val="14"/>
        <color theme="1"/>
        <rFont val="Calibri"/>
        <family val="2"/>
        <scheme val="minor"/>
      </rPr>
      <t>Paso 3 de la Guía de ayuda rápida:</t>
    </r>
    <r>
      <rPr>
        <sz val="11"/>
        <color theme="1"/>
        <rFont val="Calibri"/>
        <family val="2"/>
        <scheme val="minor"/>
      </rPr>
      <t xml:space="preserve">
A medida que agregues esos movimientos de altas y bajas, la Tabla de </t>
    </r>
    <r>
      <rPr>
        <b/>
        <sz val="11"/>
        <color theme="1"/>
        <rFont val="Calibri"/>
        <family val="2"/>
        <scheme val="minor"/>
      </rPr>
      <t>Stock contable</t>
    </r>
    <r>
      <rPr>
        <sz val="11"/>
        <color theme="1"/>
        <rFont val="Calibri"/>
        <family val="2"/>
        <scheme val="minor"/>
      </rPr>
      <t xml:space="preserve"> se irá actualizando automáticamente en cabezas, en los kilos y en los montos que hayas dado de alta o de baja, </t>
    </r>
    <r>
      <rPr>
        <b/>
        <sz val="11"/>
        <color theme="1"/>
        <rFont val="Calibri"/>
        <family val="2"/>
        <scheme val="minor"/>
      </rPr>
      <t xml:space="preserve">pero no estará incluyendo los kilos que se van produciendo mientras tanto, </t>
    </r>
    <r>
      <rPr>
        <sz val="11"/>
        <color theme="1"/>
        <rFont val="Calibri"/>
        <family val="2"/>
        <scheme val="minor"/>
      </rPr>
      <t xml:space="preserve">y sus correspondientes valores económicos. Cuando quieras </t>
    </r>
    <r>
      <rPr>
        <b/>
        <sz val="11"/>
        <color theme="1"/>
        <rFont val="Calibri"/>
        <family val="2"/>
        <scheme val="minor"/>
      </rPr>
      <t>"ajustar los kilos", para obtener el inventario actualizado con pesos y valores reales</t>
    </r>
    <r>
      <rPr>
        <sz val="11"/>
        <color theme="1"/>
        <rFont val="Calibri"/>
        <family val="2"/>
        <scheme val="minor"/>
      </rPr>
      <t xml:space="preserve">, basta que indiques los </t>
    </r>
    <r>
      <rPr>
        <b/>
        <sz val="11"/>
        <color theme="1"/>
        <rFont val="Calibri"/>
        <family val="2"/>
        <scheme val="minor"/>
      </rPr>
      <t>kilos actuales</t>
    </r>
    <r>
      <rPr>
        <sz val="11"/>
        <color theme="1"/>
        <rFont val="Calibri"/>
        <family val="2"/>
        <scheme val="minor"/>
      </rPr>
      <t xml:space="preserve"> (reales, ya sea pesados o estimados) para cada categoría, en la Tabla de </t>
    </r>
    <r>
      <rPr>
        <b/>
        <sz val="11"/>
        <color theme="1"/>
        <rFont val="Calibri"/>
        <family val="2"/>
        <scheme val="minor"/>
      </rPr>
      <t>Inventario de kilos y precios actualizados (Real</t>
    </r>
    <r>
      <rPr>
        <sz val="11"/>
        <color theme="1"/>
        <rFont val="Calibri"/>
        <family val="2"/>
        <scheme val="minor"/>
      </rPr>
      <t xml:space="preserve">).
Las Normas de Gestión CREA indican que en la </t>
    </r>
    <r>
      <rPr>
        <b/>
        <sz val="11"/>
        <color theme="1"/>
        <rFont val="Calibri"/>
        <family val="2"/>
        <scheme val="minor"/>
      </rPr>
      <t>actividad cría</t>
    </r>
    <r>
      <rPr>
        <sz val="11"/>
        <color theme="1"/>
        <rFont val="Calibri"/>
        <family val="2"/>
        <scheme val="minor"/>
      </rPr>
      <t xml:space="preserve"> se deben actualizar los kilajes </t>
    </r>
    <r>
      <rPr>
        <b/>
        <sz val="11"/>
        <color theme="1"/>
        <rFont val="Calibri"/>
        <family val="2"/>
        <scheme val="minor"/>
      </rPr>
      <t>al menos una vez al año (al cierre de la campaña).</t>
    </r>
    <r>
      <rPr>
        <sz val="11"/>
        <color theme="1"/>
        <rFont val="Calibri"/>
        <family val="2"/>
        <scheme val="minor"/>
      </rPr>
      <t xml:space="preserve"> Mientras que en la </t>
    </r>
    <r>
      <rPr>
        <b/>
        <sz val="11"/>
        <color theme="1"/>
        <rFont val="Calibri"/>
        <family val="2"/>
        <scheme val="minor"/>
      </rPr>
      <t>actividad invernada</t>
    </r>
    <r>
      <rPr>
        <sz val="11"/>
        <color theme="1"/>
        <rFont val="Calibri"/>
        <family val="2"/>
        <scheme val="minor"/>
      </rPr>
      <t xml:space="preserve">, debe hacerse de forma </t>
    </r>
    <r>
      <rPr>
        <b/>
        <sz val="11"/>
        <color theme="1"/>
        <rFont val="Calibri"/>
        <family val="2"/>
        <scheme val="minor"/>
      </rPr>
      <t>trimestral</t>
    </r>
    <r>
      <rPr>
        <sz val="11"/>
        <color theme="1"/>
        <rFont val="Calibri"/>
        <family val="2"/>
        <scheme val="minor"/>
      </rPr>
      <t>.</t>
    </r>
  </si>
  <si>
    <t>8.-</t>
  </si>
  <si>
    <r>
      <rPr>
        <b/>
        <sz val="14"/>
        <color theme="1"/>
        <rFont val="Calibri"/>
        <family val="2"/>
        <scheme val="minor"/>
      </rPr>
      <t>Paso 5 de la Guía de ayuda rápida:</t>
    </r>
    <r>
      <rPr>
        <sz val="11"/>
        <color theme="1"/>
        <rFont val="Calibri"/>
        <family val="2"/>
        <scheme val="minor"/>
      </rPr>
      <t xml:space="preserve">
Haciendo click sobre el Paso 5 de la Guía de ayuda rápida, se realizará el </t>
    </r>
    <r>
      <rPr>
        <b/>
        <sz val="11"/>
        <color theme="1"/>
        <rFont val="Calibri"/>
        <family val="2"/>
        <scheme val="minor"/>
      </rPr>
      <t>ajuste de Kilos Producidos</t>
    </r>
    <r>
      <rPr>
        <sz val="11"/>
        <color theme="1"/>
        <rFont val="Calibri"/>
        <family val="2"/>
        <scheme val="minor"/>
      </rPr>
      <t xml:space="preserve"> (Diferencia entre los kilos reales y los kilos contables). Luego sólo tenés que completar la fecha correspondiente a la fecha de ajuste (cierre del trimestre en la actividad invernada, y cierre de la campaña en la actividad cría, según las Normas de Gestión CREA), en todos los asientos de Kilos Producidos.</t>
    </r>
  </si>
  <si>
    <r>
      <rPr>
        <b/>
        <sz val="14"/>
        <color theme="1"/>
        <rFont val="Calibri"/>
        <family val="2"/>
        <scheme val="minor"/>
      </rPr>
      <t>Paso 6 de la Guía de ayuda rápida:</t>
    </r>
    <r>
      <rPr>
        <sz val="11"/>
        <color theme="1"/>
        <rFont val="Calibri"/>
        <family val="2"/>
        <scheme val="minor"/>
      </rPr>
      <t xml:space="preserve">
Finalmente haciendo click sobre el Paso 6 de la Guía de ayuda rápida, se realizará el </t>
    </r>
    <r>
      <rPr>
        <b/>
        <sz val="11"/>
        <color theme="1"/>
        <rFont val="Calibri"/>
        <family val="2"/>
        <scheme val="minor"/>
      </rPr>
      <t>ajuste por Tenencia</t>
    </r>
    <r>
      <rPr>
        <sz val="11"/>
        <color theme="1"/>
        <rFont val="Calibri"/>
        <family val="2"/>
        <scheme val="minor"/>
      </rPr>
      <t xml:space="preserve"> (Diferencia entre el valor actualizado del stock de hacienda, y el valor contable que surge de los movimientos de altas y bajas de hacienda registrados). Luego sólo tenés que completar la fecha correspondiente a la fecha de ajuste (cierre del trimestre en la actividad invernada, y cierre de la campaña en la actividad cría, según las Normas de Gestión CREA).</t>
    </r>
  </si>
  <si>
    <t>9.-</t>
  </si>
  <si>
    <t>Producción de Carne e Ingreso Neto Ganadero
Metodología de cálculo anterior    .</t>
  </si>
  <si>
    <t>10.-</t>
  </si>
  <si>
    <r>
      <rPr>
        <sz val="11"/>
        <rFont val="Calibri"/>
        <family val="2"/>
        <scheme val="minor"/>
      </rPr>
      <t>Cualquier duda con respecto a las Normas de Gestión CREA, se sugiere leer el capítulo 6.2 de la misma en la Plataforma correspondiente en la web CREA</t>
    </r>
    <r>
      <rPr>
        <u/>
        <sz val="11"/>
        <color theme="10"/>
        <rFont val="Calibri"/>
        <family val="2"/>
        <scheme val="minor"/>
      </rPr>
      <t xml:space="preserve"> (https://www.crea.org.ar/6-2-ganaderia/)</t>
    </r>
  </si>
  <si>
    <r>
      <t xml:space="preserve">Area Empresa - I+D - CREA ©   </t>
    </r>
    <r>
      <rPr>
        <sz val="11"/>
        <color theme="0"/>
        <rFont val="Calibri"/>
        <family val="2"/>
        <scheme val="minor"/>
      </rPr>
      <t>.</t>
    </r>
  </si>
  <si>
    <r>
      <t xml:space="preserve">Segui las instrucciones que indica la </t>
    </r>
    <r>
      <rPr>
        <b/>
        <sz val="14"/>
        <color rgb="FFFF0000"/>
        <rFont val="Calibri"/>
        <family val="2"/>
        <scheme val="minor"/>
      </rPr>
      <t>Guía de ayuda rápida</t>
    </r>
    <r>
      <rPr>
        <b/>
        <sz val="14"/>
        <color theme="1"/>
        <rFont val="Calibri"/>
        <family val="2"/>
        <scheme val="minor"/>
      </rPr>
      <t xml:space="preserve"> en la solapa Planilla de datos. La misma te guiará por las distintas tablas a completar.</t>
    </r>
  </si>
  <si>
    <t>Ingreso con Tenencia</t>
  </si>
  <si>
    <t>Ingreso</t>
  </si>
  <si>
    <t>Columna1</t>
  </si>
  <si>
    <t>Categoría</t>
  </si>
  <si>
    <t>Actividad</t>
  </si>
  <si>
    <t>Invernada</t>
  </si>
  <si>
    <t>*</t>
  </si>
  <si>
    <t>ACTIVIDADES</t>
  </si>
  <si>
    <t>Recría</t>
  </si>
  <si>
    <t>Feed-lot</t>
  </si>
  <si>
    <t>TODAS</t>
  </si>
  <si>
    <t>Cab. 
Stock</t>
  </si>
  <si>
    <t>Kg./cab. 
Stock</t>
  </si>
  <si>
    <t>Kg. Totales 
Stock</t>
  </si>
  <si>
    <t>$/Kg. 
Stock</t>
  </si>
  <si>
    <t>$/Cab. 
Stock</t>
  </si>
  <si>
    <t>Kg./Cab. 
al Cierre</t>
  </si>
  <si>
    <t>$/Kg. 
al Cierre</t>
  </si>
  <si>
    <t>$/Cab. 
al Cierre</t>
  </si>
  <si>
    <r>
      <t xml:space="preserve">Inventario Real 
</t>
    </r>
    <r>
      <rPr>
        <b/>
        <i/>
        <sz val="10"/>
        <rFont val="Calibri"/>
        <family val="2"/>
        <scheme val="minor"/>
      </rPr>
      <t>(a kilos y precios actualizados)</t>
    </r>
  </si>
  <si>
    <t>Cesión (-)</t>
  </si>
  <si>
    <t>Cesión (+)</t>
  </si>
  <si>
    <r>
      <t xml:space="preserve">Cab. 
</t>
    </r>
    <r>
      <rPr>
        <sz val="8"/>
        <rFont val="Calibri"/>
        <family val="2"/>
        <scheme val="minor"/>
      </rPr>
      <t>Inicio período</t>
    </r>
  </si>
  <si>
    <r>
      <t xml:space="preserve">Kg/Cab. 
</t>
    </r>
    <r>
      <rPr>
        <sz val="8"/>
        <rFont val="Calibri"/>
        <family val="2"/>
        <scheme val="minor"/>
      </rPr>
      <t>Inicio período</t>
    </r>
  </si>
  <si>
    <r>
      <t xml:space="preserve">$/Kg. 
</t>
    </r>
    <r>
      <rPr>
        <sz val="8"/>
        <rFont val="Calibri"/>
        <family val="2"/>
        <scheme val="minor"/>
      </rPr>
      <t>Inicio período</t>
    </r>
  </si>
  <si>
    <r>
      <t xml:space="preserve">$/Cab. 
</t>
    </r>
    <r>
      <rPr>
        <sz val="8"/>
        <rFont val="Calibri"/>
        <family val="2"/>
        <scheme val="minor"/>
      </rPr>
      <t>Inicio período</t>
    </r>
  </si>
  <si>
    <t>Guachera</t>
  </si>
  <si>
    <r>
      <t xml:space="preserve">Si desearas agregar otra </t>
    </r>
    <r>
      <rPr>
        <b/>
        <sz val="11"/>
        <color theme="1"/>
        <rFont val="Calibri"/>
        <family val="2"/>
        <scheme val="minor"/>
      </rPr>
      <t>categoría adicional</t>
    </r>
    <r>
      <rPr>
        <sz val="11"/>
        <color theme="1"/>
        <rFont val="Calibri"/>
        <family val="2"/>
        <scheme val="minor"/>
      </rPr>
      <t xml:space="preserve"> (por ejemplo Novillos), inserta una fila sobre la categoría siguiente a donde quieres agregarla (en este caso: Novillitos). Al insertarse la fila debes: 1) Ingresá la fecha del </t>
    </r>
    <r>
      <rPr>
        <b/>
        <sz val="11"/>
        <color theme="1"/>
        <rFont val="Calibri"/>
        <family val="2"/>
        <scheme val="minor"/>
      </rPr>
      <t>Inventario de inicio</t>
    </r>
    <r>
      <rPr>
        <sz val="11"/>
        <color theme="1"/>
        <rFont val="Calibri"/>
        <family val="2"/>
        <scheme val="minor"/>
      </rPr>
      <t xml:space="preserve">, 2) Escribi la </t>
    </r>
    <r>
      <rPr>
        <b/>
        <sz val="11"/>
        <color theme="1"/>
        <rFont val="Calibri"/>
        <family val="2"/>
        <scheme val="minor"/>
      </rPr>
      <t>categoría</t>
    </r>
    <r>
      <rPr>
        <sz val="11"/>
        <color theme="1"/>
        <rFont val="Calibri"/>
        <family val="2"/>
        <scheme val="minor"/>
      </rPr>
      <t xml:space="preserve"> que desees y 3) Indicá la </t>
    </r>
    <r>
      <rPr>
        <b/>
        <sz val="11"/>
        <color theme="1"/>
        <rFont val="Calibri"/>
        <family val="2"/>
        <scheme val="minor"/>
      </rPr>
      <t>actividad a la que pertenece la categoría correspondiente</t>
    </r>
    <r>
      <rPr>
        <sz val="11"/>
        <color theme="1"/>
        <rFont val="Calibri"/>
        <family val="2"/>
        <scheme val="minor"/>
      </rPr>
      <t xml:space="preserve">.
Las formulas de las columnas preestablecidas, se completarán automáticamente. </t>
    </r>
    <r>
      <rPr>
        <b/>
        <sz val="11"/>
        <color theme="1"/>
        <rFont val="Calibri"/>
        <family val="2"/>
        <scheme val="minor"/>
      </rPr>
      <t xml:space="preserve">Hay que tener en cuenta que la categoría que agregues, no puede tener el mismo nombre que otra de la tabla. </t>
    </r>
    <r>
      <rPr>
        <sz val="11"/>
        <color theme="1"/>
        <rFont val="Calibri"/>
        <family val="2"/>
        <scheme val="minor"/>
      </rPr>
      <t>En caso de ser necesario, escribí la categoría con alguna diferencia (por ejemplo Novillitos 2, Novillitos JR, etc.)</t>
    </r>
  </si>
  <si>
    <r>
      <t xml:space="preserve">Producción de Carne e Ingreso Ganadero
</t>
    </r>
    <r>
      <rPr>
        <b/>
        <i/>
        <sz val="14"/>
        <color theme="0"/>
        <rFont val="Calibri"/>
        <family val="2"/>
        <scheme val="minor"/>
      </rPr>
      <t>Metodología de cálculo actual</t>
    </r>
  </si>
  <si>
    <r>
      <t xml:space="preserve">Producción de Carne e Ingreso Ganadero
</t>
    </r>
    <r>
      <rPr>
        <b/>
        <i/>
        <sz val="14"/>
        <color theme="0"/>
        <rFont val="Calibri"/>
        <family val="2"/>
        <scheme val="minor"/>
      </rPr>
      <t>Metodología de cálculo tradicional</t>
    </r>
    <r>
      <rPr>
        <b/>
        <sz val="14"/>
        <color theme="0"/>
        <rFont val="Calibri"/>
        <family val="2"/>
        <scheme val="minor"/>
      </rPr>
      <t xml:space="preserve">             </t>
    </r>
    <r>
      <rPr>
        <b/>
        <sz val="14"/>
        <color rgb="FF0070C0"/>
        <rFont val="Calibri"/>
        <family val="2"/>
        <scheme val="minor"/>
      </rPr>
      <t>.</t>
    </r>
  </si>
  <si>
    <t>Figura 1                                                                                                                                                                                                    Figura 2</t>
  </si>
  <si>
    <t>11.-</t>
  </si>
  <si>
    <t xml:space="preserve">En caso que quieras agregar un movimiento con fecha anterior a las últimas registradas, si bien podes hacerlo sin seguir un orden cronológico, te sugerimos que lo respetes. Para ello ubica el cursor sobre el margen izquierdo de la celda de la fecha siguiente a donde quieres agregarla. Aparecerá una flecha negra como la que se observa en la figura 1. Hacé click allí con el botón derecho del mouse y se desplegará un menú. En el mismo hacé clíck en Insertar, y luego en Filas de la tabla arriba (Figura 2). Se agregará una fila por encima, pero sólo en la tabla y no en toda la planilla. Allí escribí los datos del movimiento omitido. Las formulas de las columnas preestablecidas, se completarán automáticamente. </t>
  </si>
  <si>
    <r>
      <t xml:space="preserve">Realizados todos los pasos anteriores, en las Tablas de </t>
    </r>
    <r>
      <rPr>
        <b/>
        <sz val="11"/>
        <color theme="1"/>
        <rFont val="Calibri"/>
        <family val="2"/>
        <scheme val="minor"/>
      </rPr>
      <t>Producción de Carne e Ingreso Ganadero</t>
    </r>
    <r>
      <rPr>
        <sz val="11"/>
        <color theme="1"/>
        <rFont val="Calibri"/>
        <family val="2"/>
        <scheme val="minor"/>
      </rPr>
      <t xml:space="preserve">, tanto con la Metodología de cálculo actual como con la tradicional, podrás observar la </t>
    </r>
    <r>
      <rPr>
        <b/>
        <sz val="11"/>
        <color theme="1"/>
        <rFont val="Calibri"/>
        <family val="2"/>
        <scheme val="minor"/>
      </rPr>
      <t>Producción de Carne</t>
    </r>
    <r>
      <rPr>
        <sz val="11"/>
        <color theme="1"/>
        <rFont val="Calibri"/>
        <family val="2"/>
        <scheme val="minor"/>
      </rPr>
      <t xml:space="preserve"> y el </t>
    </r>
    <r>
      <rPr>
        <b/>
        <sz val="11"/>
        <color theme="1"/>
        <rFont val="Calibri"/>
        <family val="2"/>
        <scheme val="minor"/>
      </rPr>
      <t>Ingreso Ganadero en pesos corrientes</t>
    </r>
    <r>
      <rPr>
        <sz val="11"/>
        <color theme="1"/>
        <rFont val="Calibri"/>
        <family val="2"/>
        <scheme val="minor"/>
      </rPr>
      <t xml:space="preserve">.
Podés ver el resultado de cada actividad por separado (En </t>
    </r>
    <r>
      <rPr>
        <b/>
        <sz val="11"/>
        <color theme="1"/>
        <rFont val="Calibri"/>
        <family val="2"/>
        <scheme val="minor"/>
      </rPr>
      <t>Ganadería de carne:</t>
    </r>
    <r>
      <rPr>
        <sz val="11"/>
        <color theme="1"/>
        <rFont val="Calibri"/>
        <family val="2"/>
        <scheme val="minor"/>
      </rPr>
      <t xml:space="preserve"> Cabaña, Cría, Recría, Invernada o Feed-lot; y en </t>
    </r>
    <r>
      <rPr>
        <b/>
        <sz val="11"/>
        <color theme="1"/>
        <rFont val="Calibri"/>
        <family val="2"/>
        <scheme val="minor"/>
      </rPr>
      <t>Ganadería de Leche:</t>
    </r>
    <r>
      <rPr>
        <sz val="11"/>
        <color theme="1"/>
        <rFont val="Calibri"/>
        <family val="2"/>
        <scheme val="minor"/>
      </rPr>
      <t xml:space="preserve"> Tambo, Guachera y Recría). Para ello debes seleccionar la actividad correspondiente en la casilla correspondiente.
Si quisieras ver </t>
    </r>
    <r>
      <rPr>
        <b/>
        <sz val="11"/>
        <color theme="1"/>
        <rFont val="Calibri"/>
        <family val="2"/>
        <scheme val="minor"/>
      </rPr>
      <t>todas las actividades consolidadas</t>
    </r>
    <r>
      <rPr>
        <sz val="11"/>
        <color theme="1"/>
        <rFont val="Calibri"/>
        <family val="2"/>
        <scheme val="minor"/>
      </rPr>
      <t xml:space="preserve">, basta que pongas un </t>
    </r>
    <r>
      <rPr>
        <b/>
        <sz val="11"/>
        <color theme="1"/>
        <rFont val="Calibri"/>
        <family val="2"/>
        <scheme val="minor"/>
      </rPr>
      <t>*</t>
    </r>
    <r>
      <rPr>
        <sz val="11"/>
        <color theme="1"/>
        <rFont val="Calibri"/>
        <family val="2"/>
        <scheme val="minor"/>
      </rPr>
      <t xml:space="preserve"> (asterisco), en la celda de Actividades. Este símbolo englobará todas las actividades que hayas cargado.
Por defecto (default) la celda de actividad, viene con el asterisco, para visualizar todas las actividades en forma consolidada. 
</t>
    </r>
  </si>
  <si>
    <t>12.-</t>
  </si>
  <si>
    <r>
      <t xml:space="preserve">Podés ver el resultado de toda la campaña, indicando la fecha de inicio y cierre de la campaña (30-jun del año de inicio, al 30-jun del año de cierre).
Si quisieran ver la producción de un período menor (por ejemplo: un trimestre determinado, o incluso un mes), podes hacerlo, </t>
    </r>
    <r>
      <rPr>
        <b/>
        <sz val="11"/>
        <color rgb="FFFF0000"/>
        <rFont val="Calibri"/>
        <family val="2"/>
        <scheme val="minor"/>
      </rPr>
      <t>teniendo la precausión de que tendrás que hacer los ajustes de "kilos producidos" y "Res. tenencia" al finalizar cada período que luego quieras analizar. Sólo así los resultados serán correctos. De lo contratio, omitirás ambos términos y el cálculo será incorrecto</t>
    </r>
    <r>
      <rPr>
        <sz val="11"/>
        <color theme="1"/>
        <rFont val="Calibri"/>
        <family val="2"/>
        <scheme val="minor"/>
      </rPr>
      <t xml:space="preserve">.
</t>
    </r>
  </si>
  <si>
    <r>
      <t xml:space="preserve">Para visualizar los resultados en pesos constantes, deberás ingresar los coeficientes de actualización (IPIM), tal cual surgen habitualmente en la publicación "Lo ayudamos a cerrar gestión", en la correspondiente columna de la solapa </t>
    </r>
    <r>
      <rPr>
        <b/>
        <sz val="11"/>
        <color theme="1"/>
        <rFont val="Calibri"/>
        <family val="2"/>
        <scheme val="minor"/>
      </rPr>
      <t xml:space="preserve">Movimientos, Precios e Indices. </t>
    </r>
    <r>
      <rPr>
        <sz val="11"/>
        <color theme="1"/>
        <rFont val="Calibri"/>
        <family val="2"/>
        <scheme val="minor"/>
      </rPr>
      <t>Una vez que hayas ingresado los coeficientes, podrás ver los resultados en pesos actualizados, haciendo click en la viñeta $ actualizados.</t>
    </r>
  </si>
  <si>
    <t xml:space="preserve">Actividad </t>
  </si>
  <si>
    <r>
      <rPr>
        <b/>
        <sz val="14"/>
        <color theme="1"/>
        <rFont val="Calibri"/>
        <family val="2"/>
        <scheme val="minor"/>
      </rPr>
      <t xml:space="preserve">Paso 2 de la Guía de ayuda rápida:
</t>
    </r>
    <r>
      <rPr>
        <sz val="11"/>
        <color theme="1"/>
        <rFont val="Calibri"/>
        <family val="2"/>
        <scheme val="minor"/>
      </rPr>
      <t xml:space="preserve">Luego comienza a ingresar los movimientos de hacienda (ventas, compras, traslados, muertes, nacimientos, cambios de categoría, etc.). </t>
    </r>
    <r>
      <rPr>
        <b/>
        <sz val="11"/>
        <color rgb="FFFF0000"/>
        <rFont val="Calibri"/>
        <family val="2"/>
        <scheme val="minor"/>
      </rPr>
      <t xml:space="preserve">Antes de hacerlo indicá la campaña que estás analizando (30-6-AAAA a 30-6-AAA), en las casillas correspondientes.
</t>
    </r>
    <r>
      <rPr>
        <sz val="11"/>
        <color theme="1"/>
        <rFont val="Calibri"/>
        <family val="2"/>
        <scheme val="minor"/>
      </rPr>
      <t xml:space="preserve">Estos movimientos iran modificando las existencias, tanto en cabezas, como en "kilos contables" y en "valores contables", es decir de lo que resulte de dichos movimientos. Hasta aquí no considerará los kilos ganados, o perdidos, y sus correspondientes valores económicos.
Las categorías de animales que pueden registrarse en la tabla de movimientos, son aquellas que figuran en la Tabla del </t>
    </r>
    <r>
      <rPr>
        <b/>
        <sz val="11"/>
        <color theme="1"/>
        <rFont val="Calibri"/>
        <family val="2"/>
        <scheme val="minor"/>
      </rPr>
      <t xml:space="preserve">Inventario de inicio. </t>
    </r>
    <r>
      <rPr>
        <sz val="11"/>
        <color theme="1"/>
        <rFont val="Calibri"/>
        <family val="2"/>
        <scheme val="minor"/>
      </rPr>
      <t>En caso de necesitar agregar una nueva categoría, tenés que agregar la misma en aquella tabla, siguiendo las instrucciones del punto anterior (3.-). En este caso, dicha categoría tendrá todos sus datos iniciales con valor 0 (cero).</t>
    </r>
  </si>
  <si>
    <t>Tipo de Activo</t>
  </si>
  <si>
    <t>Activo</t>
  </si>
  <si>
    <t>Tipo 
de Activo</t>
  </si>
  <si>
    <t>AC</t>
  </si>
  <si>
    <t>ANC</t>
  </si>
  <si>
    <t>Res. por Tenencia (AC)</t>
  </si>
  <si>
    <t>Res. por Tenencia (ANC)</t>
  </si>
  <si>
    <t>Stock Promedio</t>
  </si>
  <si>
    <t>Cabezas adultas</t>
  </si>
  <si>
    <t># Act.</t>
  </si>
  <si>
    <t>Meses activos</t>
  </si>
  <si>
    <t>Producción / cab. adulta</t>
  </si>
  <si>
    <t>Kg./cabeza adulta</t>
  </si>
  <si>
    <r>
      <rPr>
        <b/>
        <sz val="14"/>
        <color theme="1"/>
        <rFont val="Calibri"/>
        <family val="2"/>
        <scheme val="minor"/>
      </rPr>
      <t xml:space="preserve">Paso 1 de la Guía de ayuda rápida:
</t>
    </r>
    <r>
      <rPr>
        <sz val="11"/>
        <color theme="1"/>
        <rFont val="Calibri"/>
        <family val="2"/>
        <scheme val="minor"/>
      </rPr>
      <t xml:space="preserve">Primero tenes que completar el </t>
    </r>
    <r>
      <rPr>
        <b/>
        <sz val="11"/>
        <color theme="1"/>
        <rFont val="Calibri"/>
        <family val="2"/>
        <scheme val="minor"/>
      </rPr>
      <t>Inventario de inicio</t>
    </r>
    <r>
      <rPr>
        <sz val="11"/>
        <color theme="1"/>
        <rFont val="Calibri"/>
        <family val="2"/>
        <scheme val="minor"/>
      </rPr>
      <t xml:space="preserve"> con el que comenzarás a cargar los datos. </t>
    </r>
    <r>
      <rPr>
        <b/>
        <sz val="11"/>
        <color theme="1"/>
        <rFont val="Calibri"/>
        <family val="2"/>
        <scheme val="minor"/>
      </rPr>
      <t>Es la única vez que cargarás un inventario</t>
    </r>
    <r>
      <rPr>
        <sz val="11"/>
        <color theme="1"/>
        <rFont val="Calibri"/>
        <family val="2"/>
        <scheme val="minor"/>
      </rPr>
      <t xml:space="preserve">. Luego, en función de los movimientos de altas y bajas que registres, se irá visualizando el inventario de hacienda actualizado en la Tabla de </t>
    </r>
    <r>
      <rPr>
        <b/>
        <sz val="11"/>
        <color theme="1"/>
        <rFont val="Calibri"/>
        <family val="2"/>
        <scheme val="minor"/>
      </rPr>
      <t>Stock Contable (por altas y bajas generadas por los movimientos)</t>
    </r>
    <r>
      <rPr>
        <sz val="11"/>
        <color theme="1"/>
        <rFont val="Calibri"/>
        <family val="2"/>
        <scheme val="minor"/>
      </rPr>
      <t xml:space="preserve">.
Tenés que incluir el </t>
    </r>
    <r>
      <rPr>
        <b/>
        <sz val="11"/>
        <color theme="1"/>
        <rFont val="Calibri"/>
        <family val="2"/>
        <scheme val="minor"/>
      </rPr>
      <t>nombre de la categoría</t>
    </r>
    <r>
      <rPr>
        <sz val="11"/>
        <color theme="1"/>
        <rFont val="Calibri"/>
        <family val="2"/>
        <scheme val="minor"/>
      </rPr>
      <t xml:space="preserve">, la </t>
    </r>
    <r>
      <rPr>
        <b/>
        <sz val="11"/>
        <color theme="1"/>
        <rFont val="Calibri"/>
        <family val="2"/>
        <scheme val="minor"/>
      </rPr>
      <t>actividad</t>
    </r>
    <r>
      <rPr>
        <sz val="11"/>
        <color theme="1"/>
        <rFont val="Calibri"/>
        <family val="2"/>
        <scheme val="minor"/>
      </rPr>
      <t xml:space="preserve"> a la que pertenece dicha categoría, el </t>
    </r>
    <r>
      <rPr>
        <b/>
        <sz val="11"/>
        <color theme="1"/>
        <rFont val="Calibri"/>
        <family val="2"/>
        <scheme val="minor"/>
      </rPr>
      <t>tipo de activo</t>
    </r>
    <r>
      <rPr>
        <sz val="11"/>
        <color theme="1"/>
        <rFont val="Calibri"/>
        <family val="2"/>
        <scheme val="minor"/>
      </rPr>
      <t xml:space="preserve"> del cual se trata </t>
    </r>
    <r>
      <rPr>
        <sz val="11"/>
        <color rgb="FF0070C0"/>
        <rFont val="Calibri"/>
        <family val="2"/>
        <scheme val="minor"/>
      </rPr>
      <t>(*)</t>
    </r>
    <r>
      <rPr>
        <sz val="11"/>
        <color theme="1"/>
        <rFont val="Calibri"/>
        <family val="2"/>
        <scheme val="minor"/>
      </rPr>
      <t xml:space="preserve">, la </t>
    </r>
    <r>
      <rPr>
        <b/>
        <sz val="11"/>
        <color theme="1"/>
        <rFont val="Calibri"/>
        <family val="2"/>
        <scheme val="minor"/>
      </rPr>
      <t>cantidad de cabezas</t>
    </r>
    <r>
      <rPr>
        <sz val="11"/>
        <color theme="1"/>
        <rFont val="Calibri"/>
        <family val="2"/>
        <scheme val="minor"/>
      </rPr>
      <t xml:space="preserve"> por categoría, los </t>
    </r>
    <r>
      <rPr>
        <b/>
        <sz val="11"/>
        <color theme="1"/>
        <rFont val="Calibri"/>
        <family val="2"/>
        <scheme val="minor"/>
      </rPr>
      <t>kilos/cabeza</t>
    </r>
    <r>
      <rPr>
        <sz val="11"/>
        <color theme="1"/>
        <rFont val="Calibri"/>
        <family val="2"/>
        <scheme val="minor"/>
      </rPr>
      <t xml:space="preserve"> promedio de la categoría y el </t>
    </r>
    <r>
      <rPr>
        <b/>
        <sz val="11"/>
        <color theme="1"/>
        <rFont val="Calibri"/>
        <family val="2"/>
        <scheme val="minor"/>
      </rPr>
      <t>precio de cada categoría</t>
    </r>
    <r>
      <rPr>
        <sz val="11"/>
        <color theme="1"/>
        <rFont val="Calibri"/>
        <family val="2"/>
        <scheme val="minor"/>
      </rPr>
      <t xml:space="preserve"> en ese momento. En el caso de las categorías de cría (toros, vacas o vaquillonas del rodeo de cría) que habitualmente el mercado valoriza por cabeza y que tienen un "peso de inventario constante", indica ese valor dividido por los kilos de la categoría, quedando registrado entonces el valor por kilo.
</t>
    </r>
    <r>
      <rPr>
        <i/>
        <sz val="10"/>
        <color rgb="FF0070C0"/>
        <rFont val="Calibri"/>
        <family val="2"/>
        <scheme val="minor"/>
      </rPr>
      <t>(*) Teniendo en cuenta que tanto el Margen de Contribución como el Resultado por Producción incluyen la tenencia de los Bienes de Cambio, pero no así la tenencia de los Bienes de Uso, es importante discriminar entre ambos tipos de activo. Por lo tanto el Resultado por Tenencia se discrimina entre el que impacta en el ACTIVO CORRIENTE y el que lo hace sobre el ACTIVO NO CORRIENTE.</t>
    </r>
  </si>
  <si>
    <t>Indice SIPM</t>
  </si>
  <si>
    <t>Coef. SIPM</t>
  </si>
  <si>
    <r>
      <t xml:space="preserve">1- Completa el inventario de inicio </t>
    </r>
    <r>
      <rPr>
        <i/>
        <sz val="12"/>
        <color theme="1"/>
        <rFont val="Calibri"/>
        <family val="2"/>
        <scheme val="minor"/>
      </rPr>
      <t>(sólo las celdas grisadas)</t>
    </r>
    <r>
      <rPr>
        <sz val="12"/>
        <color theme="1"/>
        <rFont val="Calibri"/>
        <family val="2"/>
        <scheme val="minor"/>
      </rPr>
      <t xml:space="preserve">
                </t>
    </r>
    <r>
      <rPr>
        <i/>
        <sz val="12"/>
        <color rgb="FFFF0000"/>
        <rFont val="Calibri"/>
        <family val="2"/>
        <scheme val="minor"/>
      </rPr>
      <t>Tenes que hacerlo sólo la primera vez que cargues los datos.</t>
    </r>
  </si>
  <si>
    <r>
      <t xml:space="preserve">2- Introduci todos los </t>
    </r>
    <r>
      <rPr>
        <b/>
        <sz val="12"/>
        <color theme="1"/>
        <rFont val="Calibri"/>
        <family val="2"/>
        <scheme val="minor"/>
      </rPr>
      <t>MOVIMIENTOS de ALTAS y BAJAS</t>
    </r>
  </si>
  <si>
    <r>
      <t xml:space="preserve">5- Ajusta la diferencia de kilos (Real-Contable)/ </t>
    </r>
    <r>
      <rPr>
        <b/>
        <sz val="12"/>
        <color theme="1"/>
        <rFont val="Calibri"/>
        <family val="2"/>
        <scheme val="minor"/>
      </rPr>
      <t>KILOS PRODUCIDOS</t>
    </r>
    <r>
      <rPr>
        <sz val="12"/>
        <color theme="1"/>
        <rFont val="Calibri"/>
        <family val="2"/>
        <scheme val="minor"/>
      </rPr>
      <t xml:space="preserve">
                </t>
    </r>
    <r>
      <rPr>
        <i/>
        <sz val="12"/>
        <color rgb="FFFF0000"/>
        <rFont val="Calibri"/>
        <family val="2"/>
        <scheme val="minor"/>
      </rPr>
      <t>Al finalizar agrega la fecha de ajuste</t>
    </r>
  </si>
  <si>
    <r>
      <t xml:space="preserve">6.- Ajusta la diferencia de valuación (Real-Contable) / </t>
    </r>
    <r>
      <rPr>
        <b/>
        <sz val="12"/>
        <color theme="1"/>
        <rFont val="Calibri"/>
        <family val="2"/>
        <scheme val="minor"/>
      </rPr>
      <t>TENENCIA</t>
    </r>
    <r>
      <rPr>
        <sz val="12"/>
        <color theme="1"/>
        <rFont val="Calibri"/>
        <family val="2"/>
        <scheme val="minor"/>
      </rPr>
      <t xml:space="preserve">
                </t>
    </r>
    <r>
      <rPr>
        <i/>
        <sz val="12"/>
        <color rgb="FFFF0000"/>
        <rFont val="Calibri"/>
        <family val="2"/>
        <scheme val="minor"/>
      </rPr>
      <t>Al finalizar agregua la fecha de ajuste</t>
    </r>
  </si>
  <si>
    <r>
      <t xml:space="preserve">3- Cuando quieras </t>
    </r>
    <r>
      <rPr>
        <b/>
        <sz val="12"/>
        <color theme="1"/>
        <rFont val="Calibri"/>
        <family val="2"/>
        <scheme val="minor"/>
      </rPr>
      <t>ajustar los kilajes reales de cada categoría</t>
    </r>
    <r>
      <rPr>
        <sz val="12"/>
        <color theme="1"/>
        <rFont val="Calibri"/>
        <family val="2"/>
        <scheme val="minor"/>
      </rPr>
      <t xml:space="preserve">, registralos
     en la Tabla de </t>
    </r>
    <r>
      <rPr>
        <b/>
        <sz val="12"/>
        <color theme="1"/>
        <rFont val="Calibri"/>
        <family val="2"/>
        <scheme val="minor"/>
      </rPr>
      <t>Inventario de kilos y precios actualizados (Real)</t>
    </r>
    <r>
      <rPr>
        <sz val="12"/>
        <color theme="1"/>
        <rFont val="Calibri"/>
        <family val="2"/>
        <scheme val="minor"/>
      </rPr>
      <t>.</t>
    </r>
  </si>
  <si>
    <r>
      <t xml:space="preserve">4- Inmediatamente, </t>
    </r>
    <r>
      <rPr>
        <b/>
        <sz val="12"/>
        <color theme="1"/>
        <rFont val="Calibri"/>
        <family val="2"/>
        <scheme val="minor"/>
      </rPr>
      <t>registra los precios/kilo reales (actualizados) de cada
     categoría</t>
    </r>
    <r>
      <rPr>
        <sz val="12"/>
        <color theme="1"/>
        <rFont val="Calibri"/>
        <family val="2"/>
        <scheme val="minor"/>
      </rPr>
      <t xml:space="preserve"> en misma Tabla.</t>
    </r>
  </si>
  <si>
    <t>Valores ajustados a</t>
  </si>
  <si>
    <t>Período analizado</t>
  </si>
  <si>
    <t>Vacas rodeo cría</t>
  </si>
  <si>
    <t>VOLVER AL CUADRO DE STOCK Y RESULTADOS</t>
  </si>
  <si>
    <t>Dólar Informal</t>
  </si>
  <si>
    <t>Dólar Oficial</t>
  </si>
  <si>
    <t>Ajustado por</t>
  </si>
  <si>
    <t xml:space="preserve">SIPM - Fuente: https://www.indec.gob.ar/ftp/cuadros/economia/series_sipm_dic2015.xls </t>
  </si>
  <si>
    <t>SIPM</t>
  </si>
  <si>
    <t>Valores Actualiz.</t>
  </si>
  <si>
    <t>Valores Actualizados</t>
  </si>
  <si>
    <t>FP en Valores Actualizados</t>
  </si>
  <si>
    <t>IP en Valores Actualizados</t>
  </si>
  <si>
    <t>https://www.ambito.com/contenidos/dolar-oficial-historico.html</t>
  </si>
  <si>
    <t>https://www.ambito.com/contenidos/dolar-informal-historico.html</t>
  </si>
  <si>
    <t>MEP</t>
  </si>
  <si>
    <t>Dólar MEP</t>
  </si>
  <si>
    <t>https://www.ambito.com/contenidos/dolar-mep-historico.html</t>
  </si>
  <si>
    <t>Cría</t>
  </si>
  <si>
    <t>Cabaña</t>
  </si>
  <si>
    <t>Tambo</t>
  </si>
  <si>
    <t>Vaquillonas rodeo cría</t>
  </si>
  <si>
    <t>Terneras</t>
  </si>
  <si>
    <t>Terneros al pie</t>
  </si>
  <si>
    <t>Toros refugo</t>
  </si>
  <si>
    <t>Vacas refugo</t>
  </si>
  <si>
    <t>Terneros</t>
  </si>
  <si>
    <r>
      <rPr>
        <b/>
        <sz val="9"/>
        <rFont val="Calibri"/>
        <family val="2"/>
        <scheme val="minor"/>
      </rPr>
      <t>Kg. Totales</t>
    </r>
    <r>
      <rPr>
        <b/>
        <sz val="10.5"/>
        <rFont val="Calibri"/>
        <family val="2"/>
        <scheme val="minor"/>
      </rPr>
      <t xml:space="preserve"> 
</t>
    </r>
    <r>
      <rPr>
        <sz val="8"/>
        <rFont val="Calibri"/>
        <family val="2"/>
        <scheme val="minor"/>
      </rPr>
      <t>Inicio período</t>
    </r>
  </si>
  <si>
    <t>Vacas CUT</t>
  </si>
  <si>
    <t>Vaq. Recría 2/3</t>
  </si>
  <si>
    <t>Vaq. Recría 1/2</t>
  </si>
  <si>
    <t>Novillitos 230-260</t>
  </si>
  <si>
    <t>Novillitos 260-300</t>
  </si>
  <si>
    <r>
      <rPr>
        <b/>
        <sz val="14"/>
        <color theme="1"/>
        <rFont val="Calibri"/>
        <family val="2"/>
        <scheme val="minor"/>
      </rPr>
      <t>Paso 4 de la Guía de ayuda rápida:</t>
    </r>
    <r>
      <rPr>
        <sz val="11"/>
        <color theme="1"/>
        <rFont val="Calibri"/>
        <family val="2"/>
        <scheme val="minor"/>
      </rPr>
      <t xml:space="preserve">
Inmediatamente, registra los </t>
    </r>
    <r>
      <rPr>
        <b/>
        <sz val="11"/>
        <color theme="1"/>
        <rFont val="Calibri"/>
        <family val="2"/>
        <scheme val="minor"/>
      </rPr>
      <t>precios/kilo reales (actualizados a la fecha del ajuste)</t>
    </r>
    <r>
      <rPr>
        <sz val="11"/>
        <color theme="1"/>
        <rFont val="Calibri"/>
        <family val="2"/>
        <scheme val="minor"/>
      </rPr>
      <t xml:space="preserve"> de cada categoría en misma Tabla. </t>
    </r>
    <r>
      <rPr>
        <b/>
        <u/>
        <sz val="11"/>
        <color theme="1"/>
        <rFont val="Calibri"/>
        <family val="2"/>
        <scheme val="minor"/>
      </rPr>
      <t>DEBEN INCLUIRSE LOS PRECIOS EN TODAS LAS CATEGORÍAS DE LA TABLA, TENGAN O NO EXISTENCIAS AL CIERRE</t>
    </r>
    <r>
      <rPr>
        <sz val="11"/>
        <color theme="1"/>
        <rFont val="Calibri"/>
        <family val="2"/>
        <scheme val="minor"/>
      </rPr>
      <t xml:space="preserve"> </t>
    </r>
    <r>
      <rPr>
        <sz val="11"/>
        <color theme="4" tint="-0.249977111117893"/>
        <rFont val="Calibri"/>
        <family val="2"/>
        <scheme val="minor"/>
      </rPr>
      <t>(Esto es así porque sino se hará un calculo erroneo de la Diferencia por Tenencia con el sistema tradicional, ya que al calcular el valor del inventario inicial a valores de cierre de una categoría cuyo valor al cierre fuera igual a cero (0), calculará que esa categoría del inventario inicial tiene un valor igual a cero(0) al cierre).</t>
    </r>
    <r>
      <rPr>
        <sz val="11"/>
        <color theme="1"/>
        <rFont val="Calibri"/>
        <family val="2"/>
        <scheme val="minor"/>
      </rPr>
      <t xml:space="preserve"> 
</t>
    </r>
    <r>
      <rPr>
        <sz val="11"/>
        <color rgb="FFFF0000"/>
        <rFont val="Calibri"/>
        <family val="2"/>
        <scheme val="minor"/>
      </rPr>
      <t>Para que las actualizaciones en kilos y en montos económicos se apliquen, tenés que completar los pasos 5 y 6 de la Guía de ayuda rápida.</t>
    </r>
  </si>
  <si>
    <t>Total $ corr-tes</t>
  </si>
  <si>
    <t>Total $ corrientes</t>
  </si>
  <si>
    <t>Fecha ???</t>
  </si>
  <si>
    <r>
      <t xml:space="preserve">$ Total IP </t>
    </r>
    <r>
      <rPr>
        <sz val="9"/>
        <color rgb="FFFF0000"/>
        <rFont val="Calibri"/>
        <family val="2"/>
        <scheme val="minor"/>
      </rPr>
      <t>(corrientes)</t>
    </r>
  </si>
  <si>
    <r>
      <t xml:space="preserve">$ Total FP </t>
    </r>
    <r>
      <rPr>
        <sz val="9"/>
        <color rgb="FFFF0000"/>
        <rFont val="Calibri"/>
        <family val="2"/>
        <scheme val="minor"/>
      </rPr>
      <t>(corrientes)</t>
    </r>
  </si>
  <si>
    <r>
      <t xml:space="preserve">$ Total
</t>
    </r>
    <r>
      <rPr>
        <b/>
        <sz val="11"/>
        <color rgb="FFFF0000"/>
        <rFont val="Calibri"/>
        <family val="2"/>
        <scheme val="minor"/>
      </rPr>
      <t>(corrientes)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</si>
</sst>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1" formatCode="_-* #,##0_-;\-* #,##0_-;_-* &quot;-&quot;_-;_-@_-"/>
    <numFmt numFmtId="43" formatCode="_-* #,##0.00_-;\-* #,##0.00_-;_-* &quot;-&quot;??_-;_-@_-"/>
    <numFmt numFmtId="164" formatCode="#,##0_ ;[Red]\-#,##0\ "/>
    <numFmt numFmtId="165" formatCode="#,##0.0000"/>
    <numFmt numFmtId="166" formatCode="mmm/yyyy"/>
    <numFmt numFmtId="167" formatCode="#,##0_ ;\-#,##0\ "/>
    <numFmt numFmtId="168" formatCode="0.0%"/>
    <numFmt numFmtId="169" formatCode="dd/mm/yy;@"/>
    <numFmt numFmtId="170" formatCode="dd/mm/yyyy;@"/>
    <numFmt numFmtId="171" formatCode="#,##0.0"/>
    <numFmt numFmtId="172" formatCode="#,##0.00_ ;[Red]\-#,##0.00\ "/>
    <numFmt numFmtId="173" formatCode="#,##0[$ meses]\ "/>
    <numFmt numFmtId="174" formatCode="#,##0.0000_ ;[Red]\-#,##0.0000\ "/>
    <numFmt numFmtId="175" formatCode="_ * #,##0.00_ ;_ * \-#,##0.00_ ;_ * &quot;-&quot;??_ ;_ @_ "/>
    <numFmt numFmtId="176" formatCode="0.0"/>
    <numFmt numFmtId="177" formatCode="_ [$€-2]\ * #,##0.00_ ;_ [$€-2]\ * \-#,##0.00_ ;_ [$€-2]\ * &quot;-&quot;??_ "/>
    <numFmt numFmtId="178" formatCode="_-* #,##0.00\ _€_-;\-* #,##0.00\ _€_-;_-* &quot;-&quot;??\ _€_-;_-@_-"/>
    <numFmt numFmtId="179" formatCode="dd/mmm/yyyy"/>
    <numFmt numFmtId="180" formatCode="dd\-mm\-yy;@"/>
    <numFmt numFmtId="181" formatCode="#,##0.000000"/>
    <numFmt numFmtId="182" formatCode="0.0%;[Red]\ \-0.0%"/>
    <numFmt numFmtId="183" formatCode="0.0000"/>
  </numFmts>
  <fonts count="65" x14ac:knownFonts="1">
    <font>
      <sz val="11"/>
      <color theme="1"/>
      <name val="Calibri"/>
      <family val="2"/>
      <scheme val="minor"/>
    </font>
    <font>
      <sz val="11"/>
      <color theme="1"/>
      <name val="Calibri"/>
      <family val="2"/>
      <scheme val="minor"/>
    </font>
    <font>
      <sz val="10"/>
      <color theme="1"/>
      <name val="Calibri"/>
      <family val="2"/>
      <scheme val="minor"/>
    </font>
    <font>
      <b/>
      <sz val="10"/>
      <color theme="1"/>
      <name val="Calibri"/>
      <family val="2"/>
      <scheme val="minor"/>
    </font>
    <font>
      <b/>
      <sz val="11"/>
      <color theme="1"/>
      <name val="Calibri"/>
      <family val="2"/>
      <scheme val="minor"/>
    </font>
    <font>
      <b/>
      <sz val="14"/>
      <color theme="0"/>
      <name val="Calibri"/>
      <family val="2"/>
      <scheme val="minor"/>
    </font>
    <font>
      <sz val="14"/>
      <color theme="0"/>
      <name val="Calibri"/>
      <family val="2"/>
      <scheme val="minor"/>
    </font>
    <font>
      <b/>
      <sz val="11"/>
      <name val="Calibri"/>
      <family val="2"/>
      <scheme val="minor"/>
    </font>
    <font>
      <sz val="10"/>
      <name val="Calibri"/>
      <family val="2"/>
      <scheme val="minor"/>
    </font>
    <font>
      <sz val="11"/>
      <name val="Calibri"/>
      <family val="2"/>
      <scheme val="minor"/>
    </font>
    <font>
      <b/>
      <sz val="14"/>
      <name val="Calibri"/>
      <family val="2"/>
      <scheme val="minor"/>
    </font>
    <font>
      <b/>
      <sz val="12"/>
      <color theme="1"/>
      <name val="Calibri"/>
      <family val="2"/>
      <scheme val="minor"/>
    </font>
    <font>
      <sz val="11"/>
      <color theme="0"/>
      <name val="Calibri"/>
      <family val="2"/>
      <scheme val="minor"/>
    </font>
    <font>
      <b/>
      <sz val="14"/>
      <color theme="1"/>
      <name val="Calibri"/>
      <family val="2"/>
      <scheme val="minor"/>
    </font>
    <font>
      <sz val="11"/>
      <color rgb="FFFF0000"/>
      <name val="Calibri"/>
      <family val="2"/>
      <scheme val="minor"/>
    </font>
    <font>
      <sz val="8"/>
      <color theme="1"/>
      <name val="Calibri"/>
      <family val="2"/>
      <scheme val="minor"/>
    </font>
    <font>
      <sz val="8"/>
      <color rgb="FF000000"/>
      <name val="Segoe UI"/>
      <family val="2"/>
    </font>
    <font>
      <b/>
      <sz val="10"/>
      <name val="Calibri"/>
      <family val="2"/>
      <scheme val="minor"/>
    </font>
    <font>
      <b/>
      <sz val="14"/>
      <color rgb="FF0070C0"/>
      <name val="Calibri"/>
      <family val="2"/>
      <scheme val="minor"/>
    </font>
    <font>
      <b/>
      <sz val="10"/>
      <color rgb="FFFF0000"/>
      <name val="Calibri"/>
      <family val="2"/>
      <scheme val="minor"/>
    </font>
    <font>
      <b/>
      <sz val="14"/>
      <color rgb="FFFFFF00"/>
      <name val="Calibri"/>
      <family val="2"/>
      <scheme val="minor"/>
    </font>
    <font>
      <b/>
      <sz val="14"/>
      <color rgb="FFFF0000"/>
      <name val="Calibri"/>
      <family val="2"/>
      <scheme val="minor"/>
    </font>
    <font>
      <b/>
      <sz val="26"/>
      <color theme="1"/>
      <name val="Calibri"/>
      <family val="2"/>
      <scheme val="minor"/>
    </font>
    <font>
      <b/>
      <i/>
      <sz val="14"/>
      <color theme="0"/>
      <name val="Calibri"/>
      <family val="2"/>
      <scheme val="minor"/>
    </font>
    <font>
      <u/>
      <sz val="11"/>
      <color theme="10"/>
      <name val="Calibri"/>
      <family val="2"/>
      <scheme val="minor"/>
    </font>
    <font>
      <sz val="10"/>
      <color theme="0"/>
      <name val="Calibri"/>
      <family val="2"/>
      <scheme val="minor"/>
    </font>
    <font>
      <b/>
      <sz val="11"/>
      <color rgb="FFFF0000"/>
      <name val="Calibri"/>
      <family val="2"/>
      <scheme val="minor"/>
    </font>
    <font>
      <b/>
      <sz val="11"/>
      <color theme="0"/>
      <name val="Calibri"/>
      <family val="2"/>
      <scheme val="minor"/>
    </font>
    <font>
      <b/>
      <sz val="9"/>
      <name val="Calibri"/>
      <family val="2"/>
      <scheme val="minor"/>
    </font>
    <font>
      <b/>
      <i/>
      <sz val="10"/>
      <name val="Calibri"/>
      <family val="2"/>
      <scheme val="minor"/>
    </font>
    <font>
      <sz val="8"/>
      <name val="Calibri"/>
      <family val="2"/>
      <scheme val="minor"/>
    </font>
    <font>
      <b/>
      <sz val="18"/>
      <color theme="0"/>
      <name val="Calibri"/>
      <family val="2"/>
      <scheme val="minor"/>
    </font>
    <font>
      <sz val="12"/>
      <color theme="1"/>
      <name val="Calibri"/>
      <family val="2"/>
      <scheme val="minor"/>
    </font>
    <font>
      <sz val="11"/>
      <color rgb="FF0070C0"/>
      <name val="Calibri"/>
      <family val="2"/>
      <scheme val="minor"/>
    </font>
    <font>
      <i/>
      <sz val="10"/>
      <color rgb="FF0070C0"/>
      <name val="Calibri"/>
      <family val="2"/>
      <scheme val="minor"/>
    </font>
    <font>
      <i/>
      <sz val="12"/>
      <color theme="1"/>
      <name val="Calibri"/>
      <family val="2"/>
      <scheme val="minor"/>
    </font>
    <font>
      <i/>
      <sz val="12"/>
      <color rgb="FFFF0000"/>
      <name val="Calibri"/>
      <family val="2"/>
      <scheme val="minor"/>
    </font>
    <font>
      <sz val="9"/>
      <color rgb="FFFF0000"/>
      <name val="Calibri"/>
      <family val="2"/>
      <scheme val="minor"/>
    </font>
    <font>
      <sz val="9.5"/>
      <color theme="1"/>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indexed="8"/>
      <name val="Calibri"/>
      <family val="2"/>
    </font>
    <font>
      <sz val="10"/>
      <name val="Arial"/>
      <family val="2"/>
    </font>
    <font>
      <b/>
      <sz val="15"/>
      <color indexed="54"/>
      <name val="Calibri"/>
      <family val="2"/>
    </font>
    <font>
      <u/>
      <sz val="10"/>
      <color indexed="12"/>
      <name val="Arial"/>
      <family val="2"/>
    </font>
    <font>
      <u/>
      <sz val="9.35"/>
      <color theme="10"/>
      <name val="Calibri"/>
      <family val="2"/>
    </font>
    <font>
      <sz val="11"/>
      <color rgb="FF9C6500"/>
      <name val="Calibri"/>
      <family val="2"/>
      <scheme val="minor"/>
    </font>
    <font>
      <sz val="11"/>
      <color theme="1"/>
      <name val="Calibri"/>
      <family val="2"/>
    </font>
    <font>
      <b/>
      <sz val="18"/>
      <color theme="3"/>
      <name val="Calibri Light"/>
      <family val="2"/>
      <scheme val="major"/>
    </font>
    <font>
      <b/>
      <sz val="8"/>
      <color theme="1"/>
      <name val="Arial"/>
      <family val="2"/>
    </font>
    <font>
      <sz val="11"/>
      <name val="Arial"/>
      <family val="2"/>
    </font>
    <font>
      <b/>
      <sz val="11"/>
      <color theme="0"/>
      <name val="Arial"/>
      <family val="2"/>
    </font>
    <font>
      <b/>
      <sz val="18"/>
      <color theme="1"/>
      <name val="Calibri"/>
      <family val="2"/>
      <scheme val="minor"/>
    </font>
    <font>
      <b/>
      <sz val="10"/>
      <color theme="0"/>
      <name val="Calibri"/>
      <family val="2"/>
      <scheme val="minor"/>
    </font>
    <font>
      <b/>
      <sz val="10.5"/>
      <name val="Calibri"/>
      <family val="2"/>
      <scheme val="minor"/>
    </font>
    <font>
      <b/>
      <sz val="9"/>
      <color rgb="FF008000"/>
      <name val="Calibri"/>
      <family val="2"/>
      <scheme val="minor"/>
    </font>
    <font>
      <sz val="11"/>
      <color theme="4" tint="-0.249977111117893"/>
      <name val="Calibri"/>
      <family val="2"/>
      <scheme val="minor"/>
    </font>
    <font>
      <b/>
      <u/>
      <sz val="11"/>
      <color theme="1"/>
      <name val="Calibri"/>
      <family val="2"/>
      <scheme val="minor"/>
    </font>
    <font>
      <b/>
      <sz val="9"/>
      <color rgb="FFFF0000"/>
      <name val="Calibri"/>
      <family val="2"/>
      <scheme val="minor"/>
    </font>
  </fonts>
  <fills count="59">
    <fill>
      <patternFill patternType="none"/>
    </fill>
    <fill>
      <patternFill patternType="gray125"/>
    </fill>
    <fill>
      <patternFill patternType="solid">
        <fgColor theme="6"/>
        <bgColor theme="6"/>
      </patternFill>
    </fill>
    <fill>
      <patternFill patternType="solid">
        <fgColor rgb="FF00B050"/>
        <bgColor indexed="64"/>
      </patternFill>
    </fill>
    <fill>
      <patternFill patternType="solid">
        <fgColor theme="0" tint="-0.249977111117893"/>
        <bgColor indexed="64"/>
      </patternFill>
    </fill>
    <fill>
      <patternFill patternType="solid">
        <fgColor rgb="FF0070C0"/>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8000"/>
        <bgColor indexed="64"/>
      </patternFill>
    </fill>
    <fill>
      <patternFill patternType="solid">
        <fgColor rgb="FF00FF00"/>
        <bgColor indexed="64"/>
      </patternFill>
    </fill>
    <fill>
      <patternFill patternType="solid">
        <fgColor rgb="FFFFC000"/>
        <bgColor indexed="64"/>
      </patternFill>
    </fill>
    <fill>
      <patternFill patternType="solid">
        <fgColor theme="0" tint="-0.14996795556505021"/>
        <bgColor indexed="64"/>
      </patternFill>
    </fill>
    <fill>
      <patternFill patternType="solid">
        <fgColor theme="4" tint="0.39994506668294322"/>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79995117038483843"/>
        <bgColor indexed="64"/>
      </patternFill>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rgb="FFCC0000"/>
        <bgColor indexed="64"/>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indexed="64"/>
      </patternFill>
    </fill>
    <fill>
      <patternFill patternType="solid">
        <fgColor rgb="FF003E7D"/>
        <bgColor indexed="64"/>
      </patternFill>
    </fill>
    <fill>
      <patternFill patternType="solid">
        <fgColor rgb="FF0289CB"/>
        <bgColor indexed="64"/>
      </patternFill>
    </fill>
    <fill>
      <patternFill patternType="solid">
        <fgColor rgb="FFF9F9F9"/>
        <bgColor indexed="64"/>
      </patternFill>
    </fill>
  </fills>
  <borders count="80">
    <border>
      <left/>
      <right/>
      <top/>
      <bottom/>
      <diagonal/>
    </border>
    <border>
      <left/>
      <right/>
      <top/>
      <bottom style="thin">
        <color indexed="64"/>
      </bottom>
      <diagonal/>
    </border>
    <border>
      <left/>
      <right/>
      <top style="thin">
        <color theme="6"/>
      </top>
      <bottom/>
      <diagonal/>
    </border>
    <border>
      <left style="medium">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n">
        <color auto="1"/>
      </top>
      <bottom/>
      <diagonal/>
    </border>
    <border>
      <left/>
      <right style="medium">
        <color auto="1"/>
      </right>
      <top/>
      <bottom/>
      <diagonal/>
    </border>
    <border>
      <left style="thick">
        <color auto="1"/>
      </left>
      <right/>
      <top/>
      <bottom/>
      <diagonal/>
    </border>
    <border>
      <left/>
      <right style="thick">
        <color auto="1"/>
      </right>
      <top/>
      <bottom/>
      <diagonal/>
    </border>
    <border>
      <left style="thick">
        <color indexed="64"/>
      </left>
      <right/>
      <top style="thin">
        <color indexed="64"/>
      </top>
      <bottom/>
      <diagonal/>
    </border>
    <border>
      <left/>
      <right style="thick">
        <color indexed="64"/>
      </right>
      <top style="thin">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medium">
        <color auto="1"/>
      </left>
      <right style="medium">
        <color auto="1"/>
      </right>
      <top style="medium">
        <color auto="1"/>
      </top>
      <bottom style="medium">
        <color auto="1"/>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right/>
      <top style="thin">
        <color auto="1"/>
      </top>
      <bottom style="thin">
        <color auto="1"/>
      </bottom>
      <diagonal/>
    </border>
    <border>
      <left/>
      <right style="thin">
        <color auto="1"/>
      </right>
      <top/>
      <bottom style="thin">
        <color indexed="64"/>
      </bottom>
      <diagonal/>
    </border>
    <border>
      <left/>
      <right style="thin">
        <color auto="1"/>
      </right>
      <top/>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indexed="64"/>
      </bottom>
      <diagonal/>
    </border>
    <border>
      <left style="thick">
        <color rgb="FFFF0000"/>
      </left>
      <right style="thin">
        <color auto="1"/>
      </right>
      <top style="thin">
        <color auto="1"/>
      </top>
      <bottom/>
      <diagonal/>
    </border>
    <border>
      <left style="thick">
        <color rgb="FFFF0000"/>
      </left>
      <right style="thin">
        <color auto="1"/>
      </right>
      <top/>
      <bottom/>
      <diagonal/>
    </border>
    <border>
      <left style="thick">
        <color rgb="FFFF0000"/>
      </left>
      <right style="thin">
        <color auto="1"/>
      </right>
      <top/>
      <bottom style="thin">
        <color indexed="64"/>
      </bottom>
      <diagonal/>
    </border>
    <border>
      <left/>
      <right style="medium">
        <color auto="1"/>
      </right>
      <top style="medium">
        <color auto="1"/>
      </top>
      <bottom/>
      <diagonal/>
    </border>
    <border>
      <left/>
      <right style="thin">
        <color theme="6"/>
      </right>
      <top/>
      <bottom/>
      <diagonal/>
    </border>
    <border>
      <left/>
      <right/>
      <top style="medium">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top/>
      <bottom style="thin">
        <color theme="0" tint="-0.24994659260841701"/>
      </bottom>
      <diagonal/>
    </border>
    <border>
      <left style="thick">
        <color auto="1"/>
      </left>
      <right/>
      <top/>
      <bottom style="mediumDashed">
        <color rgb="FF0070C0"/>
      </bottom>
      <diagonal/>
    </border>
    <border>
      <left/>
      <right/>
      <top/>
      <bottom style="mediumDashed">
        <color rgb="FF0070C0"/>
      </bottom>
      <diagonal/>
    </border>
    <border>
      <left/>
      <right style="thin">
        <color auto="1"/>
      </right>
      <top/>
      <bottom style="mediumDashed">
        <color rgb="FF0070C0"/>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style="thin">
        <color indexed="64"/>
      </bottom>
      <diagonal/>
    </border>
    <border>
      <left/>
      <right style="medium">
        <color auto="1"/>
      </right>
      <top/>
      <bottom style="thin">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thin">
        <color auto="1"/>
      </left>
      <right style="medium">
        <color auto="1"/>
      </right>
      <top style="medium">
        <color auto="1"/>
      </top>
      <bottom style="medium">
        <color auto="1"/>
      </bottom>
      <diagonal/>
    </border>
    <border>
      <left/>
      <right/>
      <top style="medium">
        <color theme="0" tint="-0.24994659260841701"/>
      </top>
      <bottom/>
      <diagonal/>
    </border>
    <border>
      <left/>
      <right style="thin">
        <color auto="1"/>
      </right>
      <top style="medium">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ck">
        <color indexed="49"/>
      </bottom>
      <diagonal/>
    </border>
    <border>
      <left style="medium">
        <color rgb="FFFFFFFF"/>
      </left>
      <right/>
      <top/>
      <bottom/>
      <diagonal/>
    </border>
    <border>
      <left/>
      <right/>
      <top style="medium">
        <color rgb="FFDEE2E6"/>
      </top>
      <bottom/>
      <diagonal/>
    </border>
    <border>
      <left style="thin">
        <color theme="4" tint="0.39997558519241921"/>
      </left>
      <right/>
      <top/>
      <bottom style="thin">
        <color theme="4" tint="0.39997558519241921"/>
      </bottom>
      <diagonal/>
    </border>
    <border>
      <left style="medium">
        <color rgb="FFFFFFFF"/>
      </left>
      <right/>
      <top/>
      <bottom style="thin">
        <color theme="4" tint="0.39997558519241921"/>
      </bottom>
      <diagonal/>
    </border>
    <border>
      <left style="medium">
        <color rgb="FFFFFFFF"/>
      </left>
      <right style="thin">
        <color theme="4" tint="0.39997558519241921"/>
      </right>
      <top/>
      <bottom style="thin">
        <color theme="4" tint="0.39997558519241921"/>
      </bottom>
      <diagonal/>
    </border>
    <border>
      <left/>
      <right/>
      <top style="medium">
        <color rgb="FFDEE2E6"/>
      </top>
      <bottom style="thin">
        <color theme="1"/>
      </bottom>
      <diagonal/>
    </border>
    <border>
      <left/>
      <right style="thin">
        <color theme="1"/>
      </right>
      <top style="medium">
        <color rgb="FFDEE2E6"/>
      </top>
      <bottom style="thin">
        <color theme="1"/>
      </bottom>
      <diagonal/>
    </border>
    <border>
      <left/>
      <right/>
      <top/>
      <bottom style="thin">
        <color theme="1"/>
      </bottom>
      <diagonal/>
    </border>
    <border>
      <left style="medium">
        <color rgb="FFFFFFFF"/>
      </left>
      <right/>
      <top/>
      <bottom style="thin">
        <color theme="1"/>
      </bottom>
      <diagonal/>
    </border>
    <border>
      <left/>
      <right style="thin">
        <color theme="1"/>
      </right>
      <top style="medium">
        <color rgb="FFDEE2E6"/>
      </top>
      <bottom/>
      <diagonal/>
    </border>
    <border>
      <left style="medium">
        <color auto="1"/>
      </left>
      <right style="medium">
        <color auto="1"/>
      </right>
      <top style="medium">
        <color theme="0"/>
      </top>
      <bottom style="medium">
        <color theme="0"/>
      </bottom>
      <diagonal/>
    </border>
    <border>
      <left style="medium">
        <color auto="1"/>
      </left>
      <right style="medium">
        <color auto="1"/>
      </right>
      <top style="medium">
        <color theme="0"/>
      </top>
      <bottom style="medium">
        <color rgb="FFFFFFFF"/>
      </bottom>
      <diagonal/>
    </border>
    <border>
      <left style="medium">
        <color auto="1"/>
      </left>
      <right style="medium">
        <color auto="1"/>
      </right>
      <top style="medium">
        <color rgb="FFFFFFFF"/>
      </top>
      <bottom style="medium">
        <color theme="0"/>
      </bottom>
      <diagonal/>
    </border>
  </borders>
  <cellStyleXfs count="61">
    <xf numFmtId="0" fontId="0" fillId="0" borderId="0"/>
    <xf numFmtId="43" fontId="1" fillId="0" borderId="0" applyFont="0" applyFill="0" applyBorder="0" applyAlignment="0" applyProtection="0"/>
    <xf numFmtId="0" fontId="24" fillId="0" borderId="0" applyNumberFormat="0" applyFill="0" applyBorder="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41" fillId="25" borderId="0" applyNumberFormat="0" applyBorder="0" applyAlignment="0" applyProtection="0"/>
    <xf numFmtId="0" fontId="42" fillId="27" borderId="60" applyNumberFormat="0" applyAlignment="0" applyProtection="0"/>
    <xf numFmtId="0" fontId="43" fillId="28" borderId="61" applyNumberFormat="0" applyAlignment="0" applyProtection="0"/>
    <xf numFmtId="0" fontId="44" fillId="28" borderId="60" applyNumberFormat="0" applyAlignment="0" applyProtection="0"/>
    <xf numFmtId="0" fontId="45" fillId="0" borderId="62" applyNumberFormat="0" applyFill="0" applyAlignment="0" applyProtection="0"/>
    <xf numFmtId="0" fontId="27" fillId="29" borderId="63" applyNumberFormat="0" applyAlignment="0" applyProtection="0"/>
    <xf numFmtId="0" fontId="14" fillId="0" borderId="0" applyNumberFormat="0" applyFill="0" applyBorder="0" applyAlignment="0" applyProtection="0"/>
    <xf numFmtId="0" fontId="1" fillId="30" borderId="64" applyNumberFormat="0" applyFont="0" applyAlignment="0" applyProtection="0"/>
    <xf numFmtId="0" fontId="46" fillId="0" borderId="0" applyNumberFormat="0" applyFill="0" applyBorder="0" applyAlignment="0" applyProtection="0"/>
    <xf numFmtId="0" fontId="4" fillId="0" borderId="65" applyNumberFormat="0" applyFill="0" applyAlignment="0" applyProtection="0"/>
    <xf numFmtId="0" fontId="1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1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1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12" fillId="51" borderId="0" applyNumberFormat="0" applyBorder="0" applyAlignment="0" applyProtection="0"/>
    <xf numFmtId="0" fontId="1" fillId="52" borderId="0" applyNumberFormat="0" applyBorder="0" applyAlignment="0" applyProtection="0"/>
    <xf numFmtId="0" fontId="1" fillId="53" borderId="0" applyNumberFormat="0" applyBorder="0" applyAlignment="0" applyProtection="0"/>
    <xf numFmtId="0" fontId="12" fillId="34" borderId="0" applyNumberFormat="0" applyBorder="0" applyAlignment="0" applyProtection="0"/>
    <xf numFmtId="0" fontId="12" fillId="38"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49" fillId="0" borderId="66" applyNumberFormat="0" applyFill="0" applyAlignment="0" applyProtection="0"/>
    <xf numFmtId="177" fontId="48" fillId="0" borderId="0" applyFont="0" applyFill="0" applyBorder="0" applyAlignment="0" applyProtection="0"/>
    <xf numFmtId="0" fontId="51"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175" fontId="47" fillId="0" borderId="0" applyFont="0" applyFill="0" applyBorder="0" applyAlignment="0" applyProtection="0"/>
    <xf numFmtId="178" fontId="48" fillId="0" borderId="0" applyFont="0" applyFill="0" applyBorder="0" applyAlignment="0" applyProtection="0"/>
    <xf numFmtId="175" fontId="47" fillId="0" borderId="0" applyFont="0" applyFill="0" applyBorder="0" applyAlignment="0" applyProtection="0"/>
    <xf numFmtId="175" fontId="47" fillId="0" borderId="0" applyFont="0" applyFill="0" applyBorder="0" applyAlignment="0" applyProtection="0"/>
    <xf numFmtId="175" fontId="1" fillId="0" borderId="0" applyFont="0" applyFill="0" applyBorder="0" applyAlignment="0" applyProtection="0"/>
    <xf numFmtId="0" fontId="52" fillId="26" borderId="0" applyNumberFormat="0" applyBorder="0" applyAlignment="0" applyProtection="0"/>
    <xf numFmtId="0" fontId="48" fillId="0" borderId="0"/>
    <xf numFmtId="0" fontId="53" fillId="0" borderId="0"/>
    <xf numFmtId="0" fontId="48" fillId="0" borderId="0"/>
    <xf numFmtId="3" fontId="48" fillId="0" borderId="0">
      <alignment vertical="center"/>
    </xf>
    <xf numFmtId="0" fontId="48" fillId="0" borderId="0"/>
    <xf numFmtId="0" fontId="48" fillId="0" borderId="0"/>
    <xf numFmtId="0" fontId="1" fillId="0" borderId="0"/>
    <xf numFmtId="0" fontId="48" fillId="0" borderId="0"/>
    <xf numFmtId="0" fontId="48" fillId="0" borderId="0"/>
    <xf numFmtId="0" fontId="54" fillId="0" borderId="0" applyNumberFormat="0" applyFill="0" applyBorder="0" applyAlignment="0" applyProtection="0"/>
    <xf numFmtId="9" fontId="1" fillId="0" borderId="0" applyFont="0" applyFill="0" applyBorder="0" applyAlignment="0" applyProtection="0"/>
  </cellStyleXfs>
  <cellXfs count="307">
    <xf numFmtId="0" fontId="0" fillId="0" borderId="0" xfId="0"/>
    <xf numFmtId="0" fontId="2" fillId="0" borderId="0" xfId="0" applyFont="1"/>
    <xf numFmtId="0" fontId="2" fillId="0" borderId="1" xfId="0" applyFont="1" applyBorder="1"/>
    <xf numFmtId="0" fontId="7" fillId="0" borderId="0" xfId="0" applyFont="1" applyAlignment="1">
      <alignment vertical="center"/>
    </xf>
    <xf numFmtId="0" fontId="8" fillId="0" borderId="0" xfId="0" applyFont="1" applyAlignment="1">
      <alignment vertical="center"/>
    </xf>
    <xf numFmtId="0" fontId="5" fillId="5" borderId="0" xfId="0" applyFont="1" applyFill="1" applyAlignment="1">
      <alignment vertical="center"/>
    </xf>
    <xf numFmtId="0" fontId="6" fillId="5" borderId="0" xfId="0" applyFont="1" applyFill="1" applyAlignment="1">
      <alignment vertical="center"/>
    </xf>
    <xf numFmtId="0" fontId="9" fillId="0" borderId="0" xfId="0" applyFont="1" applyAlignment="1">
      <alignment horizontal="center" vertical="center"/>
    </xf>
    <xf numFmtId="14" fontId="8" fillId="0" borderId="0" xfId="0" applyNumberFormat="1" applyFont="1" applyAlignment="1">
      <alignment vertical="center"/>
    </xf>
    <xf numFmtId="164" fontId="8" fillId="0" borderId="0" xfId="0" applyNumberFormat="1" applyFont="1" applyAlignment="1">
      <alignment vertical="center"/>
    </xf>
    <xf numFmtId="164" fontId="8" fillId="0" borderId="0" xfId="1" applyNumberFormat="1" applyFont="1" applyAlignment="1">
      <alignment vertical="center"/>
    </xf>
    <xf numFmtId="164" fontId="2" fillId="0" borderId="1" xfId="0" applyNumberFormat="1" applyFont="1" applyBorder="1"/>
    <xf numFmtId="164" fontId="2" fillId="0" borderId="1" xfId="1" applyNumberFormat="1" applyFont="1" applyBorder="1"/>
    <xf numFmtId="0" fontId="7" fillId="0" borderId="0" xfId="0" applyFont="1" applyAlignment="1">
      <alignment horizontal="center" vertical="center" wrapText="1"/>
    </xf>
    <xf numFmtId="0" fontId="7" fillId="0" borderId="3" xfId="0" applyFont="1" applyBorder="1" applyAlignment="1">
      <alignment horizontal="center" vertical="center" wrapText="1"/>
    </xf>
    <xf numFmtId="164" fontId="8" fillId="6" borderId="3" xfId="1" applyNumberFormat="1" applyFont="1" applyFill="1" applyBorder="1" applyAlignment="1">
      <alignment vertical="center"/>
    </xf>
    <xf numFmtId="164" fontId="2" fillId="8" borderId="3" xfId="1" applyNumberFormat="1" applyFont="1" applyFill="1" applyBorder="1"/>
    <xf numFmtId="0" fontId="3" fillId="0" borderId="1" xfId="0" applyFont="1" applyBorder="1" applyAlignment="1">
      <alignment horizontal="center"/>
    </xf>
    <xf numFmtId="0" fontId="2" fillId="14" borderId="0" xfId="0" applyFont="1" applyFill="1" applyAlignment="1">
      <alignment vertical="center"/>
    </xf>
    <xf numFmtId="164" fontId="2" fillId="14" borderId="0" xfId="0" applyNumberFormat="1" applyFont="1" applyFill="1" applyAlignment="1">
      <alignment vertical="center"/>
    </xf>
    <xf numFmtId="164" fontId="2" fillId="14" borderId="0" xfId="0" applyNumberFormat="1" applyFont="1" applyFill="1"/>
    <xf numFmtId="164" fontId="2" fillId="0" borderId="0" xfId="1" applyNumberFormat="1" applyFont="1" applyBorder="1"/>
    <xf numFmtId="164" fontId="2" fillId="0" borderId="0" xfId="0" applyNumberFormat="1" applyFont="1"/>
    <xf numFmtId="0" fontId="2" fillId="15" borderId="0" xfId="0" applyFont="1" applyFill="1"/>
    <xf numFmtId="0" fontId="2" fillId="0" borderId="11" xfId="0" applyFont="1" applyBorder="1"/>
    <xf numFmtId="0" fontId="2" fillId="0" borderId="7" xfId="0" applyFont="1" applyBorder="1"/>
    <xf numFmtId="164" fontId="2" fillId="0" borderId="7" xfId="1" applyNumberFormat="1" applyFont="1" applyBorder="1"/>
    <xf numFmtId="0" fontId="2" fillId="0" borderId="9" xfId="0" applyFont="1" applyBorder="1"/>
    <xf numFmtId="0" fontId="2" fillId="0" borderId="13" xfId="0" applyFont="1" applyBorder="1"/>
    <xf numFmtId="0" fontId="4" fillId="4" borderId="4" xfId="0" applyFont="1" applyFill="1" applyBorder="1" applyAlignment="1">
      <alignment vertical="center"/>
    </xf>
    <xf numFmtId="164" fontId="4" fillId="4" borderId="5" xfId="0" applyNumberFormat="1" applyFont="1" applyFill="1" applyBorder="1" applyAlignment="1">
      <alignment vertical="center"/>
    </xf>
    <xf numFmtId="164" fontId="4" fillId="4" borderId="6" xfId="0" applyNumberFormat="1" applyFont="1" applyFill="1" applyBorder="1" applyAlignment="1">
      <alignment vertical="center"/>
    </xf>
    <xf numFmtId="164" fontId="4" fillId="4" borderId="4" xfId="0" applyNumberFormat="1" applyFont="1" applyFill="1" applyBorder="1" applyAlignment="1">
      <alignment vertical="center"/>
    </xf>
    <xf numFmtId="166" fontId="0" fillId="0" borderId="8" xfId="0" applyNumberFormat="1" applyBorder="1"/>
    <xf numFmtId="0" fontId="12" fillId="5" borderId="1" xfId="0" applyFont="1" applyFill="1" applyBorder="1"/>
    <xf numFmtId="0" fontId="0" fillId="0" borderId="27" xfId="0" applyBorder="1"/>
    <xf numFmtId="0" fontId="0" fillId="16" borderId="27" xfId="0" applyFill="1" applyBorder="1"/>
    <xf numFmtId="0" fontId="0" fillId="16" borderId="7" xfId="0" applyFill="1" applyBorder="1"/>
    <xf numFmtId="0" fontId="0" fillId="0" borderId="1" xfId="0" applyBorder="1" applyAlignment="1">
      <alignment horizontal="center"/>
    </xf>
    <xf numFmtId="0" fontId="0" fillId="0" borderId="27" xfId="0" applyBorder="1" applyAlignment="1">
      <alignment horizontal="center"/>
    </xf>
    <xf numFmtId="0" fontId="0" fillId="0" borderId="7" xfId="0" applyBorder="1" applyAlignment="1">
      <alignment horizontal="center"/>
    </xf>
    <xf numFmtId="0" fontId="2" fillId="15" borderId="7" xfId="0" applyFont="1" applyFill="1" applyBorder="1"/>
    <xf numFmtId="0" fontId="2" fillId="15" borderId="1" xfId="0" applyFont="1" applyFill="1" applyBorder="1"/>
    <xf numFmtId="0" fontId="2" fillId="0" borderId="35" xfId="0" applyFont="1" applyBorder="1"/>
    <xf numFmtId="0" fontId="2" fillId="0" borderId="34" xfId="0" applyFont="1" applyBorder="1"/>
    <xf numFmtId="0" fontId="2" fillId="15" borderId="33" xfId="0" applyFont="1" applyFill="1" applyBorder="1"/>
    <xf numFmtId="0" fontId="2" fillId="15" borderId="34" xfId="0" applyFont="1" applyFill="1" applyBorder="1"/>
    <xf numFmtId="0" fontId="2" fillId="15" borderId="35" xfId="0" applyFont="1" applyFill="1" applyBorder="1"/>
    <xf numFmtId="0" fontId="4" fillId="0" borderId="35" xfId="0" applyFont="1" applyBorder="1"/>
    <xf numFmtId="164" fontId="11" fillId="0" borderId="1" xfId="1" applyNumberFormat="1" applyFont="1" applyBorder="1"/>
    <xf numFmtId="164" fontId="8" fillId="0" borderId="29" xfId="1" applyNumberFormat="1" applyFont="1" applyFill="1" applyBorder="1"/>
    <xf numFmtId="0" fontId="18" fillId="5" borderId="0" xfId="0" applyFont="1" applyFill="1" applyAlignment="1">
      <alignment vertical="center" wrapText="1"/>
    </xf>
    <xf numFmtId="164" fontId="8" fillId="0" borderId="10" xfId="1" applyNumberFormat="1" applyFont="1" applyFill="1" applyBorder="1"/>
    <xf numFmtId="164" fontId="8" fillId="0" borderId="14" xfId="1" applyNumberFormat="1" applyFont="1" applyFill="1" applyBorder="1"/>
    <xf numFmtId="0" fontId="2" fillId="15" borderId="12" xfId="0" applyFont="1" applyFill="1" applyBorder="1"/>
    <xf numFmtId="0" fontId="2" fillId="15" borderId="10" xfId="0" applyFont="1" applyFill="1" applyBorder="1"/>
    <xf numFmtId="0" fontId="2" fillId="15" borderId="14" xfId="0" applyFont="1" applyFill="1" applyBorder="1"/>
    <xf numFmtId="164" fontId="2" fillId="0" borderId="14" xfId="0" applyNumberFormat="1" applyFont="1" applyBorder="1"/>
    <xf numFmtId="164" fontId="2" fillId="0" borderId="0" xfId="0" quotePrefix="1" applyNumberFormat="1" applyFont="1" applyAlignment="1">
      <alignment horizontal="center"/>
    </xf>
    <xf numFmtId="164" fontId="2" fillId="0" borderId="0" xfId="1" applyNumberFormat="1" applyFont="1" applyBorder="1" applyAlignment="1">
      <alignment horizontal="center"/>
    </xf>
    <xf numFmtId="164" fontId="2" fillId="0" borderId="0" xfId="0" applyNumberFormat="1" applyFont="1" applyAlignment="1">
      <alignment horizontal="center"/>
    </xf>
    <xf numFmtId="164" fontId="19" fillId="0" borderId="0" xfId="0" applyNumberFormat="1" applyFont="1" applyAlignment="1">
      <alignment horizontal="right"/>
    </xf>
    <xf numFmtId="168" fontId="2" fillId="0" borderId="0" xfId="0" applyNumberFormat="1" applyFont="1"/>
    <xf numFmtId="0" fontId="0" fillId="0" borderId="0" xfId="0" applyAlignment="1">
      <alignment horizontal="right" vertical="top"/>
    </xf>
    <xf numFmtId="164" fontId="2" fillId="0" borderId="1" xfId="0" applyNumberFormat="1" applyFont="1" applyBorder="1" applyAlignment="1">
      <alignment wrapText="1"/>
    </xf>
    <xf numFmtId="0" fontId="0" fillId="0" borderId="0" xfId="0" applyAlignment="1">
      <alignment vertical="top" wrapText="1"/>
    </xf>
    <xf numFmtId="0" fontId="4" fillId="0" borderId="0" xfId="0" applyFont="1" applyAlignment="1">
      <alignment vertical="top" wrapText="1"/>
    </xf>
    <xf numFmtId="0" fontId="22" fillId="0" borderId="0" xfId="0" applyFont="1" applyAlignment="1">
      <alignment horizontal="center"/>
    </xf>
    <xf numFmtId="0" fontId="13" fillId="18" borderId="0" xfId="0" applyFont="1" applyFill="1" applyAlignment="1">
      <alignment horizontal="right" vertical="top"/>
    </xf>
    <xf numFmtId="0" fontId="5" fillId="5" borderId="0" xfId="0" applyFont="1" applyFill="1" applyAlignment="1">
      <alignment vertical="center" wrapText="1"/>
    </xf>
    <xf numFmtId="0" fontId="13" fillId="18" borderId="0" xfId="0" applyFont="1" applyFill="1" applyAlignment="1">
      <alignment vertical="top"/>
    </xf>
    <xf numFmtId="0" fontId="24" fillId="0" borderId="0" xfId="2"/>
    <xf numFmtId="0" fontId="0" fillId="0" borderId="0" xfId="0" applyAlignment="1">
      <alignment horizontal="right" vertical="top" wrapText="1"/>
    </xf>
    <xf numFmtId="0" fontId="0" fillId="19" borderId="27" xfId="0" applyFill="1" applyBorder="1"/>
    <xf numFmtId="0" fontId="0" fillId="19" borderId="27" xfId="0" applyFill="1" applyBorder="1" applyAlignment="1">
      <alignment horizontal="center"/>
    </xf>
    <xf numFmtId="169" fontId="2" fillId="0" borderId="0" xfId="0" applyNumberFormat="1" applyFont="1"/>
    <xf numFmtId="0" fontId="7" fillId="0" borderId="39" xfId="0" applyFont="1" applyBorder="1" applyAlignment="1">
      <alignment horizontal="center" vertical="center" wrapText="1"/>
    </xf>
    <xf numFmtId="164" fontId="2" fillId="9" borderId="8" xfId="1" applyNumberFormat="1" applyFont="1" applyFill="1" applyBorder="1"/>
    <xf numFmtId="0" fontId="0" fillId="21" borderId="0" xfId="0" applyFill="1"/>
    <xf numFmtId="0" fontId="7" fillId="2" borderId="0" xfId="0" applyFont="1" applyFill="1" applyAlignment="1">
      <alignment horizontal="center" vertical="center"/>
    </xf>
    <xf numFmtId="164" fontId="8" fillId="0" borderId="0" xfId="1" applyNumberFormat="1" applyFont="1" applyFill="1" applyAlignment="1">
      <alignment vertical="center"/>
    </xf>
    <xf numFmtId="164" fontId="8" fillId="0" borderId="41" xfId="0" applyNumberFormat="1" applyFont="1" applyBorder="1" applyAlignment="1">
      <alignment vertical="center"/>
    </xf>
    <xf numFmtId="164" fontId="8" fillId="0" borderId="41" xfId="1" applyNumberFormat="1" applyFont="1" applyBorder="1" applyAlignment="1">
      <alignment vertical="center"/>
    </xf>
    <xf numFmtId="164" fontId="8" fillId="0" borderId="42" xfId="0" applyNumberFormat="1" applyFont="1" applyBorder="1" applyAlignment="1">
      <alignment vertical="center"/>
    </xf>
    <xf numFmtId="164" fontId="8" fillId="0" borderId="42" xfId="1" applyNumberFormat="1" applyFont="1" applyBorder="1" applyAlignment="1">
      <alignment vertical="center"/>
    </xf>
    <xf numFmtId="0" fontId="9" fillId="15" borderId="0" xfId="0" applyFont="1" applyFill="1" applyAlignment="1">
      <alignment horizontal="center" vertical="center" wrapText="1"/>
    </xf>
    <xf numFmtId="164" fontId="8" fillId="13" borderId="42" xfId="1" applyNumberFormat="1" applyFont="1" applyFill="1" applyBorder="1" applyAlignment="1">
      <alignment vertical="center"/>
    </xf>
    <xf numFmtId="164" fontId="8" fillId="13" borderId="43" xfId="1" applyNumberFormat="1" applyFont="1" applyFill="1" applyBorder="1" applyAlignment="1">
      <alignment vertical="center"/>
    </xf>
    <xf numFmtId="164" fontId="8" fillId="13" borderId="41" xfId="0" applyNumberFormat="1" applyFont="1" applyFill="1" applyBorder="1" applyAlignment="1">
      <alignment vertical="center"/>
    </xf>
    <xf numFmtId="164" fontId="8" fillId="13" borderId="42" xfId="0" applyNumberFormat="1" applyFont="1" applyFill="1" applyBorder="1" applyAlignment="1">
      <alignment vertical="center"/>
    </xf>
    <xf numFmtId="0" fontId="0" fillId="22" borderId="27" xfId="0" applyFill="1" applyBorder="1"/>
    <xf numFmtId="164" fontId="4" fillId="19" borderId="5" xfId="0" applyNumberFormat="1" applyFont="1" applyFill="1" applyBorder="1" applyAlignment="1">
      <alignment vertical="center"/>
    </xf>
    <xf numFmtId="0" fontId="2" fillId="0" borderId="8" xfId="0" applyFont="1" applyBorder="1"/>
    <xf numFmtId="0" fontId="2" fillId="19" borderId="4" xfId="0" applyFont="1" applyFill="1" applyBorder="1"/>
    <xf numFmtId="0" fontId="2" fillId="19" borderId="5" xfId="0" applyFont="1" applyFill="1" applyBorder="1"/>
    <xf numFmtId="0" fontId="2" fillId="19" borderId="6" xfId="0" applyFont="1" applyFill="1" applyBorder="1"/>
    <xf numFmtId="164" fontId="8" fillId="20" borderId="2" xfId="0" applyNumberFormat="1" applyFont="1" applyFill="1" applyBorder="1" applyAlignment="1">
      <alignment vertical="center"/>
    </xf>
    <xf numFmtId="0" fontId="2" fillId="0" borderId="44" xfId="0" applyFont="1" applyBorder="1"/>
    <xf numFmtId="0" fontId="2" fillId="0" borderId="45" xfId="0" applyFont="1" applyBorder="1"/>
    <xf numFmtId="164" fontId="2" fillId="0" borderId="45" xfId="0" applyNumberFormat="1" applyFont="1" applyBorder="1"/>
    <xf numFmtId="164" fontId="2" fillId="0" borderId="45" xfId="1" applyNumberFormat="1" applyFont="1" applyBorder="1"/>
    <xf numFmtId="164" fontId="8" fillId="0" borderId="46" xfId="1" applyNumberFormat="1" applyFont="1" applyFill="1" applyBorder="1"/>
    <xf numFmtId="0" fontId="0" fillId="22" borderId="7" xfId="0" applyFill="1" applyBorder="1"/>
    <xf numFmtId="0" fontId="8" fillId="22" borderId="41" xfId="0" applyFont="1" applyFill="1" applyBorder="1" applyAlignment="1">
      <alignment vertical="center"/>
    </xf>
    <xf numFmtId="164" fontId="2" fillId="22" borderId="0" xfId="1" applyNumberFormat="1" applyFont="1" applyFill="1" applyBorder="1"/>
    <xf numFmtId="0" fontId="8" fillId="22" borderId="42" xfId="0" applyFont="1" applyFill="1" applyBorder="1" applyAlignment="1">
      <alignment vertical="center"/>
    </xf>
    <xf numFmtId="0" fontId="8" fillId="13" borderId="41" xfId="0" applyFont="1" applyFill="1" applyBorder="1" applyAlignment="1">
      <alignment vertical="center"/>
    </xf>
    <xf numFmtId="0" fontId="8" fillId="13" borderId="42" xfId="0" applyFont="1" applyFill="1" applyBorder="1" applyAlignment="1">
      <alignment vertical="center"/>
    </xf>
    <xf numFmtId="0" fontId="2" fillId="5" borderId="29" xfId="0" applyFont="1" applyFill="1" applyBorder="1"/>
    <xf numFmtId="164" fontId="11" fillId="0" borderId="14" xfId="1" applyNumberFormat="1" applyFont="1" applyBorder="1"/>
    <xf numFmtId="3" fontId="2" fillId="0" borderId="0" xfId="0" applyNumberFormat="1" applyFont="1"/>
    <xf numFmtId="0" fontId="7" fillId="0" borderId="49" xfId="0" applyFont="1" applyBorder="1" applyAlignment="1">
      <alignment horizontal="center" vertical="center" wrapText="1"/>
    </xf>
    <xf numFmtId="0" fontId="7" fillId="0" borderId="50" xfId="0" applyFont="1" applyBorder="1" applyAlignment="1">
      <alignment horizontal="center" vertical="center" wrapText="1"/>
    </xf>
    <xf numFmtId="0" fontId="0" fillId="0" borderId="0" xfId="0" applyAlignment="1">
      <alignment horizontal="left" vertical="center" wrapText="1"/>
    </xf>
    <xf numFmtId="0" fontId="7" fillId="2" borderId="0" xfId="0" applyFont="1" applyFill="1" applyAlignment="1">
      <alignment horizontal="center" vertical="center" wrapText="1"/>
    </xf>
    <xf numFmtId="0" fontId="25" fillId="5" borderId="1" xfId="0" applyFont="1" applyFill="1" applyBorder="1" applyAlignment="1">
      <alignment horizontal="center"/>
    </xf>
    <xf numFmtId="0" fontId="0" fillId="22" borderId="27" xfId="0" applyFill="1" applyBorder="1" applyAlignment="1">
      <alignment horizontal="center" vertical="center"/>
    </xf>
    <xf numFmtId="0" fontId="0" fillId="22" borderId="7" xfId="0" applyFill="1" applyBorder="1" applyAlignment="1">
      <alignment horizontal="center" vertical="center"/>
    </xf>
    <xf numFmtId="0" fontId="0" fillId="0" borderId="0" xfId="0" applyAlignment="1">
      <alignment horizontal="center" vertical="center" wrapText="1"/>
    </xf>
    <xf numFmtId="164" fontId="8" fillId="0" borderId="0" xfId="1" applyNumberFormat="1" applyFont="1" applyFill="1" applyBorder="1"/>
    <xf numFmtId="0" fontId="25" fillId="0" borderId="0" xfId="0" applyFont="1"/>
    <xf numFmtId="0" fontId="4" fillId="24" borderId="4"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4" borderId="6" xfId="0" applyFont="1" applyFill="1" applyBorder="1" applyAlignment="1">
      <alignment horizontal="center" vertical="center" wrapText="1"/>
    </xf>
    <xf numFmtId="0" fontId="0" fillId="22" borderId="1" xfId="0" applyFill="1" applyBorder="1" applyAlignment="1">
      <alignment horizontal="center"/>
    </xf>
    <xf numFmtId="0" fontId="0" fillId="22" borderId="27" xfId="0" applyFill="1" applyBorder="1" applyAlignment="1">
      <alignment horizontal="center"/>
    </xf>
    <xf numFmtId="0" fontId="12" fillId="5" borderId="1" xfId="0" applyFont="1" applyFill="1" applyBorder="1" applyAlignment="1">
      <alignment horizontal="center"/>
    </xf>
    <xf numFmtId="3" fontId="0" fillId="0" borderId="3" xfId="0" applyNumberFormat="1" applyBorder="1"/>
    <xf numFmtId="3" fontId="0" fillId="0" borderId="0" xfId="0" applyNumberFormat="1"/>
    <xf numFmtId="3" fontId="0" fillId="0" borderId="8" xfId="0" applyNumberFormat="1" applyBorder="1"/>
    <xf numFmtId="165" fontId="0" fillId="0" borderId="54" xfId="0" applyNumberFormat="1" applyBorder="1"/>
    <xf numFmtId="0" fontId="4" fillId="24" borderId="21" xfId="0" applyFont="1" applyFill="1" applyBorder="1" applyAlignment="1">
      <alignment horizontal="center" vertical="center" wrapText="1"/>
    </xf>
    <xf numFmtId="3" fontId="0" fillId="0" borderId="54" xfId="0" applyNumberFormat="1" applyBorder="1"/>
    <xf numFmtId="0" fontId="12" fillId="3" borderId="21" xfId="0" applyFont="1" applyFill="1" applyBorder="1" applyAlignment="1">
      <alignment horizontal="center"/>
    </xf>
    <xf numFmtId="3" fontId="4" fillId="12" borderId="5" xfId="0" applyNumberFormat="1" applyFont="1" applyFill="1" applyBorder="1" applyAlignment="1">
      <alignment horizontal="center"/>
    </xf>
    <xf numFmtId="3" fontId="4" fillId="12" borderId="6" xfId="0" applyNumberFormat="1" applyFont="1" applyFill="1" applyBorder="1" applyAlignment="1">
      <alignment horizontal="center"/>
    </xf>
    <xf numFmtId="0" fontId="0" fillId="0" borderId="0" xfId="0" applyAlignment="1">
      <alignment horizontal="center"/>
    </xf>
    <xf numFmtId="0" fontId="2" fillId="12" borderId="32" xfId="0" applyFont="1" applyFill="1" applyBorder="1"/>
    <xf numFmtId="0" fontId="2" fillId="12" borderId="27" xfId="0" applyFont="1" applyFill="1" applyBorder="1"/>
    <xf numFmtId="0" fontId="2" fillId="12" borderId="30" xfId="0" applyFont="1" applyFill="1" applyBorder="1"/>
    <xf numFmtId="171" fontId="3" fillId="12" borderId="27" xfId="0" applyNumberFormat="1" applyFont="1" applyFill="1" applyBorder="1"/>
    <xf numFmtId="3" fontId="3" fillId="12" borderId="27" xfId="0" applyNumberFormat="1" applyFont="1" applyFill="1" applyBorder="1"/>
    <xf numFmtId="0" fontId="17" fillId="0" borderId="50" xfId="0" applyFont="1" applyBorder="1" applyAlignment="1">
      <alignment horizontal="center" vertical="center" wrapText="1"/>
    </xf>
    <xf numFmtId="0" fontId="17" fillId="0" borderId="0" xfId="0" applyFont="1" applyAlignment="1">
      <alignment horizontal="center" vertical="center" wrapText="1"/>
    </xf>
    <xf numFmtId="172" fontId="8" fillId="0" borderId="0" xfId="0" applyNumberFormat="1" applyFont="1" applyAlignment="1">
      <alignment vertical="center"/>
    </xf>
    <xf numFmtId="170" fontId="2" fillId="11" borderId="55" xfId="0" applyNumberFormat="1" applyFont="1" applyFill="1" applyBorder="1"/>
    <xf numFmtId="1" fontId="2" fillId="0" borderId="0" xfId="0" applyNumberFormat="1" applyFont="1"/>
    <xf numFmtId="0" fontId="38" fillId="0" borderId="34" xfId="0" applyFont="1" applyBorder="1"/>
    <xf numFmtId="0" fontId="8" fillId="0" borderId="56" xfId="0" applyFont="1" applyBorder="1" applyAlignment="1">
      <alignment vertical="center"/>
    </xf>
    <xf numFmtId="0" fontId="0" fillId="0" borderId="48" xfId="0" applyBorder="1" applyAlignment="1">
      <alignment vertical="center" wrapText="1"/>
    </xf>
    <xf numFmtId="0" fontId="4" fillId="0" borderId="48" xfId="0" applyFont="1" applyBorder="1" applyAlignment="1">
      <alignment horizontal="center" vertical="center" wrapText="1"/>
    </xf>
    <xf numFmtId="0" fontId="4" fillId="0" borderId="53" xfId="0" applyFont="1" applyBorder="1" applyAlignment="1">
      <alignment horizontal="center" vertical="center" wrapText="1"/>
    </xf>
    <xf numFmtId="170" fontId="2" fillId="11" borderId="57" xfId="0" applyNumberFormat="1" applyFont="1" applyFill="1" applyBorder="1"/>
    <xf numFmtId="0" fontId="0" fillId="11" borderId="21" xfId="0" applyFill="1" applyBorder="1"/>
    <xf numFmtId="14" fontId="0" fillId="0" borderId="0" xfId="0" applyNumberFormat="1"/>
    <xf numFmtId="166" fontId="11" fillId="0" borderId="0" xfId="0" applyNumberFormat="1" applyFont="1" applyAlignment="1">
      <alignment horizontal="center"/>
    </xf>
    <xf numFmtId="14" fontId="2" fillId="0" borderId="0" xfId="0" applyNumberFormat="1" applyFont="1"/>
    <xf numFmtId="174" fontId="2" fillId="0" borderId="0" xfId="0" applyNumberFormat="1" applyFont="1"/>
    <xf numFmtId="0" fontId="0" fillId="0" borderId="0" xfId="0" quotePrefix="1"/>
    <xf numFmtId="2" fontId="2" fillId="0" borderId="0" xfId="0" applyNumberFormat="1" applyFont="1"/>
    <xf numFmtId="0" fontId="8" fillId="13" borderId="0" xfId="0" applyFont="1" applyFill="1" applyAlignment="1">
      <alignment horizontal="center" vertical="center"/>
    </xf>
    <xf numFmtId="176" fontId="55" fillId="0" borderId="0" xfId="0" applyNumberFormat="1" applyFont="1"/>
    <xf numFmtId="0" fontId="57" fillId="56" borderId="0" xfId="0" applyFont="1" applyFill="1" applyAlignment="1">
      <alignment horizontal="center" wrapText="1"/>
    </xf>
    <xf numFmtId="2" fontId="56" fillId="55" borderId="68" xfId="0" applyNumberFormat="1" applyFont="1" applyFill="1" applyBorder="1" applyAlignment="1">
      <alignment vertical="top" wrapText="1"/>
    </xf>
    <xf numFmtId="2" fontId="56" fillId="58" borderId="68" xfId="0" applyNumberFormat="1" applyFont="1" applyFill="1" applyBorder="1" applyAlignment="1">
      <alignment vertical="top" wrapText="1"/>
    </xf>
    <xf numFmtId="0" fontId="58" fillId="0" borderId="0" xfId="0" applyFont="1"/>
    <xf numFmtId="0" fontId="57" fillId="56" borderId="69" xfId="0" applyFont="1" applyFill="1" applyBorder="1" applyAlignment="1">
      <alignment horizontal="center" wrapText="1"/>
    </xf>
    <xf numFmtId="2" fontId="56" fillId="18" borderId="68" xfId="0" applyNumberFormat="1" applyFont="1" applyFill="1" applyBorder="1" applyAlignment="1">
      <alignment vertical="top" wrapText="1"/>
    </xf>
    <xf numFmtId="0" fontId="57" fillId="57" borderId="70" xfId="0" applyFont="1" applyFill="1" applyBorder="1" applyAlignment="1">
      <alignment horizontal="center" wrapText="1"/>
    </xf>
    <xf numFmtId="0" fontId="57" fillId="57" borderId="71" xfId="0" applyFont="1" applyFill="1" applyBorder="1" applyAlignment="1">
      <alignment horizontal="center" wrapText="1"/>
    </xf>
    <xf numFmtId="0" fontId="57" fillId="57" borderId="67" xfId="0" applyFont="1" applyFill="1" applyBorder="1" applyAlignment="1">
      <alignment horizontal="center" wrapText="1"/>
    </xf>
    <xf numFmtId="179" fontId="56" fillId="18" borderId="68" xfId="0" applyNumberFormat="1" applyFont="1" applyFill="1" applyBorder="1" applyAlignment="1">
      <alignment vertical="top" wrapText="1"/>
    </xf>
    <xf numFmtId="179" fontId="56" fillId="58" borderId="68" xfId="0" applyNumberFormat="1" applyFont="1" applyFill="1" applyBorder="1" applyAlignment="1">
      <alignment vertical="top" wrapText="1"/>
    </xf>
    <xf numFmtId="179" fontId="56" fillId="55" borderId="68" xfId="0" applyNumberFormat="1" applyFont="1" applyFill="1" applyBorder="1" applyAlignment="1">
      <alignment vertical="top" wrapText="1"/>
    </xf>
    <xf numFmtId="167" fontId="8" fillId="0" borderId="14" xfId="0" applyNumberFormat="1" applyFont="1" applyBorder="1" applyAlignment="1">
      <alignment horizontal="center"/>
    </xf>
    <xf numFmtId="167" fontId="8" fillId="0" borderId="28" xfId="0" applyNumberFormat="1" applyFont="1" applyBorder="1" applyAlignment="1">
      <alignment horizontal="center"/>
    </xf>
    <xf numFmtId="0" fontId="28" fillId="0" borderId="0" xfId="0" applyFont="1" applyAlignment="1">
      <alignment horizontal="center" vertical="center"/>
    </xf>
    <xf numFmtId="0" fontId="8" fillId="0" borderId="39" xfId="0" applyFont="1" applyBorder="1" applyAlignment="1">
      <alignment horizontal="center" vertical="center" wrapText="1"/>
    </xf>
    <xf numFmtId="0" fontId="8" fillId="0" borderId="0" xfId="0" applyFont="1" applyAlignment="1">
      <alignment horizontal="center" vertical="center" wrapText="1"/>
    </xf>
    <xf numFmtId="180" fontId="2" fillId="0" borderId="0" xfId="0" applyNumberFormat="1" applyFont="1"/>
    <xf numFmtId="181" fontId="2" fillId="0" borderId="0" xfId="0" applyNumberFormat="1" applyFont="1"/>
    <xf numFmtId="2" fontId="56" fillId="55" borderId="73" xfId="0" applyNumberFormat="1" applyFont="1" applyFill="1" applyBorder="1" applyAlignment="1">
      <alignment vertical="top" wrapText="1"/>
    </xf>
    <xf numFmtId="2" fontId="56" fillId="58" borderId="73" xfId="0" applyNumberFormat="1" applyFont="1" applyFill="1" applyBorder="1" applyAlignment="1">
      <alignment vertical="top" wrapText="1"/>
    </xf>
    <xf numFmtId="2" fontId="56" fillId="18" borderId="73" xfId="0" applyNumberFormat="1" applyFont="1" applyFill="1" applyBorder="1" applyAlignment="1">
      <alignment vertical="top" wrapText="1"/>
    </xf>
    <xf numFmtId="182" fontId="0" fillId="0" borderId="0" xfId="0" applyNumberFormat="1"/>
    <xf numFmtId="179" fontId="56" fillId="58" borderId="72" xfId="0" applyNumberFormat="1" applyFont="1" applyFill="1" applyBorder="1" applyAlignment="1">
      <alignment vertical="top" wrapText="1"/>
    </xf>
    <xf numFmtId="179" fontId="56" fillId="55" borderId="72" xfId="0" applyNumberFormat="1" applyFont="1" applyFill="1" applyBorder="1" applyAlignment="1">
      <alignment vertical="top" wrapText="1"/>
    </xf>
    <xf numFmtId="179" fontId="56" fillId="18" borderId="72" xfId="0" applyNumberFormat="1" applyFont="1" applyFill="1" applyBorder="1" applyAlignment="1">
      <alignment vertical="top" wrapText="1"/>
    </xf>
    <xf numFmtId="0" fontId="57" fillId="56" borderId="74" xfId="0" applyFont="1" applyFill="1" applyBorder="1" applyAlignment="1">
      <alignment horizontal="center" wrapText="1"/>
    </xf>
    <xf numFmtId="0" fontId="57" fillId="57" borderId="75" xfId="0" applyFont="1" applyFill="1" applyBorder="1" applyAlignment="1">
      <alignment horizontal="center" wrapText="1"/>
    </xf>
    <xf numFmtId="2" fontId="56" fillId="55" borderId="76" xfId="0" applyNumberFormat="1" applyFont="1" applyFill="1" applyBorder="1" applyAlignment="1">
      <alignment vertical="top" wrapText="1"/>
    </xf>
    <xf numFmtId="168" fontId="0" fillId="0" borderId="0" xfId="60" applyNumberFormat="1" applyFont="1"/>
    <xf numFmtId="164" fontId="8" fillId="22" borderId="3" xfId="1" applyNumberFormat="1" applyFont="1" applyFill="1" applyBorder="1" applyAlignment="1">
      <alignment vertical="center"/>
    </xf>
    <xf numFmtId="183" fontId="0" fillId="0" borderId="0" xfId="0" applyNumberFormat="1"/>
    <xf numFmtId="2" fontId="0" fillId="0" borderId="0" xfId="0" applyNumberFormat="1"/>
    <xf numFmtId="0" fontId="3" fillId="0" borderId="34" xfId="0" applyFont="1" applyBorder="1"/>
    <xf numFmtId="0" fontId="3" fillId="0" borderId="0" xfId="0" applyFont="1"/>
    <xf numFmtId="164" fontId="3" fillId="0" borderId="0" xfId="0" applyNumberFormat="1" applyFont="1"/>
    <xf numFmtId="164" fontId="3" fillId="0" borderId="0" xfId="1" applyNumberFormat="1" applyFont="1" applyBorder="1"/>
    <xf numFmtId="164" fontId="3" fillId="0" borderId="7" xfId="0" applyNumberFormat="1" applyFont="1" applyBorder="1"/>
    <xf numFmtId="164" fontId="17" fillId="0" borderId="12" xfId="1" applyNumberFormat="1" applyFont="1" applyFill="1" applyBorder="1"/>
    <xf numFmtId="0" fontId="3" fillId="0" borderId="9" xfId="0" applyFont="1" applyBorder="1"/>
    <xf numFmtId="164" fontId="17" fillId="0" borderId="31" xfId="1" applyNumberFormat="1" applyFont="1" applyFill="1" applyBorder="1"/>
    <xf numFmtId="0" fontId="7" fillId="2" borderId="0" xfId="0" applyFont="1" applyFill="1" applyBorder="1" applyAlignment="1">
      <alignment horizontal="center" vertical="center"/>
    </xf>
    <xf numFmtId="0" fontId="27" fillId="22" borderId="78" xfId="0" applyFont="1" applyFill="1" applyBorder="1" applyAlignment="1">
      <alignment horizontal="center" vertical="center" wrapText="1"/>
    </xf>
    <xf numFmtId="164" fontId="2" fillId="0" borderId="79" xfId="1" applyNumberFormat="1" applyFont="1" applyFill="1" applyBorder="1"/>
    <xf numFmtId="164" fontId="2" fillId="0" borderId="77" xfId="1" applyNumberFormat="1" applyFont="1" applyFill="1" applyBorder="1"/>
    <xf numFmtId="0" fontId="0" fillId="22" borderId="7" xfId="0" applyNumberFormat="1" applyFill="1" applyBorder="1" applyAlignment="1">
      <alignment horizontal="center"/>
    </xf>
    <xf numFmtId="0" fontId="8" fillId="23" borderId="42" xfId="0" applyFont="1" applyFill="1" applyBorder="1" applyAlignment="1">
      <alignment horizontal="center" vertical="center"/>
    </xf>
    <xf numFmtId="0" fontId="8" fillId="23" borderId="0" xfId="0" applyFont="1" applyFill="1" applyAlignment="1">
      <alignment horizontal="center" vertical="center"/>
    </xf>
    <xf numFmtId="164" fontId="8" fillId="23" borderId="0" xfId="0" applyNumberFormat="1" applyFont="1" applyFill="1" applyAlignment="1">
      <alignment vertical="center"/>
    </xf>
    <xf numFmtId="164" fontId="8" fillId="23" borderId="0" xfId="1" applyNumberFormat="1" applyFont="1" applyFill="1" applyAlignment="1">
      <alignment vertical="center"/>
    </xf>
    <xf numFmtId="14" fontId="8" fillId="22" borderId="43" xfId="0" applyNumberFormat="1" applyFont="1" applyFill="1" applyBorder="1" applyAlignment="1" applyProtection="1">
      <alignment vertical="center"/>
    </xf>
    <xf numFmtId="0" fontId="61" fillId="0" borderId="0" xfId="0" applyFont="1"/>
    <xf numFmtId="0" fontId="8" fillId="0" borderId="0" xfId="0" applyNumberFormat="1" applyFont="1" applyAlignment="1">
      <alignment vertical="center"/>
    </xf>
    <xf numFmtId="0" fontId="8" fillId="0" borderId="0" xfId="0" applyNumberFormat="1" applyFont="1" applyBorder="1" applyAlignment="1">
      <alignment vertical="center"/>
    </xf>
    <xf numFmtId="164" fontId="8" fillId="20" borderId="2" xfId="1" applyNumberFormat="1" applyFont="1" applyFill="1" applyBorder="1" applyAlignment="1">
      <alignment vertical="center"/>
    </xf>
    <xf numFmtId="164" fontId="8" fillId="8" borderId="3" xfId="1" applyNumberFormat="1" applyFont="1" applyFill="1" applyBorder="1" applyAlignment="1">
      <alignment vertical="center"/>
    </xf>
    <xf numFmtId="164" fontId="8" fillId="9" borderId="8" xfId="1" applyNumberFormat="1" applyFont="1" applyFill="1" applyBorder="1" applyAlignment="1">
      <alignment vertical="center"/>
    </xf>
    <xf numFmtId="0" fontId="8" fillId="22" borderId="42" xfId="1" applyNumberFormat="1" applyFont="1" applyFill="1" applyBorder="1" applyAlignment="1">
      <alignment vertical="center"/>
    </xf>
    <xf numFmtId="164" fontId="2" fillId="0" borderId="0" xfId="1" applyNumberFormat="1" applyFont="1" applyFill="1" applyBorder="1"/>
    <xf numFmtId="164" fontId="8" fillId="0" borderId="42" xfId="1" applyNumberFormat="1" applyFont="1" applyFill="1" applyBorder="1" applyAlignment="1">
      <alignment vertical="center"/>
    </xf>
    <xf numFmtId="164" fontId="8" fillId="23" borderId="42" xfId="1" applyNumberFormat="1" applyFont="1" applyFill="1" applyBorder="1" applyAlignment="1">
      <alignment vertical="center"/>
    </xf>
    <xf numFmtId="41" fontId="3" fillId="0" borderId="1" xfId="1" applyNumberFormat="1" applyFont="1" applyBorder="1" applyAlignment="1">
      <alignment horizontal="right"/>
    </xf>
    <xf numFmtId="41" fontId="3" fillId="0" borderId="1" xfId="0" applyNumberFormat="1" applyFont="1" applyBorder="1" applyAlignment="1">
      <alignment horizontal="right"/>
    </xf>
    <xf numFmtId="171" fontId="2" fillId="0" borderId="0" xfId="0" applyNumberFormat="1" applyFont="1"/>
    <xf numFmtId="0" fontId="2" fillId="0" borderId="0" xfId="0" applyFont="1" applyBorder="1"/>
    <xf numFmtId="164" fontId="2" fillId="0" borderId="0" xfId="0" applyNumberFormat="1" applyFont="1" applyBorder="1"/>
    <xf numFmtId="0" fontId="37" fillId="0" borderId="0" xfId="0" applyFont="1" applyBorder="1" applyAlignment="1">
      <alignment horizontal="right"/>
    </xf>
    <xf numFmtId="0" fontId="38" fillId="0" borderId="35" xfId="0" applyFont="1" applyBorder="1"/>
    <xf numFmtId="0" fontId="37" fillId="0" borderId="1" xfId="0" applyFont="1" applyBorder="1" applyAlignment="1">
      <alignment horizontal="right"/>
    </xf>
    <xf numFmtId="0" fontId="64" fillId="0" borderId="1" xfId="0" applyFont="1" applyBorder="1" applyAlignment="1">
      <alignment horizontal="center"/>
    </xf>
    <xf numFmtId="0" fontId="14" fillId="0" borderId="0" xfId="0" applyFont="1" applyAlignment="1">
      <alignment horizontal="center" vertical="center"/>
    </xf>
    <xf numFmtId="0" fontId="7" fillId="2" borderId="40" xfId="0" applyFont="1" applyFill="1" applyBorder="1" applyAlignment="1">
      <alignment horizontal="center" vertical="center" wrapText="1"/>
    </xf>
    <xf numFmtId="164" fontId="59" fillId="17" borderId="3" xfId="1" applyNumberFormat="1" applyFont="1" applyFill="1" applyBorder="1" applyAlignment="1">
      <alignment horizontal="center" vertical="center"/>
    </xf>
    <xf numFmtId="164" fontId="59" fillId="17" borderId="0" xfId="1" applyNumberFormat="1" applyFont="1" applyFill="1" applyBorder="1" applyAlignment="1">
      <alignment horizontal="center" vertical="center"/>
    </xf>
    <xf numFmtId="164" fontId="8" fillId="0" borderId="0" xfId="1" applyNumberFormat="1" applyFont="1" applyFill="1" applyBorder="1" applyAlignment="1">
      <alignment horizontal="center" vertical="center"/>
    </xf>
    <xf numFmtId="0" fontId="5" fillId="10" borderId="3" xfId="0" applyFont="1" applyFill="1" applyBorder="1" applyAlignment="1">
      <alignment vertical="center"/>
    </xf>
    <xf numFmtId="0" fontId="5" fillId="10" borderId="0" xfId="0" applyFont="1" applyFill="1" applyAlignment="1">
      <alignment vertical="center"/>
    </xf>
    <xf numFmtId="0" fontId="5" fillId="10" borderId="8" xfId="0" applyFont="1" applyFill="1" applyBorder="1" applyAlignment="1">
      <alignment vertical="center"/>
    </xf>
    <xf numFmtId="0" fontId="5" fillId="3" borderId="4" xfId="0" applyFont="1" applyFill="1" applyBorder="1" applyAlignment="1">
      <alignment vertical="center"/>
    </xf>
    <xf numFmtId="0" fontId="5" fillId="3" borderId="5" xfId="0" applyFont="1" applyFill="1" applyBorder="1" applyAlignment="1">
      <alignment vertical="center"/>
    </xf>
    <xf numFmtId="0" fontId="5" fillId="3" borderId="6" xfId="0" applyFont="1" applyFill="1" applyBorder="1" applyAlignment="1">
      <alignment vertical="center"/>
    </xf>
    <xf numFmtId="0" fontId="31" fillId="24" borderId="47" xfId="0" quotePrefix="1" applyFont="1" applyFill="1" applyBorder="1" applyAlignment="1">
      <alignment horizontal="center" vertical="center"/>
    </xf>
    <xf numFmtId="0" fontId="31" fillId="24" borderId="48" xfId="0" quotePrefix="1" applyFont="1" applyFill="1" applyBorder="1" applyAlignment="1">
      <alignment horizontal="center" vertical="center"/>
    </xf>
    <xf numFmtId="164" fontId="31" fillId="24" borderId="47" xfId="0" applyNumberFormat="1" applyFont="1" applyFill="1" applyBorder="1" applyAlignment="1">
      <alignment horizontal="left" vertical="center"/>
    </xf>
    <xf numFmtId="164" fontId="31" fillId="24" borderId="48" xfId="0" applyNumberFormat="1" applyFont="1" applyFill="1" applyBorder="1" applyAlignment="1">
      <alignment horizontal="left" vertical="center"/>
    </xf>
    <xf numFmtId="173" fontId="4" fillId="11" borderId="49" xfId="0" applyNumberFormat="1" applyFont="1" applyFill="1" applyBorder="1" applyAlignment="1">
      <alignment horizontal="right" vertical="center" wrapText="1"/>
    </xf>
    <xf numFmtId="173" fontId="4" fillId="11" borderId="50" xfId="0" applyNumberFormat="1" applyFont="1" applyFill="1" applyBorder="1" applyAlignment="1">
      <alignment horizontal="right" vertical="center" wrapText="1"/>
    </xf>
    <xf numFmtId="173" fontId="4" fillId="11" borderId="51" xfId="0" applyNumberFormat="1" applyFont="1" applyFill="1" applyBorder="1" applyAlignment="1">
      <alignment horizontal="right" vertical="center" wrapText="1"/>
    </xf>
    <xf numFmtId="173" fontId="4" fillId="11" borderId="1" xfId="0" applyNumberFormat="1" applyFont="1" applyFill="1" applyBorder="1" applyAlignment="1">
      <alignment horizontal="right" vertical="center" wrapText="1"/>
    </xf>
    <xf numFmtId="170" fontId="13" fillId="11" borderId="49" xfId="0" applyNumberFormat="1" applyFont="1" applyFill="1" applyBorder="1" applyAlignment="1">
      <alignment horizontal="center" vertical="center"/>
    </xf>
    <xf numFmtId="170" fontId="13" fillId="11" borderId="39" xfId="0" applyNumberFormat="1" applyFont="1" applyFill="1" applyBorder="1" applyAlignment="1">
      <alignment horizontal="center" vertical="center"/>
    </xf>
    <xf numFmtId="170" fontId="13" fillId="11" borderId="51" xfId="0" applyNumberFormat="1" applyFont="1" applyFill="1" applyBorder="1" applyAlignment="1">
      <alignment horizontal="center" vertical="center"/>
    </xf>
    <xf numFmtId="170" fontId="13" fillId="11" borderId="52" xfId="0" applyNumberFormat="1" applyFont="1" applyFill="1" applyBorder="1" applyAlignment="1">
      <alignment horizontal="center" vertical="center"/>
    </xf>
    <xf numFmtId="0" fontId="27" fillId="17" borderId="0" xfId="0" applyFont="1" applyFill="1" applyAlignment="1">
      <alignment horizontal="center" vertical="center"/>
    </xf>
    <xf numFmtId="0" fontId="32" fillId="9" borderId="22" xfId="0" applyFont="1" applyFill="1" applyBorder="1" applyAlignment="1">
      <alignment horizontal="left" vertical="center" wrapText="1"/>
    </xf>
    <xf numFmtId="0" fontId="32" fillId="0" borderId="0" xfId="0" applyFont="1" applyAlignment="1">
      <alignment horizontal="left" vertical="center" wrapText="1"/>
    </xf>
    <xf numFmtId="0" fontId="32" fillId="0" borderId="23" xfId="0" applyFont="1" applyBorder="1" applyAlignment="1">
      <alignment horizontal="left" vertical="center" wrapText="1"/>
    </xf>
    <xf numFmtId="0" fontId="32" fillId="0" borderId="22" xfId="0" applyFont="1" applyBorder="1" applyAlignment="1">
      <alignment horizontal="left" vertical="center" wrapText="1"/>
    </xf>
    <xf numFmtId="0" fontId="32" fillId="0" borderId="24" xfId="0" applyFont="1" applyBorder="1" applyAlignment="1">
      <alignment horizontal="left" vertical="center" wrapText="1"/>
    </xf>
    <xf numFmtId="0" fontId="32" fillId="0" borderId="25" xfId="0" applyFont="1" applyBorder="1" applyAlignment="1">
      <alignment horizontal="left" vertical="center" wrapText="1"/>
    </xf>
    <xf numFmtId="0" fontId="32" fillId="0" borderId="26" xfId="0" applyFont="1" applyBorder="1" applyAlignment="1">
      <alignment horizontal="left" vertical="center" wrapText="1"/>
    </xf>
    <xf numFmtId="0" fontId="15" fillId="0" borderId="36" xfId="0" applyFont="1"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32" fillId="7" borderId="22" xfId="0" applyFont="1" applyFill="1" applyBorder="1" applyAlignment="1">
      <alignment horizontal="left" vertical="center" wrapText="1"/>
    </xf>
    <xf numFmtId="0" fontId="32" fillId="0" borderId="0" xfId="0" applyFont="1" applyAlignment="1">
      <alignment wrapText="1"/>
    </xf>
    <xf numFmtId="0" fontId="32" fillId="0" borderId="23" xfId="0" applyFont="1" applyBorder="1" applyAlignment="1">
      <alignment wrapText="1"/>
    </xf>
    <xf numFmtId="0" fontId="32" fillId="0" borderId="22" xfId="0" applyFont="1" applyBorder="1" applyAlignment="1">
      <alignment wrapText="1"/>
    </xf>
    <xf numFmtId="0" fontId="32" fillId="8" borderId="22" xfId="0" applyFont="1" applyFill="1" applyBorder="1" applyAlignment="1">
      <alignment horizontal="left" vertical="center" wrapText="1"/>
    </xf>
    <xf numFmtId="0" fontId="2" fillId="0" borderId="0" xfId="0" applyFont="1" applyAlignment="1">
      <alignment horizontal="center" wrapText="1"/>
    </xf>
    <xf numFmtId="0" fontId="32" fillId="6" borderId="22" xfId="0" applyFont="1" applyFill="1" applyBorder="1" applyAlignment="1">
      <alignment horizontal="left" vertical="center" wrapText="1"/>
    </xf>
    <xf numFmtId="0" fontId="32" fillId="6" borderId="0" xfId="0" applyFont="1" applyFill="1" applyAlignment="1">
      <alignment horizontal="left" vertical="center" wrapText="1"/>
    </xf>
    <xf numFmtId="0" fontId="32" fillId="6" borderId="23" xfId="0" applyFont="1" applyFill="1" applyBorder="1" applyAlignment="1">
      <alignment horizontal="left" vertical="center" wrapText="1"/>
    </xf>
    <xf numFmtId="0" fontId="32" fillId="0" borderId="22" xfId="0" applyFont="1" applyBorder="1" applyAlignment="1">
      <alignment vertical="center" wrapText="1"/>
    </xf>
    <xf numFmtId="0" fontId="32" fillId="0" borderId="0" xfId="0" applyFont="1" applyAlignment="1">
      <alignment vertical="center" wrapText="1"/>
    </xf>
    <xf numFmtId="0" fontId="32" fillId="0" borderId="23" xfId="0" applyFont="1" applyBorder="1" applyAlignment="1">
      <alignment vertical="center" wrapText="1"/>
    </xf>
    <xf numFmtId="0" fontId="5" fillId="17" borderId="18" xfId="0" applyFont="1" applyFill="1" applyBorder="1" applyAlignment="1">
      <alignment horizontal="left" vertical="center"/>
    </xf>
    <xf numFmtId="0" fontId="5" fillId="17" borderId="19" xfId="0" applyFont="1" applyFill="1" applyBorder="1" applyAlignment="1">
      <alignment horizontal="left" vertical="center"/>
    </xf>
    <xf numFmtId="0" fontId="5" fillId="17" borderId="20" xfId="0" applyFont="1" applyFill="1" applyBorder="1" applyAlignment="1">
      <alignment horizontal="left" vertical="center"/>
    </xf>
    <xf numFmtId="0" fontId="5" fillId="17" borderId="15" xfId="0" applyFont="1" applyFill="1" applyBorder="1" applyAlignment="1">
      <alignment horizontal="left" vertical="center"/>
    </xf>
    <xf numFmtId="0" fontId="5" fillId="17" borderId="16" xfId="0" applyFont="1" applyFill="1" applyBorder="1" applyAlignment="1">
      <alignment horizontal="left" vertical="center"/>
    </xf>
    <xf numFmtId="0" fontId="5" fillId="17" borderId="17" xfId="0" applyFont="1" applyFill="1" applyBorder="1" applyAlignment="1">
      <alignment horizontal="left" vertical="center"/>
    </xf>
    <xf numFmtId="0" fontId="32" fillId="13" borderId="22" xfId="0" applyFont="1" applyFill="1" applyBorder="1" applyAlignment="1">
      <alignment horizontal="left" vertical="center" wrapText="1"/>
    </xf>
    <xf numFmtId="0" fontId="32" fillId="13" borderId="0" xfId="0" applyFont="1" applyFill="1" applyAlignment="1">
      <alignment horizontal="left" vertical="center"/>
    </xf>
    <xf numFmtId="0" fontId="32" fillId="13" borderId="23" xfId="0" applyFont="1" applyFill="1" applyBorder="1" applyAlignment="1">
      <alignment horizontal="left" vertical="center"/>
    </xf>
    <xf numFmtId="0" fontId="32" fillId="13" borderId="22" xfId="0" applyFont="1" applyFill="1" applyBorder="1" applyAlignment="1">
      <alignment horizontal="left" vertical="center"/>
    </xf>
    <xf numFmtId="0" fontId="32" fillId="0" borderId="22" xfId="0" applyFont="1" applyBorder="1"/>
    <xf numFmtId="0" fontId="32" fillId="0" borderId="0" xfId="0" applyFont="1"/>
    <xf numFmtId="0" fontId="32" fillId="0" borderId="23" xfId="0" applyFont="1" applyBorder="1"/>
    <xf numFmtId="0" fontId="32" fillId="0" borderId="22" xfId="0" applyFont="1" applyBorder="1" applyAlignment="1">
      <alignment horizontal="left" vertical="center"/>
    </xf>
    <xf numFmtId="0" fontId="32" fillId="0" borderId="0" xfId="0" applyFont="1" applyAlignment="1">
      <alignment horizontal="left" vertical="center"/>
    </xf>
    <xf numFmtId="0" fontId="32" fillId="0" borderId="23" xfId="0" applyFont="1" applyBorder="1" applyAlignment="1">
      <alignment horizontal="left" vertical="center"/>
    </xf>
    <xf numFmtId="0" fontId="5" fillId="5" borderId="34" xfId="0" applyFont="1" applyFill="1" applyBorder="1" applyAlignment="1">
      <alignment horizontal="center" vertical="center" wrapText="1"/>
    </xf>
    <xf numFmtId="0" fontId="5" fillId="5" borderId="0" xfId="0" applyFont="1" applyFill="1" applyAlignment="1">
      <alignment horizontal="center" vertical="center" wrapText="1"/>
    </xf>
    <xf numFmtId="0" fontId="5" fillId="5" borderId="7" xfId="0" applyFont="1" applyFill="1" applyBorder="1" applyAlignment="1">
      <alignment horizontal="center" vertical="center" wrapText="1"/>
    </xf>
    <xf numFmtId="0" fontId="5" fillId="5" borderId="12" xfId="0" applyFont="1" applyFill="1" applyBorder="1" applyAlignment="1">
      <alignment horizontal="center" vertical="center" wrapText="1"/>
    </xf>
    <xf numFmtId="0" fontId="5" fillId="5" borderId="10" xfId="0" applyFont="1" applyFill="1" applyBorder="1" applyAlignment="1">
      <alignment horizontal="center" vertical="center" wrapText="1"/>
    </xf>
    <xf numFmtId="0" fontId="5" fillId="5" borderId="9"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10" fillId="11" borderId="5" xfId="0" applyFont="1" applyFill="1" applyBorder="1" applyAlignment="1">
      <alignment horizontal="center" vertical="center" wrapText="1"/>
    </xf>
    <xf numFmtId="0" fontId="10" fillId="11" borderId="6" xfId="0" applyFont="1" applyFill="1" applyBorder="1" applyAlignment="1">
      <alignment horizontal="center" vertical="center" wrapText="1"/>
    </xf>
    <xf numFmtId="0" fontId="10" fillId="12" borderId="4" xfId="0" applyFont="1" applyFill="1" applyBorder="1" applyAlignment="1">
      <alignment horizontal="center" vertical="center"/>
    </xf>
    <xf numFmtId="0" fontId="10" fillId="12" borderId="6" xfId="0" applyFont="1" applyFill="1" applyBorder="1" applyAlignment="1">
      <alignment horizontal="center" vertical="center"/>
    </xf>
    <xf numFmtId="171" fontId="0" fillId="0" borderId="54" xfId="0" applyNumberFormat="1" applyBorder="1"/>
    <xf numFmtId="171" fontId="0" fillId="0" borderId="54" xfId="0" applyNumberFormat="1" applyFont="1" applyBorder="1"/>
  </cellXfs>
  <cellStyles count="61">
    <cellStyle name="20% - Énfasis1" xfId="17" builtinId="30" customBuiltin="1"/>
    <cellStyle name="20% - Énfasis2" xfId="20" builtinId="34" customBuiltin="1"/>
    <cellStyle name="20% - Énfasis3" xfId="23" builtinId="38" customBuiltin="1"/>
    <cellStyle name="20% - Énfasis4" xfId="26" builtinId="42" customBuiltin="1"/>
    <cellStyle name="20% - Énfasis5" xfId="29" builtinId="46" customBuiltin="1"/>
    <cellStyle name="20% - Énfasis6" xfId="32" builtinId="50" customBuiltin="1"/>
    <cellStyle name="40% - Énfasis1" xfId="18" builtinId="31" customBuiltin="1"/>
    <cellStyle name="40% - Énfasis2" xfId="21" builtinId="35" customBuiltin="1"/>
    <cellStyle name="40% - Énfasis3" xfId="24" builtinId="39" customBuiltin="1"/>
    <cellStyle name="40% - Énfasis4" xfId="27" builtinId="43" customBuiltin="1"/>
    <cellStyle name="40% - Énfasis5" xfId="30" builtinId="47" customBuiltin="1"/>
    <cellStyle name="40% - Énfasis6" xfId="33" builtinId="51" customBuiltin="1"/>
    <cellStyle name="60% - Énfasis1 2" xfId="34" xr:uid="{7E38226D-5373-4BEF-BE1E-131C3B34584C}"/>
    <cellStyle name="60% - Énfasis2 2" xfId="35" xr:uid="{DE0CFB3F-98C1-44E8-996E-483B4B4A309B}"/>
    <cellStyle name="60% - Énfasis3 2" xfId="36" xr:uid="{D272F763-2763-4FCA-8BAA-49B6E77A5AF8}"/>
    <cellStyle name="60% - Énfasis4 2" xfId="37" xr:uid="{CE31D84F-AA29-441D-AB96-15C21EBD94B6}"/>
    <cellStyle name="60% - Énfasis5 2" xfId="38" xr:uid="{A6C632B1-361B-42BD-BA65-DF3C4CCAF3DA}"/>
    <cellStyle name="60% - Énfasis6 2" xfId="39" xr:uid="{98C20E40-CE30-4F92-AEA7-5FFF917CF542}"/>
    <cellStyle name="Cálculo" xfId="9" builtinId="22" customBuiltin="1"/>
    <cellStyle name="Celda de comprobación" xfId="11" builtinId="23" customBuiltin="1"/>
    <cellStyle name="Celda vinculada" xfId="10" builtinId="24" customBuiltin="1"/>
    <cellStyle name="Encabezado 1 2" xfId="40" xr:uid="{7A957105-C2CC-4E42-8F0D-3E4BDDBFD252}"/>
    <cellStyle name="Encabezado 4" xfId="5" builtinId="19" customBuiltin="1"/>
    <cellStyle name="Énfasis1" xfId="16" builtinId="29" customBuiltin="1"/>
    <cellStyle name="Énfasis2" xfId="19" builtinId="33" customBuiltin="1"/>
    <cellStyle name="Énfasis3" xfId="22" builtinId="37" customBuiltin="1"/>
    <cellStyle name="Énfasis4" xfId="25" builtinId="41" customBuiltin="1"/>
    <cellStyle name="Énfasis5" xfId="28" builtinId="45" customBuiltin="1"/>
    <cellStyle name="Énfasis6" xfId="31" builtinId="49" customBuiltin="1"/>
    <cellStyle name="Entrada" xfId="7" builtinId="20" customBuiltin="1"/>
    <cellStyle name="Euro" xfId="41" xr:uid="{AA4C045B-F21F-4909-892B-BDE0FA6F21CC}"/>
    <cellStyle name="Hipervínculo" xfId="2" builtinId="8"/>
    <cellStyle name="Hipervínculo 2" xfId="42" xr:uid="{87520FD6-79BE-4D89-B8AE-2D9B5EEC0CDA}"/>
    <cellStyle name="Hyperlink 2" xfId="43" xr:uid="{E97B1B06-EC53-4731-8EEB-467F56BC91D5}"/>
    <cellStyle name="Incorrecto" xfId="6" builtinId="27" customBuiltin="1"/>
    <cellStyle name="Millares" xfId="1" builtinId="3"/>
    <cellStyle name="Millares 2" xfId="44" xr:uid="{FA5A8B81-7BB4-4AF1-8B5E-BC8529A80B80}"/>
    <cellStyle name="Millares 2 2" xfId="45" xr:uid="{BEB7E30D-CBF5-4410-AB97-1837BD011967}"/>
    <cellStyle name="Millares 3" xfId="46" xr:uid="{0833C16D-8B76-45F5-AD37-5D0787869758}"/>
    <cellStyle name="Millares 3 2" xfId="47" xr:uid="{D89BC21B-DD52-49E9-B152-A0AC9B47DADA}"/>
    <cellStyle name="Millares 4" xfId="48" xr:uid="{AAC7C994-1436-49CE-BEEA-2E5531E9F28C}"/>
    <cellStyle name="Neutral 2" xfId="49" xr:uid="{5FEF1ECC-4046-48A0-97D2-E6E267E9EFEF}"/>
    <cellStyle name="Normal" xfId="0" builtinId="0"/>
    <cellStyle name="Normal 2" xfId="50" xr:uid="{376ECA8D-2BCB-402E-BD39-1A48A609C302}"/>
    <cellStyle name="Normal 3" xfId="51" xr:uid="{6E6D7F45-4A07-4114-9636-DAF2B19BDCB2}"/>
    <cellStyle name="Normal 3 2" xfId="52" xr:uid="{DFE9F7CA-5E39-4E7E-8BBD-C2B5E72AE7B5}"/>
    <cellStyle name="Normal 3 3" xfId="53" xr:uid="{11A44C8D-693E-4894-B94F-3EEA94387E1F}"/>
    <cellStyle name="Normal 4" xfId="54" xr:uid="{FEE49FC0-5D0D-4D1E-B765-04525B633F15}"/>
    <cellStyle name="Normal 5" xfId="55" xr:uid="{94611BF4-1BAD-4CAC-AC74-973E2EADBDC7}"/>
    <cellStyle name="Normal 6" xfId="56" xr:uid="{DCA7D59B-574F-4174-8BE3-2009F4791E8A}"/>
    <cellStyle name="Normal 6 2" xfId="57" xr:uid="{D6888D03-AB71-45F7-812A-7DB1211F670F}"/>
    <cellStyle name="Normal 7" xfId="58" xr:uid="{E88A83E8-3E33-423C-A8BB-DD64C970B6F6}"/>
    <cellStyle name="Notas" xfId="13" builtinId="10" customBuiltin="1"/>
    <cellStyle name="Porcentaje" xfId="60" builtinId="5"/>
    <cellStyle name="Salida" xfId="8" builtinId="21" customBuiltin="1"/>
    <cellStyle name="Texto de advertencia" xfId="12" builtinId="11" customBuiltin="1"/>
    <cellStyle name="Texto explicativo" xfId="14" builtinId="53" customBuiltin="1"/>
    <cellStyle name="Título 2" xfId="3" builtinId="17" customBuiltin="1"/>
    <cellStyle name="Título 3" xfId="4" builtinId="18" customBuiltin="1"/>
    <cellStyle name="Título 4" xfId="59" xr:uid="{455473D7-B30E-42BA-BBB0-C0DFDE9491E5}"/>
    <cellStyle name="Total" xfId="15" builtinId="25" customBuiltin="1"/>
  </cellStyles>
  <dxfs count="178">
    <dxf>
      <font>
        <b val="0"/>
        <i val="0"/>
        <strike val="0"/>
        <condense val="0"/>
        <extend val="0"/>
        <outline val="0"/>
        <shadow val="0"/>
        <u val="none"/>
        <vertAlign val="baseline"/>
        <sz val="11"/>
        <color theme="1"/>
        <name val="Calibri"/>
        <family val="2"/>
        <scheme val="minor"/>
      </font>
      <numFmt numFmtId="171" formatCode="#,##0.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auto="1"/>
        <name val="Arial"/>
        <family val="2"/>
        <scheme val="none"/>
      </font>
      <numFmt numFmtId="2" formatCode="0.00"/>
      <fill>
        <patternFill patternType="solid">
          <fgColor indexed="64"/>
          <bgColor rgb="FFFFFFFF"/>
        </patternFill>
      </fill>
      <alignment horizontal="general" vertical="top" textRotation="0" wrapText="1" indent="0" justifyLastLine="0" shrinkToFit="0" readingOrder="0"/>
      <border diagonalUp="0" diagonalDown="0">
        <left/>
        <right style="thin">
          <color theme="1"/>
        </right>
        <top style="medium">
          <color rgb="FFDEE2E6"/>
        </top>
        <bottom style="thin">
          <color theme="1"/>
        </bottom>
        <vertical/>
        <horizontal/>
      </border>
    </dxf>
    <dxf>
      <font>
        <b val="0"/>
        <i val="0"/>
        <strike val="0"/>
        <condense val="0"/>
        <extend val="0"/>
        <outline val="0"/>
        <shadow val="0"/>
        <u val="none"/>
        <vertAlign val="baseline"/>
        <sz val="11"/>
        <color auto="1"/>
        <name val="Arial"/>
        <family val="2"/>
        <scheme val="none"/>
      </font>
      <numFmt numFmtId="179" formatCode="dd/mmm/yyyy"/>
      <fill>
        <patternFill patternType="solid">
          <fgColor indexed="64"/>
          <bgColor rgb="FFFFFFFF"/>
        </patternFill>
      </fill>
      <alignment horizontal="general" vertical="top" textRotation="0" wrapText="1" indent="0" justifyLastLine="0" shrinkToFit="0" readingOrder="0"/>
      <border diagonalUp="0" diagonalDown="0">
        <left/>
        <right/>
        <top style="medium">
          <color rgb="FFDEE2E6"/>
        </top>
        <bottom style="thin">
          <color theme="1"/>
        </bottom>
        <vertical/>
        <horizontal/>
      </border>
    </dxf>
    <dxf>
      <border outline="0">
        <left style="thin">
          <color theme="1"/>
        </left>
        <top style="thin">
          <color theme="1"/>
        </top>
        <bottom style="thin">
          <color theme="1"/>
        </bottom>
      </border>
    </dxf>
    <dxf>
      <border outline="0">
        <bottom style="thin">
          <color theme="1"/>
        </bottom>
      </border>
    </dxf>
    <dxf>
      <font>
        <b val="0"/>
        <i val="0"/>
        <strike val="0"/>
        <condense val="0"/>
        <extend val="0"/>
        <outline val="0"/>
        <shadow val="0"/>
        <u val="none"/>
        <vertAlign val="baseline"/>
        <sz val="11"/>
        <color auto="1"/>
        <name val="Arial"/>
        <family val="2"/>
        <scheme val="none"/>
      </font>
      <numFmt numFmtId="2" formatCode="0.00"/>
      <fill>
        <patternFill patternType="solid">
          <fgColor indexed="64"/>
          <bgColor rgb="FFF9F9F9"/>
        </patternFill>
      </fill>
      <alignment horizontal="general" vertical="top" textRotation="0" wrapText="1" indent="0" justifyLastLine="0" shrinkToFit="0" readingOrder="0"/>
      <border diagonalUp="0" diagonalDown="0">
        <left/>
        <right/>
        <top style="medium">
          <color rgb="FFDEE2E6"/>
        </top>
        <bottom/>
        <vertical/>
        <horizontal/>
      </border>
    </dxf>
    <dxf>
      <font>
        <b val="0"/>
        <i val="0"/>
        <strike val="0"/>
        <condense val="0"/>
        <extend val="0"/>
        <outline val="0"/>
        <shadow val="0"/>
        <u val="none"/>
        <vertAlign val="baseline"/>
        <sz val="11"/>
        <color auto="1"/>
        <name val="Arial"/>
        <family val="2"/>
        <scheme val="none"/>
      </font>
      <numFmt numFmtId="2" formatCode="0.00"/>
      <fill>
        <patternFill patternType="solid">
          <fgColor indexed="64"/>
          <bgColor rgb="FFF9F9F9"/>
        </patternFill>
      </fill>
      <alignment horizontal="general" vertical="top" textRotation="0" wrapText="1" indent="0" justifyLastLine="0" shrinkToFit="0" readingOrder="0"/>
      <border diagonalUp="0" diagonalDown="0">
        <left/>
        <right/>
        <top style="medium">
          <color rgb="FFDEE2E6"/>
        </top>
        <bottom/>
        <vertical/>
        <horizontal/>
      </border>
    </dxf>
    <dxf>
      <font>
        <b val="0"/>
        <i val="0"/>
        <strike val="0"/>
        <condense val="0"/>
        <extend val="0"/>
        <outline val="0"/>
        <shadow val="0"/>
        <u val="none"/>
        <vertAlign val="baseline"/>
        <sz val="11"/>
        <color auto="1"/>
        <name val="Arial"/>
        <family val="2"/>
        <scheme val="none"/>
      </font>
      <numFmt numFmtId="179" formatCode="dd/mmm/yyyy"/>
      <fill>
        <patternFill patternType="solid">
          <fgColor indexed="64"/>
          <bgColor rgb="FFF9F9F9"/>
        </patternFill>
      </fill>
      <alignment horizontal="general" vertical="top" textRotation="0" wrapText="1" indent="0" justifyLastLine="0" shrinkToFit="0" readingOrder="0"/>
      <border diagonalUp="0" diagonalDown="0">
        <left/>
        <right/>
        <top style="medium">
          <color rgb="FFDEE2E6"/>
        </top>
        <bottom/>
        <vertical/>
        <horizontal/>
      </border>
    </dxf>
    <dxf>
      <border outline="0">
        <top style="thin">
          <color theme="4" tint="0.39997558519241921"/>
        </top>
      </border>
    </dxf>
    <dxf>
      <font>
        <b val="0"/>
        <i val="0"/>
        <strike val="0"/>
        <condense val="0"/>
        <extend val="0"/>
        <outline val="0"/>
        <shadow val="0"/>
        <u val="none"/>
        <vertAlign val="baseline"/>
        <sz val="11"/>
        <color auto="1"/>
        <name val="Arial"/>
        <family val="2"/>
        <scheme val="none"/>
      </font>
      <fill>
        <patternFill patternType="solid">
          <fgColor indexed="64"/>
          <bgColor rgb="FFF9F9F9"/>
        </patternFill>
      </fill>
      <alignment horizontal="general" vertical="top" textRotation="0" wrapText="1" indent="0" justifyLastLine="0" shrinkToFit="0" readingOrder="0"/>
    </dxf>
    <dxf>
      <border outline="0">
        <bottom style="thin">
          <color theme="4" tint="0.39997558519241921"/>
        </bottom>
      </border>
    </dxf>
    <dxf>
      <font>
        <b val="0"/>
        <i val="0"/>
        <strike val="0"/>
        <condense val="0"/>
        <extend val="0"/>
        <outline val="0"/>
        <shadow val="0"/>
        <u val="none"/>
        <vertAlign val="baseline"/>
        <sz val="11"/>
        <color auto="1"/>
        <name val="Arial"/>
        <family val="2"/>
        <scheme val="none"/>
      </font>
      <numFmt numFmtId="2" formatCode="0.00"/>
      <fill>
        <patternFill patternType="solid">
          <fgColor indexed="64"/>
          <bgColor rgb="FFFFFFFF"/>
        </patternFill>
      </fill>
      <alignment horizontal="general" vertical="top" textRotation="0" wrapText="1" indent="0" justifyLastLine="0" shrinkToFit="0" readingOrder="0"/>
      <border diagonalUp="0" diagonalDown="0">
        <left/>
        <right/>
        <top style="medium">
          <color rgb="FFDEE2E6"/>
        </top>
        <bottom/>
      </border>
    </dxf>
    <dxf>
      <font>
        <b val="0"/>
        <i val="0"/>
        <strike val="0"/>
        <condense val="0"/>
        <extend val="0"/>
        <outline val="0"/>
        <shadow val="0"/>
        <u val="none"/>
        <vertAlign val="baseline"/>
        <sz val="11"/>
        <color auto="1"/>
        <name val="Arial"/>
        <family val="2"/>
        <scheme val="none"/>
      </font>
      <numFmt numFmtId="2" formatCode="0.00"/>
      <fill>
        <patternFill patternType="solid">
          <fgColor indexed="64"/>
          <bgColor rgb="FFFFFFFF"/>
        </patternFill>
      </fill>
      <alignment horizontal="general" vertical="top" textRotation="0" wrapText="1" indent="0" justifyLastLine="0" shrinkToFit="0" readingOrder="0"/>
      <border diagonalUp="0" diagonalDown="0">
        <left/>
        <right/>
        <top style="medium">
          <color rgb="FFDEE2E6"/>
        </top>
        <bottom/>
      </border>
    </dxf>
    <dxf>
      <font>
        <b val="0"/>
        <i val="0"/>
        <strike val="0"/>
        <condense val="0"/>
        <extend val="0"/>
        <outline val="0"/>
        <shadow val="0"/>
        <u val="none"/>
        <vertAlign val="baseline"/>
        <sz val="11"/>
        <color auto="1"/>
        <name val="Arial"/>
        <family val="2"/>
        <scheme val="none"/>
      </font>
      <numFmt numFmtId="179" formatCode="dd/mmm/yyyy"/>
      <fill>
        <patternFill patternType="solid">
          <fgColor indexed="64"/>
          <bgColor rgb="FFFFFFFF"/>
        </patternFill>
      </fill>
      <alignment horizontal="general" vertical="top" textRotation="0" wrapText="1" indent="0" justifyLastLine="0" shrinkToFit="0" readingOrder="0"/>
      <border diagonalUp="0" diagonalDown="0">
        <left/>
        <right/>
        <top style="medium">
          <color rgb="FFDEE2E6"/>
        </top>
        <bottom/>
      </border>
    </dxf>
    <dxf>
      <font>
        <strike val="0"/>
        <outline val="0"/>
        <shadow val="0"/>
        <u val="none"/>
        <vertAlign val="baseline"/>
        <sz val="11"/>
        <color auto="1"/>
        <name val="Arial"/>
        <family val="2"/>
        <scheme val="none"/>
      </font>
    </dxf>
    <dxf>
      <font>
        <strike val="0"/>
        <outline val="0"/>
        <shadow val="0"/>
        <u val="none"/>
        <vertAlign val="baseline"/>
        <sz val="11"/>
        <color auto="1"/>
        <name val="Arial"/>
        <family val="2"/>
        <scheme val="none"/>
      </font>
    </dxf>
    <dxf>
      <numFmt numFmtId="3" formatCode="#,##0"/>
      <border diagonalUp="0" diagonalDown="0">
        <left style="medium">
          <color auto="1"/>
        </left>
        <right style="medium">
          <color auto="1"/>
        </right>
        <vertical/>
      </border>
    </dxf>
    <dxf>
      <numFmt numFmtId="3" formatCode="#,##0"/>
      <border diagonalUp="0" diagonalDown="0">
        <left/>
        <right style="medium">
          <color indexed="64"/>
        </right>
        <vertical/>
      </border>
    </dxf>
    <dxf>
      <numFmt numFmtId="3" formatCode="#,##0"/>
    </dxf>
    <dxf>
      <numFmt numFmtId="3" formatCode="#,##0"/>
    </dxf>
    <dxf>
      <numFmt numFmtId="3" formatCode="#,##0"/>
    </dxf>
    <dxf>
      <numFmt numFmtId="3" formatCode="#,##0"/>
    </dxf>
    <dxf>
      <numFmt numFmtId="3" formatCode="#,##0"/>
    </dxf>
    <dxf>
      <numFmt numFmtId="3" formatCode="#,##0"/>
    </dxf>
    <dxf>
      <numFmt numFmtId="3" formatCode="#,##0"/>
      <border diagonalUp="0" diagonalDown="0">
        <left style="medium">
          <color indexed="64"/>
        </left>
        <right/>
        <vertical/>
      </border>
    </dxf>
    <dxf>
      <numFmt numFmtId="165" formatCode="#,##0.0000"/>
      <border diagonalUp="0" diagonalDown="0">
        <left style="medium">
          <color indexed="64"/>
        </left>
        <right style="medium">
          <color indexed="64"/>
        </right>
        <vertical/>
      </border>
    </dxf>
    <dxf>
      <numFmt numFmtId="166" formatCode="mmm/yyyy"/>
      <border diagonalUp="0" diagonalDown="0">
        <left/>
        <right style="medium">
          <color auto="1"/>
        </right>
        <top/>
        <bottom/>
        <vertical/>
        <horizontal/>
      </border>
    </dxf>
    <dxf>
      <border>
        <bottom style="medium">
          <color auto="1"/>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ill>
        <patternFill patternType="solid">
          <fgColor indexed="64"/>
          <bgColor theme="0"/>
        </patternFill>
      </fill>
      <alignment horizontal="center" vertical="center" textRotation="0" wrapText="0" indent="0" justifyLastLine="0" shrinkToFit="0" readingOrder="0"/>
      <border diagonalUp="0" diagonalDown="0">
        <left/>
        <right/>
        <top style="thin">
          <color auto="1"/>
        </top>
        <bottom style="thin">
          <color auto="1"/>
        </bottom>
        <vertical/>
        <horizontal/>
      </border>
    </dxf>
    <dxf>
      <border outline="0">
        <bottom style="thin">
          <color auto="1"/>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0"/>
        <name val="Calibri"/>
        <family val="2"/>
        <scheme val="minor"/>
      </font>
      <fill>
        <patternFill patternType="solid">
          <fgColor indexed="64"/>
          <bgColor rgb="FF0070C0"/>
        </patternFill>
      </fill>
      <alignment horizontal="center" vertical="bottom" textRotation="0" wrapText="0" indent="0" justifyLastLine="0" shrinkToFit="0" readingOrder="0"/>
    </dxf>
    <dxf>
      <numFmt numFmtId="0" formatCode="General"/>
      <fill>
        <patternFill patternType="solid">
          <fgColor indexed="64"/>
          <bgColor theme="0"/>
        </patternFill>
      </fill>
      <alignment horizontal="center" vertical="bottom" textRotation="0" wrapText="0" indent="0" justifyLastLine="0" shrinkToFit="0" readingOrder="0"/>
      <border diagonalUp="0" diagonalDown="0">
        <left/>
        <right/>
        <top style="thin">
          <color auto="1"/>
        </top>
        <bottom style="thin">
          <color auto="1"/>
        </bottom>
        <vertical/>
        <horizontal/>
      </border>
    </dxf>
    <dxf>
      <fill>
        <patternFill patternType="solid">
          <fgColor indexed="64"/>
          <bgColor theme="0"/>
        </patternFill>
      </fill>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70C0"/>
        </patternFill>
      </fill>
    </dxf>
    <dxf>
      <alignment horizontal="center" vertical="bottom" textRotation="0" wrapText="0" indent="0" justifyLastLine="0" shrinkToFit="0" readingOrder="0"/>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top style="thin">
          <color auto="1"/>
        </top>
      </border>
    </dxf>
    <dxf>
      <border diagonalUp="0" diagonalDown="0">
        <left style="thin">
          <color auto="1"/>
        </left>
        <right style="thin">
          <color auto="1"/>
        </right>
        <top style="thin">
          <color auto="1"/>
        </top>
        <bottom style="thin">
          <color auto="1"/>
        </bottom>
      </border>
    </dxf>
    <dxf>
      <border>
        <bottom style="thin">
          <color auto="1"/>
        </bottom>
      </border>
    </dxf>
    <dxf>
      <font>
        <b val="0"/>
        <i val="0"/>
        <strike val="0"/>
        <condense val="0"/>
        <extend val="0"/>
        <outline val="0"/>
        <shadow val="0"/>
        <u val="none"/>
        <vertAlign val="baseline"/>
        <sz val="11"/>
        <color theme="0"/>
        <name val="Calibri"/>
        <family val="2"/>
        <scheme val="minor"/>
      </font>
      <fill>
        <patternFill patternType="solid">
          <fgColor indexed="64"/>
          <bgColor rgb="FF0070C0"/>
        </patternFill>
      </fill>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0"/>
        <color auto="1"/>
        <name val="Calibri"/>
        <family val="2"/>
        <scheme val="minor"/>
      </font>
      <numFmt numFmtId="164" formatCode="#,##0_ ;[Red]\-#,##0\ "/>
      <fill>
        <patternFill patternType="solid">
          <fgColor indexed="64"/>
          <bgColor theme="0" tint="-0.1499984740745262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0"/>
        <color auto="1"/>
        <name val="Calibri"/>
        <family val="2"/>
        <scheme val="minor"/>
      </font>
      <numFmt numFmtId="164" formatCode="#,##0_ ;[Red]\-#,##0\ "/>
      <fill>
        <patternFill patternType="solid">
          <fgColor indexed="64"/>
          <bgColor theme="0" tint="-0.1499984740745262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0"/>
        <color auto="1"/>
        <name val="Calibri"/>
        <family val="2"/>
        <scheme val="minor"/>
      </font>
      <numFmt numFmtId="164" formatCode="#,##0_ ;[Red]\-#,##0\ "/>
      <fill>
        <patternFill patternType="solid">
          <fgColor indexed="64"/>
          <bgColor theme="0" tint="-0.1499984740745262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dxf>
    <dxf>
      <font>
        <strike val="0"/>
        <outline val="0"/>
        <shadow val="0"/>
        <u val="none"/>
        <vertAlign val="baseline"/>
        <sz val="10"/>
        <color auto="1"/>
        <name val="Calibri"/>
        <family val="2"/>
        <scheme val="minor"/>
      </font>
      <numFmt numFmtId="172" formatCode="#,##0.00_ ;[Red]\-#,##0.00\ "/>
      <alignment horizontal="general" vertical="center" textRotation="0" wrapText="0" indent="0" justifyLastLine="0" shrinkToFit="0" readingOrder="0"/>
    </dxf>
    <dxf>
      <font>
        <strike val="0"/>
        <outline val="0"/>
        <shadow val="0"/>
        <u val="none"/>
        <vertAlign val="baseline"/>
        <sz val="10"/>
        <color auto="1"/>
        <name val="Calibri"/>
        <family val="2"/>
        <scheme val="minor"/>
      </font>
      <numFmt numFmtId="164" formatCode="#,##0_ ;[Red]\-#,##0\ "/>
      <fill>
        <patternFill patternType="solid">
          <fgColor indexed="64"/>
          <bgColor theme="0" tint="-0.1499984740745262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border diagonalUp="0" diagonalDown="0" outline="0">
        <left/>
        <right/>
        <top style="thin">
          <color theme="6"/>
        </top>
        <bottom/>
      </border>
    </dxf>
    <dxf>
      <font>
        <strike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border diagonalUp="0" diagonalDown="0" outline="0">
        <left/>
        <right/>
        <top style="thin">
          <color theme="6"/>
        </top>
        <bottom/>
      </border>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border diagonalUp="0" diagonalDown="0" outline="0">
        <left/>
        <right/>
        <top style="thin">
          <color theme="6"/>
        </top>
        <bottom/>
      </border>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border diagonalUp="0" diagonalDown="0">
        <left/>
        <right/>
        <top style="thin">
          <color theme="6"/>
        </top>
        <bottom/>
        <vertical/>
        <horizontal/>
      </border>
    </dxf>
    <dxf>
      <font>
        <b val="0"/>
        <i val="0"/>
        <strike val="0"/>
        <condense val="0"/>
        <extend val="0"/>
        <outline val="0"/>
        <shadow val="0"/>
        <u val="none"/>
        <vertAlign val="baseline"/>
        <sz val="10"/>
        <color auto="1"/>
        <name val="Calibri"/>
        <family val="2"/>
        <scheme val="minor"/>
      </font>
      <alignment horizontal="general" vertical="center" textRotation="0" wrapText="0" indent="0" justifyLastLine="0" shrinkToFit="0" readingOrder="0"/>
      <border diagonalUp="0" diagonalDown="0" outline="0">
        <left/>
        <right/>
        <top style="thin">
          <color theme="6"/>
        </top>
        <bottom/>
      </border>
    </dxf>
    <dxf>
      <font>
        <b val="0"/>
        <i val="0"/>
        <strike val="0"/>
        <condense val="0"/>
        <extend val="0"/>
        <outline val="0"/>
        <shadow val="0"/>
        <u val="none"/>
        <vertAlign val="baseline"/>
        <sz val="10"/>
        <color auto="1"/>
        <name val="Calibri"/>
        <family val="2"/>
        <scheme val="minor"/>
      </font>
      <alignment horizontal="general" vertical="center" textRotation="0" wrapText="0" indent="0" justifyLastLine="0" shrinkToFit="0" readingOrder="0"/>
      <border diagonalUp="0" diagonalDown="0" outline="0">
        <left/>
        <right/>
        <top style="thin">
          <color theme="6"/>
        </top>
        <bottom/>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auto="1"/>
        <name val="Calibri"/>
        <family val="2"/>
        <scheme val="minor"/>
      </font>
      <fill>
        <patternFill patternType="solid">
          <fgColor indexed="64"/>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alignment horizontal="center" vertical="center" textRotation="0" wrapText="0" indent="0" justifyLastLine="0" shrinkToFit="0" readingOrder="0"/>
      <border diagonalUp="0" diagonalDown="0" outline="0">
        <left/>
        <right/>
        <top style="thin">
          <color theme="0" tint="-0.24994659260841701"/>
        </top>
        <bottom/>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outline="0">
        <left/>
        <right/>
        <top style="thin">
          <color theme="0" tint="-0.24994659260841701"/>
        </top>
        <bottom style="thin">
          <color theme="0" tint="-0.24994659260841701"/>
        </bottom>
      </border>
    </dxf>
    <dxf>
      <font>
        <b val="0"/>
        <i val="0"/>
        <strike val="0"/>
        <condense val="0"/>
        <extend val="0"/>
        <outline val="0"/>
        <shadow val="0"/>
        <u val="none"/>
        <vertAlign val="baseline"/>
        <sz val="10"/>
        <color auto="1"/>
        <name val="Calibri"/>
        <family val="2"/>
        <scheme val="minor"/>
      </font>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0"/>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0"/>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9" formatCode="d/m/yyyy"/>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0"/>
        <color auto="1"/>
        <name val="Calibri"/>
        <family val="2"/>
        <scheme val="minor"/>
      </font>
      <numFmt numFmtId="19" formatCode="d/m/yyyy"/>
      <alignment horizontal="general" vertical="center" textRotation="0" wrapText="0" indent="0" justifyLastLine="0" shrinkToFit="0" readingOrder="0"/>
    </dxf>
    <dxf>
      <font>
        <strike val="0"/>
        <outline val="0"/>
        <shadow val="0"/>
        <u val="none"/>
        <vertAlign val="baseline"/>
        <sz val="10"/>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border diagonalUp="0" diagonalDown="0">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border diagonalUp="0" diagonalDown="0">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border diagonalUp="0" diagonalDown="0">
        <left/>
        <right/>
        <top style="thin">
          <color theme="0" tint="-0.24994659260841701"/>
        </top>
        <bottom style="thin">
          <color theme="0" tint="-0.24994659260841701"/>
        </bottom>
      </border>
    </dxf>
    <dxf>
      <font>
        <b val="0"/>
        <i val="0"/>
        <strike val="0"/>
        <condense val="0"/>
        <extend val="0"/>
        <outline val="0"/>
        <shadow val="0"/>
        <u val="none"/>
        <vertAlign val="baseline"/>
        <sz val="10"/>
        <color auto="1"/>
        <name val="Calibri"/>
        <family val="2"/>
        <scheme val="minor"/>
      </font>
      <numFmt numFmtId="164" formatCode="#,##0_ ;[Red]\-#,##0\ "/>
      <fill>
        <patternFill patternType="solid">
          <fgColor indexed="64"/>
          <bgColor theme="0" tint="-0.14999847407452621"/>
        </patternFill>
      </fill>
      <alignment horizontal="general" vertical="center" textRotation="0" wrapText="0" indent="0" justifyLastLine="0" shrinkToFit="0" readingOrder="0"/>
      <border diagonalUp="0" diagonalDown="0">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auto="1"/>
        <name val="Calibri"/>
        <family val="2"/>
        <scheme val="minor"/>
      </font>
      <numFmt numFmtId="164" formatCode="#,##0_ ;[Red]\-#,##0\ "/>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0" tint="-0.24994659260841701"/>
        </top>
        <bottom style="thin">
          <color theme="0" tint="-0.24994659260841701"/>
        </bottom>
      </border>
    </dxf>
    <dxf>
      <font>
        <b val="0"/>
        <i val="0"/>
        <strike val="0"/>
        <condense val="0"/>
        <extend val="0"/>
        <outline val="0"/>
        <shadow val="0"/>
        <u val="none"/>
        <vertAlign val="baseline"/>
        <sz val="10"/>
        <color auto="1"/>
        <name val="Calibri"/>
        <family val="2"/>
        <scheme val="minor"/>
      </font>
      <numFmt numFmtId="164" formatCode="#,##0_ ;[Red]\-#,##0\ "/>
      <fill>
        <patternFill patternType="solid">
          <fgColor indexed="64"/>
          <bgColor theme="0" tint="-0.14996795556505021"/>
        </patternFill>
      </fill>
      <alignment horizontal="general" vertical="center" textRotation="0" wrapText="0" indent="0" justifyLastLine="0" shrinkToFit="0" readingOrder="0"/>
      <border diagonalUp="0" diagonalDown="0">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auto="1"/>
        <name val="Calibri"/>
        <family val="2"/>
        <scheme val="minor"/>
      </font>
      <numFmt numFmtId="164" formatCode="#,##0_ ;[Red]\-#,##0\ "/>
      <fill>
        <patternFill patternType="none">
          <fgColor indexed="64"/>
          <bgColor auto="1"/>
        </patternFill>
      </fill>
      <alignment horizontal="general" vertical="center" textRotation="0" wrapText="0" indent="0" justifyLastLine="0" shrinkToFit="0" readingOrder="0"/>
      <border diagonalUp="0" diagonalDown="0">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auto="1"/>
        <name val="Calibri"/>
        <family val="2"/>
        <scheme val="minor"/>
      </font>
      <numFmt numFmtId="164" formatCode="#,##0_ ;[Red]\-#,##0\ "/>
      <fill>
        <patternFill patternType="solid">
          <fgColor indexed="64"/>
          <bgColor theme="0" tint="-0.14996795556505021"/>
        </patternFill>
      </fill>
      <alignment horizontal="general" vertical="center" textRotation="0" wrapText="0" indent="0" justifyLastLine="0" shrinkToFit="0" readingOrder="0"/>
      <border diagonalUp="0" diagonalDown="0">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theme="1"/>
        <name val="Calibri"/>
        <family val="2"/>
        <scheme val="minor"/>
      </font>
      <numFmt numFmtId="164" formatCode="#,##0_ ;[Red]\-#,##0\ "/>
      <fill>
        <patternFill patternType="none">
          <fgColor indexed="64"/>
          <bgColor theme="0"/>
        </patternFill>
      </fill>
    </dxf>
    <dxf>
      <font>
        <b val="0"/>
        <i val="0"/>
        <strike val="0"/>
        <condense val="0"/>
        <extend val="0"/>
        <outline val="0"/>
        <shadow val="0"/>
        <u val="none"/>
        <vertAlign val="baseline"/>
        <sz val="10"/>
        <color auto="1"/>
        <name val="Calibri"/>
        <family val="2"/>
        <scheme val="minor"/>
      </font>
      <fill>
        <patternFill patternType="solid">
          <fgColor indexed="64"/>
          <bgColor theme="0" tint="-0.1499679555650502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fill>
        <patternFill patternType="solid">
          <fgColor indexed="64"/>
          <bgColor theme="0" tint="-0.14996795556505021"/>
        </patternFill>
      </fill>
      <alignment horizontal="general" vertical="center" textRotation="0" wrapText="0" indent="0" justifyLastLine="0" shrinkToFit="0" readingOrder="0"/>
      <border diagonalUp="0" diagonalDown="0">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auto="1"/>
        <name val="Calibri"/>
        <family val="2"/>
        <scheme val="minor"/>
      </font>
      <numFmt numFmtId="164" formatCode="#,##0_ ;[Red]\-#,##0\ "/>
      <fill>
        <patternFill patternType="solid">
          <fgColor indexed="64"/>
          <bgColor theme="0" tint="-0.14996795556505021"/>
        </patternFill>
      </fill>
      <alignment horizontal="general" vertical="center" textRotation="0" wrapText="0" indent="0" justifyLastLine="0" shrinkToFit="0" readingOrder="0"/>
      <border diagonalUp="0" diagonalDown="0">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0"/>
        </patternFill>
      </fill>
      <alignment horizontal="general" vertical="center" textRotation="0" wrapText="0" indent="0" justifyLastLine="0" shrinkToFit="0" readingOrder="0"/>
      <border diagonalUp="0" diagonalDown="0">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auto="1"/>
        <name val="Calibri"/>
        <family val="2"/>
        <scheme val="minor"/>
      </font>
      <numFmt numFmtId="19" formatCode="d/m/yyyy"/>
      <fill>
        <patternFill patternType="solid">
          <fgColor indexed="64"/>
          <bgColor theme="0"/>
        </patternFill>
      </fill>
      <alignment horizontal="general" vertical="center" textRotation="0" wrapText="0" indent="0" justifyLastLine="0" shrinkToFit="0" readingOrder="0"/>
      <border diagonalUp="0" diagonalDown="0">
        <left style="thin">
          <color theme="0" tint="-0.24994659260841701"/>
        </left>
        <right/>
        <top/>
        <bottom style="thin">
          <color theme="0" tint="-0.24994659260841701"/>
        </bottom>
        <vertical/>
        <horizontal/>
      </border>
      <protection locked="1" hidden="0"/>
    </dxf>
    <dxf>
      <font>
        <b val="0"/>
        <i val="0"/>
        <strike val="0"/>
        <condense val="0"/>
        <extend val="0"/>
        <outline val="0"/>
        <shadow val="0"/>
        <u val="none"/>
        <vertAlign val="baseline"/>
        <sz val="10"/>
        <color theme="1"/>
        <name val="Calibri"/>
        <family val="2"/>
        <scheme val="minor"/>
      </font>
      <numFmt numFmtId="164" formatCode="#,##0_ ;[Red]\-#,##0\ "/>
      <fill>
        <patternFill patternType="none">
          <fgColor indexed="64"/>
          <bgColor auto="1"/>
        </patternFill>
      </fill>
      <border diagonalUp="0" diagonalDown="0">
        <left style="medium">
          <color auto="1"/>
        </left>
        <right style="medium">
          <color auto="1"/>
        </right>
        <top style="medium">
          <color theme="0"/>
        </top>
        <bottom style="medium">
          <color theme="0"/>
        </bottom>
        <vertical/>
        <horizontal style="medium">
          <color theme="0"/>
        </horizontal>
      </border>
    </dxf>
    <dxf>
      <font>
        <b val="0"/>
        <i val="0"/>
        <strike val="0"/>
        <condense val="0"/>
        <extend val="0"/>
        <outline val="0"/>
        <shadow val="0"/>
        <u val="none"/>
        <vertAlign val="baseline"/>
        <sz val="10"/>
        <color auto="1"/>
        <name val="Calibri"/>
        <family val="2"/>
        <scheme val="minor"/>
      </font>
      <numFmt numFmtId="164" formatCode="#,##0_ ;[Red]\-#,##0\ "/>
      <fill>
        <patternFill patternType="solid">
          <fgColor indexed="64"/>
          <bgColor theme="8" tint="0.59999389629810485"/>
        </patternFill>
      </fill>
      <alignment horizontal="general" vertical="center" textRotation="0" wrapText="0" indent="0" justifyLastLine="0" shrinkToFit="0" readingOrder="0"/>
      <border diagonalUp="0" diagonalDown="0">
        <left/>
        <right style="medium">
          <color auto="1"/>
        </right>
        <top/>
        <bottom/>
        <vertical/>
        <horizontal/>
      </border>
    </dxf>
    <dxf>
      <font>
        <b val="0"/>
        <i val="0"/>
        <strike val="0"/>
        <condense val="0"/>
        <extend val="0"/>
        <outline val="0"/>
        <shadow val="0"/>
        <u val="none"/>
        <vertAlign val="baseline"/>
        <sz val="10"/>
        <color auto="1"/>
        <name val="Calibri"/>
        <family val="2"/>
        <scheme val="minor"/>
      </font>
      <numFmt numFmtId="164" formatCode="#,##0_ ;[Red]\-#,##0\ "/>
      <fill>
        <patternFill patternType="solid">
          <fgColor indexed="64"/>
          <bgColor theme="7" tint="0.59999389629810485"/>
        </patternFill>
      </fill>
      <alignment horizontal="general" vertical="center" textRotation="0" wrapText="0" indent="0" justifyLastLine="0" shrinkToFit="0" readingOrder="0"/>
      <border diagonalUp="0" diagonalDown="0">
        <left style="medium">
          <color auto="1"/>
        </left>
        <right/>
        <top/>
        <bottom/>
        <vertical/>
        <horizontal/>
      </border>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fill>
        <patternFill patternType="solid">
          <fgColor indexed="64"/>
          <bgColor theme="9" tint="0.79995117038483843"/>
        </patternFill>
      </fill>
      <alignment horizontal="general" vertical="center" textRotation="0" wrapText="0" indent="0" justifyLastLine="0" shrinkToFit="0" readingOrder="0"/>
      <border diagonalUp="0" diagonalDown="0">
        <left/>
        <right/>
        <top style="thin">
          <color theme="6"/>
        </top>
        <bottom/>
        <vertical/>
        <horizontal/>
      </border>
    </dxf>
    <dxf>
      <font>
        <b val="0"/>
        <i val="0"/>
        <strike val="0"/>
        <condense val="0"/>
        <extend val="0"/>
        <outline val="0"/>
        <shadow val="0"/>
        <u val="none"/>
        <vertAlign val="baseline"/>
        <sz val="10"/>
        <color auto="1"/>
        <name val="Calibri"/>
        <family val="2"/>
        <scheme val="minor"/>
      </font>
      <numFmt numFmtId="164" formatCode="#,##0_ ;[Red]\-#,##0\ "/>
      <fill>
        <patternFill patternType="solid">
          <fgColor indexed="64"/>
          <bgColor theme="5" tint="0.59999389629810485"/>
        </patternFill>
      </fill>
      <alignment horizontal="general" vertical="center" textRotation="0" wrapText="0" indent="0" justifyLastLine="0" shrinkToFit="0" readingOrder="0"/>
      <border diagonalUp="0" diagonalDown="0">
        <left style="medium">
          <color auto="1"/>
        </left>
        <right/>
        <top/>
        <bottom/>
        <vertical/>
        <horizontal/>
      </border>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border diagonalUp="0" diagonalDown="0">
        <left style="medium">
          <color auto="1"/>
        </left>
        <right/>
        <top/>
        <bottom/>
        <vertical/>
        <horizontal/>
      </border>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4" formatCode="#,##0_ ;[Red]\-#,##0\ "/>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ill>
        <patternFill>
          <bgColor rgb="FF99FF99"/>
        </patternFill>
      </fill>
    </dxf>
    <dxf>
      <border>
        <top style="thin">
          <color theme="0" tint="-0.34998626667073579"/>
        </top>
        <vertical/>
        <horizontal/>
      </border>
    </dxf>
    <dxf>
      <border>
        <top style="thin">
          <color theme="0" tint="-0.34998626667073579"/>
        </top>
        <vertical/>
        <horizontal/>
      </border>
    </dxf>
    <dxf>
      <border>
        <left style="thin">
          <color theme="0" tint="-0.34998626667073579"/>
        </left>
        <vertical/>
        <horizontal/>
      </border>
    </dxf>
    <dxf>
      <font>
        <color theme="0" tint="-0.34998626667073579"/>
      </font>
      <numFmt numFmtId="167" formatCode="#,##0_ ;\-#,##0\ "/>
      <fill>
        <patternFill>
          <bgColor theme="0" tint="-0.34998626667073579"/>
        </patternFill>
      </fill>
      <border>
        <left style="thin">
          <color auto="1"/>
        </left>
      </border>
    </dxf>
    <dxf>
      <font>
        <color theme="0"/>
      </font>
      <fill>
        <patternFill>
          <bgColor rgb="FFFF0000"/>
        </patternFill>
      </fill>
    </dxf>
    <dxf>
      <font>
        <color theme="0"/>
      </font>
    </dxf>
    <dxf>
      <font>
        <color theme="0" tint="-0.34998626667073579"/>
      </font>
      <numFmt numFmtId="167" formatCode="#,##0_ ;\-#,##0\ "/>
      <fill>
        <patternFill>
          <bgColor theme="0" tint="-0.34998626667073579"/>
        </patternFill>
      </fill>
      <border>
        <left style="thin">
          <color auto="1"/>
        </left>
      </border>
    </dxf>
    <dxf>
      <font>
        <color theme="0"/>
      </font>
      <numFmt numFmtId="184" formatCode="0.00_ ;\-0.00\ "/>
      <fill>
        <patternFill patternType="none">
          <bgColor auto="1"/>
        </patternFill>
      </fill>
      <border>
        <left style="thin">
          <color auto="1"/>
        </left>
        <right style="thin">
          <color theme="0"/>
        </right>
        <top/>
        <bottom/>
        <vertical/>
        <horizontal/>
      </border>
    </dxf>
    <dxf>
      <font>
        <color theme="0" tint="-0.34998626667073579"/>
      </font>
      <numFmt numFmtId="167" formatCode="#,##0_ ;\-#,##0\ "/>
      <fill>
        <patternFill>
          <bgColor theme="0" tint="-0.34998626667073579"/>
        </patternFill>
      </fill>
    </dxf>
    <dxf>
      <font>
        <color theme="0" tint="-0.34998626667073579"/>
      </font>
      <numFmt numFmtId="167" formatCode="#,##0_ ;\-#,##0\ "/>
      <fill>
        <patternFill>
          <bgColor theme="0" tint="-0.34998626667073579"/>
        </patternFill>
      </fill>
    </dxf>
    <dxf>
      <font>
        <b/>
        <i val="0"/>
        <color theme="0"/>
      </font>
      <fill>
        <patternFill>
          <bgColor rgb="FF0070C0"/>
        </patternFill>
      </fill>
    </dxf>
    <dxf>
      <font>
        <b/>
        <i val="0"/>
        <color theme="0"/>
      </font>
      <fill>
        <patternFill>
          <bgColor rgb="FF00B050"/>
        </patternFill>
      </fill>
    </dxf>
    <dxf>
      <font>
        <b/>
        <i val="0"/>
        <color theme="0"/>
      </font>
      <fill>
        <patternFill>
          <bgColor rgb="FF7030A0"/>
        </patternFill>
      </fill>
    </dxf>
    <dxf>
      <fill>
        <patternFill>
          <bgColor rgb="FF66FFFF"/>
        </patternFill>
      </fill>
    </dxf>
    <dxf>
      <fill>
        <patternFill>
          <bgColor rgb="FF99FF99"/>
        </patternFill>
      </fill>
    </dxf>
    <dxf>
      <fill>
        <patternFill>
          <bgColor rgb="FF66FFFF"/>
        </patternFill>
      </fill>
    </dxf>
    <dxf>
      <fill>
        <patternFill>
          <bgColor rgb="FF99FF99"/>
        </patternFill>
      </fill>
    </dxf>
    <dxf>
      <fill>
        <patternFill>
          <bgColor rgb="FF66FFFF"/>
        </patternFill>
      </fill>
      <border>
        <top style="thin">
          <color auto="1"/>
        </top>
      </border>
    </dxf>
    <dxf>
      <fill>
        <patternFill>
          <bgColor rgb="FF66FFFF"/>
        </patternFill>
      </fill>
    </dxf>
    <dxf>
      <fill>
        <patternFill>
          <bgColor rgb="FF99FF99"/>
        </patternFill>
      </fill>
    </dxf>
    <dxf>
      <fill>
        <patternFill>
          <bgColor rgb="FF99FF99"/>
        </patternFill>
      </fill>
    </dxf>
    <dxf>
      <fill>
        <patternFill>
          <bgColor rgb="FF66FFFF"/>
        </patternFill>
      </fill>
    </dxf>
    <dxf>
      <fill>
        <patternFill>
          <bgColor rgb="FF66FFFF"/>
        </patternFill>
      </fill>
    </dxf>
    <dxf>
      <fill>
        <patternFill>
          <bgColor rgb="FF99FF99"/>
        </patternFill>
      </fill>
    </dxf>
    <dxf>
      <font>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theme="0"/>
      </font>
      <fill>
        <patternFill>
          <bgColor rgb="FFFF0000"/>
        </patternFill>
      </fill>
    </dxf>
    <dxf>
      <fill>
        <patternFill>
          <bgColor rgb="FFFFFF00"/>
        </patternFill>
      </fill>
    </dxf>
    <dxf>
      <fill>
        <patternFill>
          <bgColor rgb="FFFFFF00"/>
        </patternFill>
      </fill>
    </dxf>
    <dxf>
      <border>
        <left style="thin">
          <color auto="1"/>
        </left>
        <vertical/>
        <horizontal/>
      </border>
    </dxf>
    <dxf>
      <border>
        <left style="thin">
          <color auto="1"/>
        </left>
        <vertical/>
        <horizontal/>
      </border>
    </dxf>
    <dxf>
      <border>
        <left style="thin">
          <color theme="0" tint="-0.34998626667073579"/>
        </left>
        <vertical/>
        <horizontal/>
      </border>
    </dxf>
    <dxf>
      <font>
        <color theme="0" tint="-0.34998626667073579"/>
      </font>
      <numFmt numFmtId="167" formatCode="#,##0_ ;\-#,##0\ "/>
      <fill>
        <patternFill>
          <bgColor theme="0" tint="-0.34998626667073579"/>
        </patternFill>
      </fill>
      <border>
        <left style="thin">
          <color auto="1"/>
        </left>
      </border>
    </dxf>
    <dxf>
      <border>
        <left style="thin">
          <color theme="0" tint="-0.34998626667073579"/>
        </left>
        <vertical/>
        <horizontal/>
      </border>
    </dxf>
    <dxf>
      <font>
        <color theme="0" tint="-0.34998626667073579"/>
      </font>
      <numFmt numFmtId="167" formatCode="#,##0_ ;\-#,##0\ "/>
      <fill>
        <patternFill>
          <bgColor theme="0" tint="-0.34998626667073579"/>
        </patternFill>
      </fill>
      <border>
        <left style="thin">
          <color auto="1"/>
        </left>
      </border>
    </dxf>
    <dxf>
      <font>
        <color theme="0"/>
      </font>
      <numFmt numFmtId="184" formatCode="0.00_ ;\-0.00\ "/>
      <fill>
        <patternFill patternType="none">
          <bgColor auto="1"/>
        </patternFill>
      </fill>
      <border>
        <left style="thin">
          <color auto="1"/>
        </left>
        <right style="thin">
          <color theme="0"/>
        </right>
        <top/>
        <bottom/>
        <vertical/>
        <horizontal/>
      </border>
    </dxf>
    <dxf>
      <font>
        <color theme="0"/>
      </font>
      <numFmt numFmtId="184" formatCode="0.00_ ;\-0.00\ "/>
      <fill>
        <patternFill patternType="none">
          <bgColor auto="1"/>
        </patternFill>
      </fill>
      <border>
        <left style="thin">
          <color auto="1"/>
        </left>
        <right style="thin">
          <color theme="0"/>
        </right>
        <top/>
        <bottom/>
        <vertical/>
        <horizontal/>
      </border>
    </dxf>
    <dxf>
      <font>
        <color theme="0"/>
      </font>
      <numFmt numFmtId="184" formatCode="0.00_ ;\-0.00\ "/>
      <fill>
        <patternFill patternType="none">
          <bgColor auto="1"/>
        </patternFill>
      </fill>
      <border>
        <left style="thin">
          <color auto="1"/>
        </left>
        <right style="thin">
          <color theme="0"/>
        </right>
        <top style="thin">
          <color theme="0"/>
        </top>
        <bottom style="thin">
          <color theme="0"/>
        </bottom>
      </border>
    </dxf>
    <dxf>
      <font>
        <color theme="0"/>
      </font>
      <numFmt numFmtId="167" formatCode="#,##0_ ;\-#,##0\ "/>
      <fill>
        <patternFill>
          <bgColor theme="0"/>
        </patternFill>
      </fill>
      <border>
        <left style="thin">
          <color auto="1"/>
        </left>
        <right style="thin">
          <color theme="0"/>
        </right>
        <vertical/>
        <horizontal/>
      </border>
    </dxf>
    <dxf>
      <font>
        <color theme="0"/>
      </font>
      <numFmt numFmtId="184" formatCode="0.00_ ;\-0.00\ "/>
      <fill>
        <patternFill patternType="none">
          <bgColor auto="1"/>
        </patternFill>
      </fill>
      <border>
        <left style="thin">
          <color auto="1"/>
        </left>
        <right style="thin">
          <color theme="0"/>
        </right>
        <top/>
        <bottom/>
        <vertical/>
        <horizontal/>
      </border>
    </dxf>
    <dxf>
      <fill>
        <patternFill>
          <bgColor rgb="FF0070C0"/>
        </patternFill>
      </fill>
      <border>
        <right/>
        <top style="thin">
          <color auto="1"/>
        </top>
        <vertical/>
        <horizontal/>
      </border>
    </dxf>
    <dxf>
      <font>
        <color rgb="FFFFFFFF"/>
      </font>
      <fill>
        <patternFill patternType="solid">
          <bgColor rgb="FF0070C0"/>
        </patternFill>
      </fill>
      <border>
        <right style="thin">
          <color auto="1"/>
        </right>
        <top style="thin">
          <color auto="1"/>
        </top>
        <bottom/>
        <vertical/>
        <horizontal/>
      </border>
    </dxf>
    <dxf>
      <font>
        <color rgb="FFFFFFFF"/>
      </font>
      <border>
        <left style="thin">
          <color auto="1"/>
        </left>
        <vertical/>
        <horizontal/>
      </border>
    </dxf>
    <dxf>
      <border>
        <left style="thin">
          <color auto="1"/>
        </left>
        <vertical/>
        <horizontal/>
      </border>
    </dxf>
    <dxf>
      <font>
        <color theme="0" tint="-0.34998626667073579"/>
      </font>
      <numFmt numFmtId="167" formatCode="#,##0_ ;\-#,##0\ "/>
      <fill>
        <patternFill>
          <bgColor theme="0" tint="-0.34998626667073579"/>
        </patternFill>
      </fill>
    </dxf>
    <dxf>
      <border>
        <left style="thin">
          <color theme="0" tint="-0.34998626667073579"/>
        </left>
        <vertical/>
        <horizontal/>
      </border>
    </dxf>
    <dxf>
      <font>
        <color theme="0"/>
      </font>
      <numFmt numFmtId="167" formatCode="#,##0_ ;\-#,##0\ "/>
      <fill>
        <patternFill>
          <bgColor theme="0"/>
        </patternFill>
      </fill>
      <border>
        <left style="thin">
          <color auto="1"/>
        </left>
        <right style="thin">
          <color theme="0"/>
        </right>
        <vertical/>
        <horizontal/>
      </border>
    </dxf>
    <dxf>
      <font>
        <color theme="0" tint="-0.34998626667073579"/>
      </font>
      <numFmt numFmtId="167" formatCode="#,##0_ ;\-#,##0\ "/>
      <fill>
        <patternFill>
          <bgColor theme="0" tint="-0.34998626667073579"/>
        </patternFill>
      </fill>
      <border>
        <left style="thin">
          <color auto="1"/>
        </left>
      </border>
    </dxf>
    <dxf>
      <font>
        <color rgb="FFFFFFFF"/>
      </font>
      <fill>
        <patternFill>
          <bgColor rgb="FFFF0000"/>
        </patternFill>
      </fill>
    </dxf>
    <dxf>
      <border>
        <left style="thin">
          <color auto="1"/>
        </left>
        <right style="thin">
          <color auto="1"/>
        </right>
        <top style="thin">
          <color auto="1"/>
        </top>
        <bottom style="thin">
          <color auto="1"/>
        </bottom>
        <vertical/>
        <horizontal/>
      </border>
    </dxf>
    <dxf>
      <font>
        <color rgb="FFFFFFFF"/>
      </font>
    </dxf>
    <dxf>
      <border>
        <top style="thin">
          <color theme="0" tint="-0.34998626667073579"/>
        </top>
        <vertical/>
        <horizontal/>
      </border>
    </dxf>
    <dxf>
      <font>
        <color theme="0" tint="-0.34998626667073579"/>
      </font>
      <numFmt numFmtId="167" formatCode="#,##0_ ;\-#,##0\ "/>
      <fill>
        <patternFill>
          <bgColor theme="0" tint="-0.34998626667073579"/>
        </patternFill>
      </fill>
      <border>
        <left style="thin">
          <color auto="1"/>
        </left>
      </border>
    </dxf>
    <dxf>
      <border>
        <left style="thin">
          <color auto="1"/>
        </left>
        <vertical/>
        <horizontal/>
      </border>
    </dxf>
    <dxf>
      <border>
        <left/>
        <vertical/>
        <horizontal/>
      </border>
    </dxf>
    <dxf>
      <font>
        <color theme="0"/>
      </font>
      <numFmt numFmtId="167" formatCode="#,##0_ ;\-#,##0\ "/>
      <fill>
        <patternFill>
          <bgColor theme="0"/>
        </patternFill>
      </fill>
      <border>
        <left style="thin">
          <color auto="1"/>
        </left>
        <right style="thin">
          <color theme="0"/>
        </right>
        <vertical/>
        <horizontal/>
      </border>
    </dxf>
    <dxf>
      <font>
        <color theme="0"/>
      </font>
      <numFmt numFmtId="184" formatCode="0.00_ ;\-0.00\ "/>
      <fill>
        <patternFill patternType="none">
          <bgColor auto="1"/>
        </patternFill>
      </fill>
      <border>
        <left style="thin">
          <color auto="1"/>
        </left>
        <right style="thin">
          <color theme="0"/>
        </right>
        <top style="thin">
          <color theme="0"/>
        </top>
        <bottom style="thin">
          <color theme="0"/>
        </bottom>
      </border>
    </dxf>
    <dxf>
      <font>
        <color theme="0"/>
      </font>
      <numFmt numFmtId="184" formatCode="0.00_ ;\-0.00\ "/>
      <fill>
        <patternFill patternType="none">
          <bgColor auto="1"/>
        </patternFill>
      </fill>
      <border>
        <left style="thin">
          <color auto="1"/>
        </left>
        <right style="thin">
          <color theme="0"/>
        </right>
        <top/>
        <bottom/>
        <vertical/>
        <horizontal/>
      </border>
    </dxf>
    <dxf>
      <font>
        <color theme="0"/>
      </font>
      <numFmt numFmtId="184" formatCode="0.00_ ;\-0.00\ "/>
      <fill>
        <patternFill patternType="none">
          <bgColor auto="1"/>
        </patternFill>
      </fill>
      <border>
        <left style="thin">
          <color auto="1"/>
        </left>
        <right/>
        <top style="thin">
          <color theme="0"/>
        </top>
        <bottom style="thin">
          <color theme="0"/>
        </bottom>
      </border>
    </dxf>
    <dxf>
      <font>
        <b val="0"/>
        <i val="0"/>
        <color theme="0"/>
      </font>
      <fill>
        <patternFill>
          <bgColor rgb="FF009900"/>
        </patternFill>
      </fill>
    </dxf>
    <dxf>
      <font>
        <b val="0"/>
        <i val="0"/>
        <color theme="0"/>
      </font>
      <fill>
        <patternFill>
          <bgColor rgb="FFFF0000"/>
        </patternFill>
      </fill>
    </dxf>
    <dxf>
      <font>
        <b val="0"/>
        <i val="0"/>
        <color theme="0"/>
      </font>
      <fill>
        <patternFill>
          <bgColor rgb="FF009900"/>
        </patternFill>
      </fill>
    </dxf>
    <dxf>
      <font>
        <b val="0"/>
        <i val="0"/>
        <color theme="0"/>
      </font>
      <fill>
        <patternFill>
          <bgColor rgb="FFFF0000"/>
        </patternFill>
      </fill>
    </dxf>
  </dxfs>
  <tableStyles count="0" defaultTableStyle="TableStyleMedium2" defaultPivotStyle="PivotStyleLight16"/>
  <colors>
    <mruColors>
      <color rgb="FF009900"/>
      <color rgb="FF0070C0"/>
      <color rgb="FFFFFFFF"/>
      <color rgb="FF00FF00"/>
      <color rgb="FF66FFFF"/>
      <color rgb="FF99FF99"/>
      <color rgb="FFCC0000"/>
      <color rgb="FF008000"/>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fmlaLink="$S$23"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JP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3.png"/><Relationship Id="rId5" Type="http://schemas.openxmlformats.org/officeDocument/2006/relationships/image" Target="../media/image12.emf"/><Relationship Id="rId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0</xdr:col>
      <xdr:colOff>748393</xdr:colOff>
      <xdr:row>0</xdr:row>
      <xdr:rowOff>0</xdr:rowOff>
    </xdr:from>
    <xdr:to>
      <xdr:col>22</xdr:col>
      <xdr:colOff>760393</xdr:colOff>
      <xdr:row>44</xdr:row>
      <xdr:rowOff>42000</xdr:rowOff>
    </xdr:to>
    <xdr:grpSp>
      <xdr:nvGrpSpPr>
        <xdr:cNvPr id="33" name="Grupo 32">
          <a:extLst>
            <a:ext uri="{FF2B5EF4-FFF2-40B4-BE49-F238E27FC236}">
              <a16:creationId xmlns:a16="http://schemas.microsoft.com/office/drawing/2014/main" id="{00000000-0008-0000-0000-000021000000}"/>
            </a:ext>
          </a:extLst>
        </xdr:cNvPr>
        <xdr:cNvGrpSpPr/>
      </xdr:nvGrpSpPr>
      <xdr:grpSpPr>
        <a:xfrm>
          <a:off x="748393" y="0"/>
          <a:ext cx="16776000" cy="8424000"/>
          <a:chOff x="979714" y="5238725"/>
          <a:chExt cx="12192000" cy="6107235"/>
        </a:xfrm>
      </xdr:grpSpPr>
      <xdr:pic>
        <xdr:nvPicPr>
          <xdr:cNvPr id="34" name="Imagen 33" descr="Pregon Agropecuario :: PRESENTAN SISTEMA DE MONITOREO PARA VACAS LECHERAS -  Lechería - Información técnica en lechería">
            <a:extLst>
              <a:ext uri="{FF2B5EF4-FFF2-40B4-BE49-F238E27FC236}">
                <a16:creationId xmlns:a16="http://schemas.microsoft.com/office/drawing/2014/main" id="{00000000-0008-0000-0000-00002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12832"/>
          <a:stretch/>
        </xdr:blipFill>
        <xdr:spPr bwMode="auto">
          <a:xfrm>
            <a:off x="9116786" y="8300360"/>
            <a:ext cx="4054928" cy="304560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pic>
        <xdr:nvPicPr>
          <xdr:cNvPr id="35" name="Imagen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2"/>
          <a:stretch>
            <a:fillRect/>
          </a:stretch>
        </xdr:blipFill>
        <xdr:spPr>
          <a:xfrm>
            <a:off x="979714" y="5238725"/>
            <a:ext cx="4068000" cy="3047062"/>
          </a:xfrm>
          <a:prstGeom prst="rect">
            <a:avLst/>
          </a:prstGeom>
          <a:ln>
            <a:solidFill>
              <a:schemeClr val="tx1"/>
            </a:solidFill>
          </a:ln>
        </xdr:spPr>
      </xdr:pic>
      <xdr:pic>
        <xdr:nvPicPr>
          <xdr:cNvPr id="36" name="Imagen 35">
            <a:extLst>
              <a:ext uri="{FF2B5EF4-FFF2-40B4-BE49-F238E27FC236}">
                <a16:creationId xmlns:a16="http://schemas.microsoft.com/office/drawing/2014/main" id="{00000000-0008-0000-0000-000024000000}"/>
              </a:ext>
            </a:extLst>
          </xdr:cNvPr>
          <xdr:cNvPicPr>
            <a:picLocks noChangeAspect="1"/>
          </xdr:cNvPicPr>
        </xdr:nvPicPr>
        <xdr:blipFill rotWithShape="1">
          <a:blip xmlns:r="http://schemas.openxmlformats.org/officeDocument/2006/relationships" r:embed="rId3"/>
          <a:srcRect r="10201"/>
          <a:stretch/>
        </xdr:blipFill>
        <xdr:spPr>
          <a:xfrm>
            <a:off x="5047711" y="5238725"/>
            <a:ext cx="4069075" cy="3045600"/>
          </a:xfrm>
          <a:prstGeom prst="rect">
            <a:avLst/>
          </a:prstGeom>
          <a:ln>
            <a:solidFill>
              <a:schemeClr val="tx1"/>
            </a:solidFill>
          </a:ln>
        </xdr:spPr>
      </xdr:pic>
      <xdr:pic>
        <xdr:nvPicPr>
          <xdr:cNvPr id="37" name="Imagen 36">
            <a:extLst>
              <a:ext uri="{FF2B5EF4-FFF2-40B4-BE49-F238E27FC236}">
                <a16:creationId xmlns:a16="http://schemas.microsoft.com/office/drawing/2014/main" id="{00000000-0008-0000-0000-000025000000}"/>
              </a:ext>
            </a:extLst>
          </xdr:cNvPr>
          <xdr:cNvPicPr>
            <a:picLocks noChangeAspect="1"/>
          </xdr:cNvPicPr>
        </xdr:nvPicPr>
        <xdr:blipFill rotWithShape="1">
          <a:blip xmlns:r="http://schemas.openxmlformats.org/officeDocument/2006/relationships" r:embed="rId4"/>
          <a:srcRect r="11535"/>
          <a:stretch/>
        </xdr:blipFill>
        <xdr:spPr>
          <a:xfrm>
            <a:off x="9116787" y="5238725"/>
            <a:ext cx="4054927" cy="3045600"/>
          </a:xfrm>
          <a:prstGeom prst="rect">
            <a:avLst/>
          </a:prstGeom>
          <a:ln>
            <a:solidFill>
              <a:schemeClr val="tx1"/>
            </a:solidFill>
          </a:ln>
        </xdr:spPr>
      </xdr:pic>
      <xdr:pic>
        <xdr:nvPicPr>
          <xdr:cNvPr id="38" name="Imagen 37" descr="Pregon Agropecuario :: REEDICION - Raza Bovina NELORE - Ganadería Bovina -  Genética, Razas y Especies">
            <a:extLst>
              <a:ext uri="{FF2B5EF4-FFF2-40B4-BE49-F238E27FC236}">
                <a16:creationId xmlns:a16="http://schemas.microsoft.com/office/drawing/2014/main" id="{00000000-0008-0000-0000-000026000000}"/>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5584" r="1661"/>
          <a:stretch/>
        </xdr:blipFill>
        <xdr:spPr bwMode="auto">
          <a:xfrm>
            <a:off x="979715" y="8300360"/>
            <a:ext cx="4068535" cy="304560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pic>
        <xdr:nvPicPr>
          <xdr:cNvPr id="39" name="Imagen 38">
            <a:extLst>
              <a:ext uri="{FF2B5EF4-FFF2-40B4-BE49-F238E27FC236}">
                <a16:creationId xmlns:a16="http://schemas.microsoft.com/office/drawing/2014/main" id="{00000000-0008-0000-0000-000027000000}"/>
              </a:ext>
            </a:extLst>
          </xdr:cNvPr>
          <xdr:cNvPicPr>
            <a:picLocks noChangeAspect="1"/>
          </xdr:cNvPicPr>
        </xdr:nvPicPr>
        <xdr:blipFill rotWithShape="1">
          <a:blip xmlns:r="http://schemas.openxmlformats.org/officeDocument/2006/relationships" r:embed="rId6"/>
          <a:srcRect l="36777" b="15863"/>
          <a:stretch/>
        </xdr:blipFill>
        <xdr:spPr>
          <a:xfrm>
            <a:off x="5048250" y="8300360"/>
            <a:ext cx="4068536" cy="3045600"/>
          </a:xfrm>
          <a:prstGeom prst="rect">
            <a:avLst/>
          </a:prstGeom>
          <a:ln>
            <a:solidFill>
              <a:schemeClr val="tx1"/>
            </a:solidFill>
          </a:ln>
        </xdr:spPr>
      </xdr:pic>
    </xdr:grpSp>
    <xdr:clientData/>
  </xdr:twoCellAnchor>
  <xdr:twoCellAnchor>
    <xdr:from>
      <xdr:col>1</xdr:col>
      <xdr:colOff>16328</xdr:colOff>
      <xdr:row>13</xdr:row>
      <xdr:rowOff>2722</xdr:rowOff>
    </xdr:from>
    <xdr:to>
      <xdr:col>23</xdr:col>
      <xdr:colOff>28328</xdr:colOff>
      <xdr:row>31</xdr:row>
      <xdr:rowOff>179614</xdr:rowOff>
    </xdr:to>
    <xdr:sp macro="" textlink="">
      <xdr:nvSpPr>
        <xdr:cNvPr id="40" name="CuadroTexto 39">
          <a:extLst>
            <a:ext uri="{FF2B5EF4-FFF2-40B4-BE49-F238E27FC236}">
              <a16:creationId xmlns:a16="http://schemas.microsoft.com/office/drawing/2014/main" id="{00000000-0008-0000-0000-000028000000}"/>
            </a:ext>
          </a:extLst>
        </xdr:cNvPr>
        <xdr:cNvSpPr txBox="1"/>
      </xdr:nvSpPr>
      <xdr:spPr>
        <a:xfrm>
          <a:off x="778328" y="2479222"/>
          <a:ext cx="16776000" cy="36058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AR" sz="3800" b="1" i="1">
              <a:solidFill>
                <a:sysClr val="windowText" lastClr="000000"/>
              </a:solidFill>
              <a:latin typeface="Comic Sans MS" panose="030F0702030302020204" pitchFamily="66" charset="0"/>
            </a:rPr>
            <a:t>Planilla para el cálculo de la</a:t>
          </a:r>
        </a:p>
        <a:p>
          <a:pPr algn="ctr"/>
          <a:r>
            <a:rPr lang="es-AR" sz="3800" b="1" i="1">
              <a:solidFill>
                <a:sysClr val="windowText" lastClr="000000"/>
              </a:solidFill>
              <a:latin typeface="Comic Sans MS" panose="030F0702030302020204" pitchFamily="66" charset="0"/>
            </a:rPr>
            <a:t>Producción</a:t>
          </a:r>
          <a:r>
            <a:rPr lang="es-AR" sz="3800" b="1" i="1" baseline="0">
              <a:solidFill>
                <a:sysClr val="windowText" lastClr="000000"/>
              </a:solidFill>
              <a:latin typeface="Comic Sans MS" panose="030F0702030302020204" pitchFamily="66" charset="0"/>
            </a:rPr>
            <a:t> de Carne y el Ingreso Ganadero</a:t>
          </a:r>
        </a:p>
        <a:p>
          <a:pPr algn="ctr"/>
          <a:endParaRPr lang="es-AR" sz="4400" b="1" i="1" baseline="0">
            <a:solidFill>
              <a:sysClr val="windowText" lastClr="000000"/>
            </a:solidFill>
            <a:latin typeface="Comic Sans MS" panose="030F0702030302020204" pitchFamily="66" charset="0"/>
          </a:endParaRPr>
        </a:p>
        <a:p>
          <a:pPr algn="ctr"/>
          <a:r>
            <a:rPr lang="es-AR" sz="2700" b="1" i="1" baseline="0">
              <a:solidFill>
                <a:sysClr val="windowText" lastClr="000000"/>
              </a:solidFill>
              <a:latin typeface="Comic Sans MS" panose="030F0702030302020204" pitchFamily="66" charset="0"/>
            </a:rPr>
            <a:t>Normas de Gestión CREA - Área Empresa - I+D - CREA ©</a:t>
          </a:r>
          <a:endParaRPr lang="es-AR" sz="2700" b="1" i="1">
            <a:solidFill>
              <a:sysClr val="windowText" lastClr="000000"/>
            </a:solidFill>
            <a:latin typeface="Comic Sans MS" panose="030F0702030302020204" pitchFamily="66" charset="0"/>
          </a:endParaRPr>
        </a:p>
      </xdr:txBody>
    </xdr:sp>
    <xdr:clientData/>
  </xdr:twoCellAnchor>
  <xdr:twoCellAnchor>
    <xdr:from>
      <xdr:col>9</xdr:col>
      <xdr:colOff>519790</xdr:colOff>
      <xdr:row>38</xdr:row>
      <xdr:rowOff>58505</xdr:rowOff>
    </xdr:from>
    <xdr:to>
      <xdr:col>14</xdr:col>
      <xdr:colOff>281665</xdr:colOff>
      <xdr:row>39</xdr:row>
      <xdr:rowOff>115655</xdr:rowOff>
    </xdr:to>
    <xdr:sp macro="[0]!Inicio" textlink="">
      <xdr:nvSpPr>
        <xdr:cNvPr id="5" name="CuadroTexto 4">
          <a:extLst>
            <a:ext uri="{FF2B5EF4-FFF2-40B4-BE49-F238E27FC236}">
              <a16:creationId xmlns:a16="http://schemas.microsoft.com/office/drawing/2014/main" id="{00000000-0008-0000-0000-000005000000}"/>
            </a:ext>
          </a:extLst>
        </xdr:cNvPr>
        <xdr:cNvSpPr txBox="1"/>
      </xdr:nvSpPr>
      <xdr:spPr>
        <a:xfrm>
          <a:off x="7377790" y="7297505"/>
          <a:ext cx="3571875" cy="24765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AR" sz="1100" b="1">
              <a:solidFill>
                <a:schemeClr val="bg1"/>
              </a:solidFill>
            </a:rPr>
            <a:t>Para comenzar, lea las instrucciones haciendo click aquí</a:t>
          </a:r>
        </a:p>
      </xdr:txBody>
    </xdr:sp>
    <xdr:clientData/>
  </xdr:twoCellAnchor>
  <xdr:twoCellAnchor>
    <xdr:from>
      <xdr:col>19</xdr:col>
      <xdr:colOff>636816</xdr:colOff>
      <xdr:row>0</xdr:row>
      <xdr:rowOff>92529</xdr:rowOff>
    </xdr:from>
    <xdr:to>
      <xdr:col>22</xdr:col>
      <xdr:colOff>510816</xdr:colOff>
      <xdr:row>8</xdr:row>
      <xdr:rowOff>188529</xdr:rowOff>
    </xdr:to>
    <xdr:sp macro="" textlink="">
      <xdr:nvSpPr>
        <xdr:cNvPr id="10" name="Rectángulo: esquinas redondeadas 9">
          <a:extLst>
            <a:ext uri="{FF2B5EF4-FFF2-40B4-BE49-F238E27FC236}">
              <a16:creationId xmlns:a16="http://schemas.microsoft.com/office/drawing/2014/main" id="{00000000-0008-0000-0000-00000A000000}"/>
            </a:ext>
          </a:extLst>
        </xdr:cNvPr>
        <xdr:cNvSpPr/>
      </xdr:nvSpPr>
      <xdr:spPr>
        <a:xfrm>
          <a:off x="15114816" y="92529"/>
          <a:ext cx="2160000" cy="1620000"/>
        </a:xfrm>
        <a:prstGeom prst="roundRect">
          <a:avLst>
            <a:gd name="adj" fmla="val 13976"/>
          </a:avLst>
        </a:prstGeom>
        <a:blipFill>
          <a:blip xmlns:r="http://schemas.openxmlformats.org/officeDocument/2006/relationships" r:embed="rId7"/>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0</xdr:col>
      <xdr:colOff>734784</xdr:colOff>
      <xdr:row>12</xdr:row>
      <xdr:rowOff>166008</xdr:rowOff>
    </xdr:from>
    <xdr:to>
      <xdr:col>22</xdr:col>
      <xdr:colOff>746784</xdr:colOff>
      <xdr:row>31</xdr:row>
      <xdr:rowOff>152400</xdr:rowOff>
    </xdr:to>
    <xdr:sp macro="" textlink="">
      <xdr:nvSpPr>
        <xdr:cNvPr id="9" name="CuadroTexto 8">
          <a:extLst>
            <a:ext uri="{FF2B5EF4-FFF2-40B4-BE49-F238E27FC236}">
              <a16:creationId xmlns:a16="http://schemas.microsoft.com/office/drawing/2014/main" id="{00000000-0008-0000-0000-000009000000}"/>
            </a:ext>
          </a:extLst>
        </xdr:cNvPr>
        <xdr:cNvSpPr txBox="1"/>
      </xdr:nvSpPr>
      <xdr:spPr>
        <a:xfrm>
          <a:off x="734784" y="2452008"/>
          <a:ext cx="16776000" cy="36058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AR" sz="3800" b="1" i="1">
              <a:solidFill>
                <a:srgbClr val="FFFF00"/>
              </a:solidFill>
              <a:latin typeface="Comic Sans MS" panose="030F0702030302020204" pitchFamily="66" charset="0"/>
            </a:rPr>
            <a:t>Planilla para el cálculo de la</a:t>
          </a:r>
        </a:p>
        <a:p>
          <a:pPr algn="ctr"/>
          <a:r>
            <a:rPr lang="es-AR" sz="3800" b="1" i="1">
              <a:solidFill>
                <a:srgbClr val="FFFF00"/>
              </a:solidFill>
              <a:latin typeface="Comic Sans MS" panose="030F0702030302020204" pitchFamily="66" charset="0"/>
            </a:rPr>
            <a:t>Producción</a:t>
          </a:r>
          <a:r>
            <a:rPr lang="es-AR" sz="3800" b="1" i="1" baseline="0">
              <a:solidFill>
                <a:srgbClr val="FFFF00"/>
              </a:solidFill>
              <a:latin typeface="Comic Sans MS" panose="030F0702030302020204" pitchFamily="66" charset="0"/>
            </a:rPr>
            <a:t> de Carne y el Ingreso Ganadero</a:t>
          </a:r>
        </a:p>
        <a:p>
          <a:pPr algn="ctr"/>
          <a:endParaRPr lang="es-AR" sz="4400" b="1" i="1" baseline="0">
            <a:solidFill>
              <a:srgbClr val="FFFF00"/>
            </a:solidFill>
            <a:latin typeface="Comic Sans MS" panose="030F0702030302020204" pitchFamily="66" charset="0"/>
          </a:endParaRPr>
        </a:p>
        <a:p>
          <a:pPr algn="ctr"/>
          <a:r>
            <a:rPr lang="es-AR" sz="2700" b="1" i="1" baseline="0">
              <a:solidFill>
                <a:srgbClr val="FFFF00"/>
              </a:solidFill>
              <a:latin typeface="Comic Sans MS" panose="030F0702030302020204" pitchFamily="66" charset="0"/>
            </a:rPr>
            <a:t>Normas de Gestión CREA - Área Empresa - I+D - CREA ©</a:t>
          </a:r>
          <a:endParaRPr lang="es-AR" sz="2700" b="1" i="1">
            <a:solidFill>
              <a:srgbClr val="FFFF00"/>
            </a:solidFill>
            <a:latin typeface="Comic Sans MS" panose="030F0702030302020204" pitchFamily="66" charset="0"/>
          </a:endParaRPr>
        </a:p>
      </xdr:txBody>
    </xdr:sp>
    <xdr:clientData/>
  </xdr:twoCellAnchor>
  <xdr:twoCellAnchor>
    <xdr:from>
      <xdr:col>19</xdr:col>
      <xdr:colOff>653143</xdr:colOff>
      <xdr:row>7</xdr:row>
      <xdr:rowOff>54430</xdr:rowOff>
    </xdr:from>
    <xdr:to>
      <xdr:col>22</xdr:col>
      <xdr:colOff>527143</xdr:colOff>
      <xdr:row>8</xdr:row>
      <xdr:rowOff>151930</xdr:rowOff>
    </xdr:to>
    <xdr:sp macro="" textlink="">
      <xdr:nvSpPr>
        <xdr:cNvPr id="41" name="CuadroTexto 40">
          <a:extLst>
            <a:ext uri="{FF2B5EF4-FFF2-40B4-BE49-F238E27FC236}">
              <a16:creationId xmlns:a16="http://schemas.microsoft.com/office/drawing/2014/main" id="{00000000-0008-0000-0000-000029000000}"/>
            </a:ext>
          </a:extLst>
        </xdr:cNvPr>
        <xdr:cNvSpPr txBox="1"/>
      </xdr:nvSpPr>
      <xdr:spPr>
        <a:xfrm>
          <a:off x="15131143" y="1387930"/>
          <a:ext cx="2160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AR" sz="1600" b="1">
              <a:solidFill>
                <a:schemeClr val="bg1"/>
              </a:solidFill>
            </a:rPr>
            <a:t>Versión al 01-Nov-2024</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3390900</xdr:colOff>
      <xdr:row>12</xdr:row>
      <xdr:rowOff>590550</xdr:rowOff>
    </xdr:from>
    <xdr:to>
      <xdr:col>1</xdr:col>
      <xdr:colOff>4991100</xdr:colOff>
      <xdr:row>12</xdr:row>
      <xdr:rowOff>762000</xdr:rowOff>
    </xdr:to>
    <xdr:pic>
      <xdr:nvPicPr>
        <xdr:cNvPr id="7" name="Imagen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76650" y="7839075"/>
          <a:ext cx="160020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10382250</xdr:colOff>
      <xdr:row>12</xdr:row>
      <xdr:rowOff>781050</xdr:rowOff>
    </xdr:from>
    <xdr:to>
      <xdr:col>1</xdr:col>
      <xdr:colOff>11982450</xdr:colOff>
      <xdr:row>12</xdr:row>
      <xdr:rowOff>952500</xdr:rowOff>
    </xdr:to>
    <xdr:pic>
      <xdr:nvPicPr>
        <xdr:cNvPr id="13" name="Imagen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0" y="8029575"/>
          <a:ext cx="160020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7</xdr:row>
      <xdr:rowOff>295275</xdr:rowOff>
    </xdr:from>
    <xdr:to>
      <xdr:col>1</xdr:col>
      <xdr:colOff>5674275</xdr:colOff>
      <xdr:row>7</xdr:row>
      <xdr:rowOff>1644136</xdr:rowOff>
    </xdr:to>
    <xdr:pic>
      <xdr:nvPicPr>
        <xdr:cNvPr id="16" name="Imagen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stretch>
          <a:fillRect/>
        </a:stretch>
      </xdr:blipFill>
      <xdr:spPr>
        <a:xfrm>
          <a:off x="200025" y="4857750"/>
          <a:ext cx="5760000" cy="1348861"/>
        </a:xfrm>
        <a:prstGeom prst="rect">
          <a:avLst/>
        </a:prstGeom>
      </xdr:spPr>
    </xdr:pic>
    <xdr:clientData/>
  </xdr:twoCellAnchor>
  <xdr:twoCellAnchor editAs="oneCell">
    <xdr:from>
      <xdr:col>1</xdr:col>
      <xdr:colOff>6076950</xdr:colOff>
      <xdr:row>7</xdr:row>
      <xdr:rowOff>295275</xdr:rowOff>
    </xdr:from>
    <xdr:to>
      <xdr:col>1</xdr:col>
      <xdr:colOff>11832073</xdr:colOff>
      <xdr:row>7</xdr:row>
      <xdr:rowOff>2733886</xdr:rowOff>
    </xdr:to>
    <xdr:pic>
      <xdr:nvPicPr>
        <xdr:cNvPr id="24" name="Imagen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
        <a:stretch>
          <a:fillRect/>
        </a:stretch>
      </xdr:blipFill>
      <xdr:spPr>
        <a:xfrm>
          <a:off x="6362700" y="4857750"/>
          <a:ext cx="5755123" cy="2438611"/>
        </a:xfrm>
        <a:prstGeom prst="rect">
          <a:avLst/>
        </a:prstGeom>
      </xdr:spPr>
    </xdr:pic>
    <xdr:clientData/>
  </xdr:twoCellAnchor>
  <xdr:oneCellAnchor>
    <xdr:from>
      <xdr:col>1</xdr:col>
      <xdr:colOff>8696325</xdr:colOff>
      <xdr:row>13</xdr:row>
      <xdr:rowOff>28575</xdr:rowOff>
    </xdr:from>
    <xdr:ext cx="2867025" cy="171450"/>
    <xdr:pic>
      <xdr:nvPicPr>
        <xdr:cNvPr id="26" name="Imagen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982075" y="12192000"/>
          <a:ext cx="2867025" cy="1714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8705850</xdr:colOff>
      <xdr:row>14</xdr:row>
      <xdr:rowOff>428625</xdr:rowOff>
    </xdr:from>
    <xdr:ext cx="3273836" cy="445047"/>
    <xdr:pic>
      <xdr:nvPicPr>
        <xdr:cNvPr id="29" name="Imagen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6"/>
        <a:stretch>
          <a:fillRect/>
        </a:stretch>
      </xdr:blipFill>
      <xdr:spPr>
        <a:xfrm>
          <a:off x="8991600" y="13201650"/>
          <a:ext cx="3273836" cy="445047"/>
        </a:xfrm>
        <a:prstGeom prst="rect">
          <a:avLst/>
        </a:prstGeom>
      </xdr:spPr>
    </xdr:pic>
    <xdr:clientData/>
  </xdr:oneCellAnchor>
  <xdr:oneCellAnchor>
    <xdr:from>
      <xdr:col>1</xdr:col>
      <xdr:colOff>2638425</xdr:colOff>
      <xdr:row>5</xdr:row>
      <xdr:rowOff>447675</xdr:rowOff>
    </xdr:from>
    <xdr:ext cx="2867025" cy="171450"/>
    <xdr:pic>
      <xdr:nvPicPr>
        <xdr:cNvPr id="8" name="Imagen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924175" y="3257550"/>
          <a:ext cx="2867025" cy="1714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xdr:from>
      <xdr:col>0</xdr:col>
      <xdr:colOff>0</xdr:colOff>
      <xdr:row>22</xdr:row>
      <xdr:rowOff>11476</xdr:rowOff>
    </xdr:from>
    <xdr:to>
      <xdr:col>5</xdr:col>
      <xdr:colOff>696176</xdr:colOff>
      <xdr:row>24</xdr:row>
      <xdr:rowOff>158151</xdr:rowOff>
    </xdr:to>
    <xdr:sp macro="[0]!Macro1" textlink="">
      <xdr:nvSpPr>
        <xdr:cNvPr id="40" name="Rectángulo 39">
          <a:extLst>
            <a:ext uri="{FF2B5EF4-FFF2-40B4-BE49-F238E27FC236}">
              <a16:creationId xmlns:a16="http://schemas.microsoft.com/office/drawing/2014/main" id="{00000000-0008-0000-0200-000028000000}"/>
            </a:ext>
          </a:extLst>
        </xdr:cNvPr>
        <xdr:cNvSpPr/>
      </xdr:nvSpPr>
      <xdr:spPr>
        <a:xfrm>
          <a:off x="0" y="2972259"/>
          <a:ext cx="4907833" cy="468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0</xdr:col>
      <xdr:colOff>6349</xdr:colOff>
      <xdr:row>25</xdr:row>
      <xdr:rowOff>17553</xdr:rowOff>
    </xdr:from>
    <xdr:to>
      <xdr:col>5</xdr:col>
      <xdr:colOff>702525</xdr:colOff>
      <xdr:row>28</xdr:row>
      <xdr:rowOff>3565</xdr:rowOff>
    </xdr:to>
    <xdr:sp macro="[0]!Macro2" textlink="">
      <xdr:nvSpPr>
        <xdr:cNvPr id="41" name="Rectángulo 40">
          <a:extLst>
            <a:ext uri="{FF2B5EF4-FFF2-40B4-BE49-F238E27FC236}">
              <a16:creationId xmlns:a16="http://schemas.microsoft.com/office/drawing/2014/main" id="{00000000-0008-0000-0200-000029000000}"/>
            </a:ext>
          </a:extLst>
        </xdr:cNvPr>
        <xdr:cNvSpPr/>
      </xdr:nvSpPr>
      <xdr:spPr>
        <a:xfrm>
          <a:off x="6349" y="3460324"/>
          <a:ext cx="4907833" cy="468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0</xdr:col>
      <xdr:colOff>6349</xdr:colOff>
      <xdr:row>28</xdr:row>
      <xdr:rowOff>27640</xdr:rowOff>
    </xdr:from>
    <xdr:to>
      <xdr:col>5</xdr:col>
      <xdr:colOff>702525</xdr:colOff>
      <xdr:row>32</xdr:row>
      <xdr:rowOff>17121</xdr:rowOff>
    </xdr:to>
    <xdr:sp macro="[0]!Macro3" textlink="">
      <xdr:nvSpPr>
        <xdr:cNvPr id="42" name="Rectángulo 41">
          <a:extLst>
            <a:ext uri="{FF2B5EF4-FFF2-40B4-BE49-F238E27FC236}">
              <a16:creationId xmlns:a16="http://schemas.microsoft.com/office/drawing/2014/main" id="{00000000-0008-0000-0200-00002A000000}"/>
            </a:ext>
          </a:extLst>
        </xdr:cNvPr>
        <xdr:cNvSpPr/>
      </xdr:nvSpPr>
      <xdr:spPr>
        <a:xfrm>
          <a:off x="6349" y="4025788"/>
          <a:ext cx="4929509" cy="648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0</xdr:col>
      <xdr:colOff>1312</xdr:colOff>
      <xdr:row>32</xdr:row>
      <xdr:rowOff>748</xdr:rowOff>
    </xdr:from>
    <xdr:to>
      <xdr:col>5</xdr:col>
      <xdr:colOff>697488</xdr:colOff>
      <xdr:row>34</xdr:row>
      <xdr:rowOff>147423</xdr:rowOff>
    </xdr:to>
    <xdr:sp macro="[0]!Macro4" textlink="">
      <xdr:nvSpPr>
        <xdr:cNvPr id="43" name="Rectángulo 42">
          <a:extLst>
            <a:ext uri="{FF2B5EF4-FFF2-40B4-BE49-F238E27FC236}">
              <a16:creationId xmlns:a16="http://schemas.microsoft.com/office/drawing/2014/main" id="{00000000-0008-0000-0200-00002B000000}"/>
            </a:ext>
          </a:extLst>
        </xdr:cNvPr>
        <xdr:cNvSpPr/>
      </xdr:nvSpPr>
      <xdr:spPr>
        <a:xfrm>
          <a:off x="1312" y="5057229"/>
          <a:ext cx="4929509" cy="475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0</xdr:col>
      <xdr:colOff>19793</xdr:colOff>
      <xdr:row>35</xdr:row>
      <xdr:rowOff>35559</xdr:rowOff>
    </xdr:from>
    <xdr:to>
      <xdr:col>5</xdr:col>
      <xdr:colOff>715969</xdr:colOff>
      <xdr:row>38</xdr:row>
      <xdr:rowOff>9671</xdr:rowOff>
    </xdr:to>
    <xdr:sp macro="[0]!Macro5" textlink="">
      <xdr:nvSpPr>
        <xdr:cNvPr id="44" name="Rectángulo 43">
          <a:extLst>
            <a:ext uri="{FF2B5EF4-FFF2-40B4-BE49-F238E27FC236}">
              <a16:creationId xmlns:a16="http://schemas.microsoft.com/office/drawing/2014/main" id="{00000000-0008-0000-0200-00002C000000}"/>
            </a:ext>
          </a:extLst>
        </xdr:cNvPr>
        <xdr:cNvSpPr/>
      </xdr:nvSpPr>
      <xdr:spPr>
        <a:xfrm>
          <a:off x="19793" y="5186115"/>
          <a:ext cx="4929509" cy="468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0</xdr:col>
      <xdr:colOff>4103</xdr:colOff>
      <xdr:row>38</xdr:row>
      <xdr:rowOff>2989</xdr:rowOff>
    </xdr:from>
    <xdr:to>
      <xdr:col>5</xdr:col>
      <xdr:colOff>700279</xdr:colOff>
      <xdr:row>42</xdr:row>
      <xdr:rowOff>13224</xdr:rowOff>
    </xdr:to>
    <xdr:sp macro="[0]!Macro6" textlink="">
      <xdr:nvSpPr>
        <xdr:cNvPr id="45" name="Rectángulo 44">
          <a:extLst>
            <a:ext uri="{FF2B5EF4-FFF2-40B4-BE49-F238E27FC236}">
              <a16:creationId xmlns:a16="http://schemas.microsoft.com/office/drawing/2014/main" id="{00000000-0008-0000-0200-00002D000000}"/>
            </a:ext>
          </a:extLst>
        </xdr:cNvPr>
        <xdr:cNvSpPr/>
      </xdr:nvSpPr>
      <xdr:spPr>
        <a:xfrm>
          <a:off x="4103" y="4653430"/>
          <a:ext cx="4932000" cy="48088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30</xdr:col>
      <xdr:colOff>42020</xdr:colOff>
      <xdr:row>0</xdr:row>
      <xdr:rowOff>11476</xdr:rowOff>
    </xdr:from>
    <xdr:to>
      <xdr:col>34</xdr:col>
      <xdr:colOff>1050551</xdr:colOff>
      <xdr:row>1</xdr:row>
      <xdr:rowOff>12370</xdr:rowOff>
    </xdr:to>
    <xdr:sp macro="[0]!Macro7" textlink="">
      <xdr:nvSpPr>
        <xdr:cNvPr id="6" name="Rectángulo 5">
          <a:extLst>
            <a:ext uri="{FF2B5EF4-FFF2-40B4-BE49-F238E27FC236}">
              <a16:creationId xmlns:a16="http://schemas.microsoft.com/office/drawing/2014/main" id="{00000000-0008-0000-0200-000006000000}"/>
            </a:ext>
          </a:extLst>
        </xdr:cNvPr>
        <xdr:cNvSpPr/>
      </xdr:nvSpPr>
      <xdr:spPr>
        <a:xfrm>
          <a:off x="31824704" y="11476"/>
          <a:ext cx="4552391" cy="4631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mc:AlternateContent xmlns:mc="http://schemas.openxmlformats.org/markup-compatibility/2006">
    <mc:Choice xmlns:a14="http://schemas.microsoft.com/office/drawing/2010/main" Requires="a14">
      <xdr:twoCellAnchor editAs="oneCell">
        <xdr:from>
          <xdr:col>18</xdr:col>
          <xdr:colOff>28575</xdr:colOff>
          <xdr:row>20</xdr:row>
          <xdr:rowOff>28575</xdr:rowOff>
        </xdr:from>
        <xdr:to>
          <xdr:col>18</xdr:col>
          <xdr:colOff>1457325</xdr:colOff>
          <xdr:row>22</xdr:row>
          <xdr:rowOff>142875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solidFill>
              <a:srgbClr val="FFFF99" mc:Ignorable="a14" a14:legacySpreadsheetColorIndex="43"/>
            </a:solidFill>
            <a:ln w="127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s-AR" sz="800" b="0" i="0" u="none" strike="noStrike" baseline="0">
                  <a:solidFill>
                    <a:srgbClr val="000000"/>
                  </a:solidFill>
                  <a:latin typeface="Segoe UI"/>
                  <a:cs typeface="Segoe UI"/>
                </a:rPr>
                <a:t>En pesos ($) actualizados</a:t>
              </a:r>
            </a:p>
          </xdr:txBody>
        </xdr:sp>
        <xdr:clientData/>
      </xdr:twoCellAnchor>
    </mc:Choice>
    <mc:Fallback/>
  </mc:AlternateContent>
  <xdr:twoCellAnchor>
    <xdr:from>
      <xdr:col>11</xdr:col>
      <xdr:colOff>56021</xdr:colOff>
      <xdr:row>18</xdr:row>
      <xdr:rowOff>66612</xdr:rowOff>
    </xdr:from>
    <xdr:to>
      <xdr:col>12</xdr:col>
      <xdr:colOff>434228</xdr:colOff>
      <xdr:row>19</xdr:row>
      <xdr:rowOff>114524</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11242604" y="4014195"/>
          <a:ext cx="1097874" cy="2066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lstStyle/>
        <a:p>
          <a:r>
            <a:rPr lang="es-AR" sz="1100"/>
            <a:t>Período analizado:</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51B381A-869F-4C45-8DE8-D1FB4C454FEC}" name="TablaInventarios" displayName="TablaInventarios" ref="A2:AJ15" totalsRowShown="0" headerRowDxfId="112" dataDxfId="111" dataCellStyle="Millares">
  <tableColumns count="36">
    <tableColumn id="1" xr3:uid="{BF0497DE-6075-486E-B0FD-6E00A20568C7}" name="Categoria" dataDxfId="110">
      <calculatedColumnFormula>+TablaInventarios[[#This Row],[Categoría]]</calculatedColumnFormula>
    </tableColumn>
    <tableColumn id="24" xr3:uid="{27BB4E87-4843-4AAC-A42D-EA38A14AE749}" name="Actividad " dataDxfId="109">
      <calculatedColumnFormula>+VLOOKUP(TablaInventarios[[#This Row],[Categoria]],TablaInventarios[[Categoría]:[Actividad]],2,FALSE)</calculatedColumnFormula>
    </tableColumn>
    <tableColumn id="2" xr3:uid="{642A6AFC-56B0-4E20-9E68-7E2E7F1BF388}" name="Cab. _x000a_Inicio período" dataDxfId="108" dataCellStyle="Millares">
      <calculatedColumnFormula>+SUMPRODUCT((TablaInventarios[[#This Row],[Categoria]]=TablaInventarios[Categoria])*TablaInventarios[Cab.])+SUMPRODUCT((TablaInventarios[[#This Row],[Categoria]]=TablaMovimientos[Categoría])*(TablaMovimientos[Cab.])*(TablaMovimientos[Fecha]&lt;=$N$19))</calculatedColumnFormula>
    </tableColumn>
    <tableColumn id="3" xr3:uid="{A59B652E-CAB2-45A7-B589-12AF209AEDCF}" name="Kg/Cab. _x000a_Inicio período" dataDxfId="107" dataCellStyle="Millares">
      <calculatedColumnFormula array="1">IF(TablaInventarios[[#This Row],[Cab. 
Inicio período]]=0,0,(SUMPRODUCT((TablaInventarios[[#This Row],[Categoria]]=TablaInventarios[Categoria])*(TablaInventarios[Kg.]))+SUMPRODUCT((TablaInventarios[[#This Row],[Categoria]]=TablaMovimientos[Categoría])*(TablaMovimientos[Kg.])*(TablaMovimientos[Fecha]&lt;=$N$19)))/TablaInventarios[[#This Row],[Cab. 
Inicio período]])</calculatedColumnFormula>
    </tableColumn>
    <tableColumn id="4" xr3:uid="{FF052C37-553D-43DA-8260-F8E734E78726}" name="Kg. Totales _x000a_Inicio período" dataDxfId="106" dataCellStyle="Millares">
      <calculatedColumnFormula array="1">SUMPRODUCT((TablaInventarios[[#This Row],[Categoria]]=TablaInventarios[Categoria])*TablaInventarios[Kg.])+SUMPRODUCT((TablaInventarios[[#This Row],[Categoria]]=TablaMovimientos[Categoría])*(TablaMovimientos[Cab.])*(TablaMovimientos[Fecha]&lt;=$N$19))</calculatedColumnFormula>
    </tableColumn>
    <tableColumn id="5" xr3:uid="{FC187518-8E62-4081-9C82-264C01D4B54A}" name="$/Kg. _x000a_Inicio período" dataDxfId="105" dataCellStyle="Millares">
      <calculatedColumnFormula>IF(TablaInventarios[[#This Row],[Kg. Totales 
Inicio período]]=0,0,TablaInventarios[[#This Row],[$ Total IP (corrientes)]]/TablaInventarios[[#This Row],[Kg. Totales 
Inicio período]])</calculatedColumnFormula>
    </tableColumn>
    <tableColumn id="6" xr3:uid="{CD8807FE-7B1B-437A-8820-2F18C657B071}" name="$/Cab. _x000a_Inicio período" dataDxfId="104" dataCellStyle="Millares">
      <calculatedColumnFormula>+IF(TablaInventarios[[#This Row],[Cab. 
Inicio período]]=0,0,TablaInventarios[[#This Row],[$ Total IP (corrientes)]]/TablaInventarios[[#This Row],[Cab. 
Inicio período]])</calculatedColumnFormula>
    </tableColumn>
    <tableColumn id="7" xr3:uid="{0DE9DF3A-7CC3-4449-A34F-1BDB317FCA34}" name="$ Total IP (corrientes)" dataDxfId="103" dataCellStyle="Millares">
      <calculatedColumnFormula array="1">+SUMPRODUCT((TablaInventarios[[#This Row],[Categoria]]=TablaInventarios[Categoria])*TablaInventarios[$ Total
(corrientes)])+SUMPRODUCT((TablaInventarios[[#This Row],[Categoria]]=TablaMovimientos[Categoría])*(TablaMovimientos[Total $ corr-tes])*(TablaMovimientos[Fecha]&lt;=$N$19))</calculatedColumnFormula>
    </tableColumn>
    <tableColumn id="39" xr3:uid="{27E8D8CD-51A0-4FC4-A074-094DA3F9400D}" name="IP en Valores Actualizados" dataDxfId="102" dataCellStyle="Millares">
      <calculatedColumnFormula>IF($N$19=0,0,TablaInventarios[[#This Row],[$ Total IP (corrientes)]]*IF($S$23=FALSE,0,IF($T$19="SIPM",VLOOKUP(DATE(YEAR($N$19),MONTH($N$19)+IF(DAY($N$19)=1,-1,0),1),Indices[[Fecha]:[Indice SIPM]],2,FALSE),IF($T$19="Dólar Oficial",1/VLOOKUP(DATE(YEAR($N$19),MONTH($N$19),DAY($N$19)+IF(DAY($N$19)=1,-1,0)),Tabla5[],2),IF($T$19="Dólar Informal",1/VLOOKUP(DATE(YEAR($N$19),MONTH($N$19),DAY($N$19)+IF(DAY($N$19)=1,-1,0)),Tabla3[],2))))))</calculatedColumnFormula>
    </tableColumn>
    <tableColumn id="8" xr3:uid="{E1B11A0B-065E-430E-A664-A5CB0A9A3EB2}" name="Cab. _x000a_Stock" dataDxfId="101" dataCellStyle="Millares">
      <calculatedColumnFormula array="1">+SUMPRODUCT((TablaInventarios[[#This Row],[Categoria]]=TablaInventarios[Categoria])*(TablaInventarios[Cab. 
Inicio período]))+SUMPRODUCT((TablaInventarios[[#This Row],[Categoria]]=TablaMovimientos[Categoría])*(TablaMovimientos[Cab.])*(TablaMovimientos[Fecha]&gt;$N$19)*(TablaMovimientos[Fecha]&lt;=$P$19))</calculatedColumnFormula>
    </tableColumn>
    <tableColumn id="9" xr3:uid="{42D7906C-4E7F-4D65-8D12-77DBBA996CD6}" name="Kg./cab. _x000a_Stock" dataDxfId="100" dataCellStyle="Millares">
      <calculatedColumnFormula>IFERROR(TablaInventarios[[#This Row],[Kg. Totales 
Stock]]/TablaInventarios[[#This Row],[Cab. 
Stock]],0)</calculatedColumnFormula>
    </tableColumn>
    <tableColumn id="10" xr3:uid="{0AEA7B71-8930-4D4A-ABEB-0E1F51B87FB0}" name="Kg. Totales _x000a_Stock" dataDxfId="99" dataCellStyle="Millares">
      <calculatedColumnFormula array="1">+SUMPRODUCT((TablaInventarios[[#This Row],[Categoria]]=TablaInventarios[Categoria])*(TablaInventarios[Kg. Totales 
Inicio período]))+SUMPRODUCT((TablaInventarios[[#This Row],[Categoria]]=TablaMovimientos[Categoría])*(TablaMovimientos[Kg.])*(TablaMovimientos[Fecha]&gt;$N$19)*(TablaMovimientos[Fecha]&lt;=$P$19))</calculatedColumnFormula>
    </tableColumn>
    <tableColumn id="11" xr3:uid="{D77C130D-0EA3-47F8-8304-CB760F209929}" name="$/Kg. _x000a_Stock" dataDxfId="98" dataCellStyle="Millares">
      <calculatedColumnFormula>IF(TablaInventarios[[#This Row],[Kg. Totales 
Stock]]=0,TablaInventarios[[#This Row],[$/Kg. 
al Cierre]],IFERROR(TablaInventarios[[#This Row],[$ Total FP (corrientes)]]/TablaInventarios[[#This Row],[Kg. Totales 
Stock]],0))</calculatedColumnFormula>
    </tableColumn>
    <tableColumn id="12" xr3:uid="{261F5652-A6E0-4380-B38B-A17A46B50554}" name="$/Cab. _x000a_Stock" dataDxfId="97" dataCellStyle="Millares">
      <calculatedColumnFormula>IFERROR(TablaInventarios[[#This Row],[$ Total FP (corrientes)]]/TablaInventarios[[#This Row],[Cab. 
Stock]],0)</calculatedColumnFormula>
    </tableColumn>
    <tableColumn id="13" xr3:uid="{0C70D464-B60C-4A9D-AACF-21997A0A5AD0}" name="$ Total FP (corrientes)" dataDxfId="96" dataCellStyle="Millares">
      <calculatedColumnFormula array="1">+SUMPRODUCT((TablaInventarios[[#This Row],[Categoria]]=TablaInventarios[Categoria])*(TablaInventarios[$ Total IP (corrientes)]))+SUMPRODUCT((TablaInventarios[[#This Row],[Categoria]]=TablaMovimientos[Categoría])*(TablaMovimientos[Total $ corr-tes])*(TablaMovimientos[Fecha]&gt;$N$19)*(TablaMovimientos[Fecha]&lt;=$P$19))</calculatedColumnFormula>
    </tableColumn>
    <tableColumn id="40" xr3:uid="{E79A0717-A807-4DF2-B9DC-909AFCD1DC8E}" name="FP en Valores Actualizados" dataDxfId="95" dataCellStyle="Millares">
      <calculatedColumnFormula>IF($P$19=0,0,TablaInventarios[[#This Row],[$ Total FP (corrientes)]]*IF($S$23=FALSE,0,IF($T$19="SIPM",VLOOKUP(DATE(YEAR($P$19),MONTH($P$19),1),Indices[[Fecha]:[Indice SIPM]],2,FALSE),IF($T$19="Dólar Oficial",1/VLOOKUP(DATE(YEAR($P$19),MONTH($P$19),DAY($P$19)),Tabla5[],2),IF($T$19="Dólar Informal",1/VLOOKUP(DATE(YEAR($P$19),MONTH($P$19),DAY($P$19)),Tabla3[],2))))))</calculatedColumnFormula>
    </tableColumn>
    <tableColumn id="14" xr3:uid="{0B53AF6F-F00E-4DD0-BB13-37B61BDA42AE}" name="Kg./Cab. _x000a_al Cierre" dataDxfId="94" dataCellStyle="Millares"/>
    <tableColumn id="16" xr3:uid="{73804DDE-7032-4CF2-85AC-DAD4D371673A}" name="$/Kg. _x000a_al Cierre" dataDxfId="93" dataCellStyle="Millares"/>
    <tableColumn id="17" xr3:uid="{A079D974-E599-4B3A-B0CC-D6A091081818}" name="$/Cab. _x000a_al Cierre" dataDxfId="92" dataCellStyle="Millares">
      <calculatedColumnFormula>TablaInventarios[[#This Row],[Kg./Cab. 
al Cierre]]*TablaInventarios[[#This Row],[$/Kg. 
al Cierre]]</calculatedColumnFormula>
    </tableColumn>
    <tableColumn id="19" xr3:uid="{5ED33F45-B3AC-4BD9-95E5-E983848D5A40}" name="Kg. Diferencia" dataDxfId="91" dataCellStyle="Millares">
      <calculatedColumnFormula>TablaInventarios[[#This Row],[Cab. 
Stock]]*TablaInventarios[[#This Row],[Kg./Cab. 
al Cierre]]-TablaInventarios[[#This Row],[Kg. Totales 
Stock]]</calculatedColumnFormula>
    </tableColumn>
    <tableColumn id="20" xr3:uid="{0DA88644-1AB1-4661-B64D-0169C34FFD3D}" name="$ Total Diferencia" dataDxfId="90" dataCellStyle="Millares">
      <calculatedColumnFormula>TablaInventarios[[#This Row],[Cab. 
Stock]]*TablaInventarios[[#This Row],[Kg./Cab. 
al Cierre]]*TablaInventarios[[#This Row],[$/Kg. 
al Cierre]]-TablaInventarios[[#This Row],[$ Total FP (corrientes)]]</calculatedColumnFormula>
    </tableColumn>
    <tableColumn id="37" xr3:uid="{95455278-7C0E-44C7-B7F4-8950BA0F27E4}" name="Columna1" dataDxfId="89" dataCellStyle="Millares"/>
    <tableColumn id="34" xr3:uid="{6E847A27-3723-4F97-8DAC-325FC1283B90}" name="Fecha" dataDxfId="88" dataCellStyle="Millares"/>
    <tableColumn id="33" xr3:uid="{AAB399C4-E233-4AE8-A34C-DC385C8045FE}" name="Movimiento" dataDxfId="87" dataCellStyle="Millares">
      <calculatedColumnFormula>"Inventario de inicio"</calculatedColumnFormula>
    </tableColumn>
    <tableColumn id="32" xr3:uid="{B823FED7-851E-4C5D-B4E8-EDFB4FBA72B8}" name="Categoría" dataDxfId="86" dataCellStyle="Millares"/>
    <tableColumn id="31" xr3:uid="{A8822E95-414A-4A53-8C71-A3A7D0485BFF}" name="Actividad" dataDxfId="85" dataCellStyle="Millares"/>
    <tableColumn id="15" xr3:uid="{AE7D6BB8-3A5F-455D-90C0-6B44B9ABF473}" name="Tipo _x000a_de Activo" dataDxfId="84"/>
    <tableColumn id="30" xr3:uid="{EA26BE5F-EFD5-46E6-B5BE-B0592A137C26}" name="Comentarios" dataDxfId="83" dataCellStyle="Millares"/>
    <tableColumn id="29" xr3:uid="{05F9E7FA-25E8-4404-A571-F0FE08E9B4E7}" name="Cabezas" dataDxfId="82" dataCellStyle="Millares"/>
    <tableColumn id="28" xr3:uid="{3A3400C4-1427-4272-9651-33E921D7E7CF}" name="Cab." dataDxfId="81" dataCellStyle="Millares">
      <calculatedColumnFormula>+TablaInventarios[[#This Row],[Cabezas]]</calculatedColumnFormula>
    </tableColumn>
    <tableColumn id="27" xr3:uid="{AAEA51E6-3C9D-4588-8725-1AF9ACC2E1AF}" name="Kg/Cab." dataDxfId="80" dataCellStyle="Millares"/>
    <tableColumn id="26" xr3:uid="{440322A2-D65C-4378-BF47-A013594E1C65}" name="Kg." dataDxfId="79" dataCellStyle="Millares">
      <calculatedColumnFormula>+TablaInventarios[[#This Row],[Cabezas]]*TablaInventarios[[#This Row],[Kg/Cab.]]</calculatedColumnFormula>
    </tableColumn>
    <tableColumn id="25" xr3:uid="{7983BC2D-D1BF-4F1E-B478-39CD3A67225B}" name="$/Kg" dataDxfId="78" dataCellStyle="Millares"/>
    <tableColumn id="21" xr3:uid="{6122E6E8-03AE-4509-B031-00F581F6206C}" name="$/Cab." dataDxfId="77" dataCellStyle="Millares">
      <calculatedColumnFormula>TablaInventarios[[#This Row],[Kg/Cab.]]*TablaInventarios[[#This Row],[$/Kg]]</calculatedColumnFormula>
    </tableColumn>
    <tableColumn id="22" xr3:uid="{B62767BE-D3EC-42E0-BCBD-FF7144EC9191}" name="$ Total_x000a_(corrientes)" dataDxfId="76" dataCellStyle="Millares">
      <calculatedColumnFormula>+TablaInventarios[[#This Row],[Kg.]]*TablaInventarios[[#This Row],[$/Kg]]</calculatedColumnFormula>
    </tableColumn>
    <tableColumn id="38" xr3:uid="{DF39ED91-9C24-443A-B2AE-DF04EFAC057C}" name="Valores Actualizados" dataDxfId="75" dataCellStyle="Millares">
      <calculatedColumnFormula>IF(W3="Fecha ???",0,TablaInventarios[[#This Row],[$ Total
(corrientes)]]*IF(AND($S$23=TRUE,$T$19="Dólar Informal"),1/VLOOKUP(TablaInventarios[[#This Row],[Fecha]],Tabla3[],2),IF(AND($S$23=TRUE,$T$19="Dólar Oficial"),1/VLOOKUP(TablaInventarios[[#This Row],[Fecha]],Tabla5[],2),IF(AND($S$23=TRUE,$T$19="SIPM"),VLOOKUP(DATE(YEAR(DATE(YEAR($W3),MONTH($W3),DAY($W3))-1),MONTH(DATE(YEAR($W3),MONTH($W3),DAY($W3))-1),1),Indices[[Fecha]:[Indice SIPM]],2,FALSE)))))</calculatedColumnFormula>
    </tableColumn>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EC9A441-EE8A-41FF-BE60-026D3FB94491}" name="TablaMovimientos" displayName="TablaMovimientos" ref="W19:AJ20" totalsRowShown="0" headerRowDxfId="74" dataDxfId="73">
  <autoFilter ref="W19:AJ20" xr:uid="{DA35FF6D-00BF-494D-904E-6B8F29B5DCDF}"/>
  <tableColumns count="14">
    <tableColumn id="1" xr3:uid="{E45B7A81-89C8-4BE6-A0F0-21B62E1F22F9}" name="Fecha" dataDxfId="72" totalsRowDxfId="71"/>
    <tableColumn id="2" xr3:uid="{C9779E73-2181-4B0A-8D5D-139EF00320D2}" name="Movimiento" dataDxfId="70" totalsRowDxfId="69"/>
    <tableColumn id="3" xr3:uid="{EF154D60-1B13-4332-9F1F-2E7A67AEE917}" name="Categoría" dataDxfId="68" totalsRowDxfId="67"/>
    <tableColumn id="14" xr3:uid="{3956875B-5CFE-421A-8887-85AB78008A0F}" name="Actividad" dataDxfId="66" totalsRowDxfId="65">
      <calculatedColumnFormula>IF(TablaMovimientos[[#This Row],[Categoría]]=0,"",VLOOKUP(TablaMovimientos[[#This Row],[Categoría]],TablaInventarios[[Categoría]:[Actividad]],2,FALSE))</calculatedColumnFormula>
    </tableColumn>
    <tableColumn id="13" xr3:uid="{53BBCA1B-14E2-4145-A8FB-8E75E176E326}" name="Activo" dataDxfId="64" totalsRowDxfId="63">
      <calculatedColumnFormula>IF(TablaMovimientos[[#This Row],[Categoría]]=0,"",VLOOKUP(TablaMovimientos[[#This Row],[Categoría]],TablaInventarios[[Categoría]:[Tipo 
de Activo]],3,FALSE))</calculatedColumnFormula>
    </tableColumn>
    <tableColumn id="10" xr3:uid="{FB23FC3D-2886-4866-9A1E-02D61EA9784D}" name="Comentarios" dataDxfId="62" totalsRowDxfId="61"/>
    <tableColumn id="12" xr3:uid="{24D902E9-9E9F-40E5-9B8C-8A4A47C720B6}" name="Cabezas" dataDxfId="60" totalsRowDxfId="59"/>
    <tableColumn id="4" xr3:uid="{DBF77579-7FA4-4588-B6AF-F27D389A7337}" name="Cab." dataDxfId="58" totalsRowDxfId="57">
      <calculatedColumnFormula>IF(OR(TablaMovimientos[[#This Row],[Movimiento]]="Kilos Producidos",TablaMovimientos[[#This Row],[Movimiento]]="Res. por Tenencia",TablaMovimientos[[#This Row],[Movimiento]]=0),0,IF(VLOOKUP(TablaMovimientos[[#This Row],[Movimiento]],Movimientos[],2,FALSE)="-",-TablaMovimientos[[#This Row],[Cabezas]],TablaMovimientos[[#This Row],[Cabezas]]))</calculatedColumnFormula>
    </tableColumn>
    <tableColumn id="5" xr3:uid="{C4D0CE6A-8A28-4888-B1CC-F8EC673213A3}" name="Kg/Cab." dataDxfId="56" totalsRowDxfId="55"/>
    <tableColumn id="6" xr3:uid="{0C8B7A44-EC31-4443-AC5B-D51C68FEB2B2}" name="Kg." dataDxfId="54">
      <calculatedColumnFormula>+TablaMovimientos[[#This Row],[Cab.]]*TablaMovimientos[[#This Row],[Kg/Cab.]]</calculatedColumnFormula>
    </tableColumn>
    <tableColumn id="7" xr3:uid="{F638AA59-3C0C-46BD-BE31-F2D619BBF3C1}" name="$/Kg" dataDxfId="53" totalsRowDxfId="52"/>
    <tableColumn id="8" xr3:uid="{78C7B17D-C32B-423D-B644-DA0394B684F8}" name="$/Cab." dataDxfId="51" totalsRowDxfId="50">
      <calculatedColumnFormula>IF(TablaMovimientos[[#This Row],[Movimiento]]="Res. por Tenencia",0,TablaMovimientos[[#This Row],[Kg/Cab.]]*TablaMovimientos[[#This Row],[$/Kg]])</calculatedColumnFormula>
    </tableColumn>
    <tableColumn id="9" xr3:uid="{E8140782-D9DA-4D6E-B038-B1AED79CAF03}" name="Total $ corr-tes" dataDxfId="49" totalsRowDxfId="48" dataCellStyle="Millares">
      <calculatedColumnFormula>+TablaMovimientos[[#This Row],[Kg.]]*TablaMovimientos[[#This Row],[$/Kg]]</calculatedColumnFormula>
    </tableColumn>
    <tableColumn id="11" xr3:uid="{01F12F9D-5B8A-49EE-BB27-AEC456CB2D82}" name="Valores Actualizados" dataDxfId="47" totalsRowDxfId="46">
      <calculatedColumnFormula>IF(TablaMovimientos[[#This Row],[Total $ corr-tes]]=0,0,TablaMovimientos[[#This Row],[Total $ corr-tes]]*IF(AND($S$23=TRUE,$T$19="Dólar Informal"),1/VLOOKUP(TablaMovimientos[[#This Row],[Fecha]],Tabla3[],2),IF(AND($S$23=TRUE,$T$19="Dólar Oficial"),1/VLOOKUP(TablaMovimientos[[#This Row],[Fecha]],Tabla5[],2),IF(AND($S$23=TRUE,$T$19="SIPM"),VLOOKUP(DATE(YEAR(DATE(YEAR($W20),MONTH($W20),DAY($W20))-1),MONTH(DATE(YEAR($W20),MONTH($W20),DAY($W20))-1),1),Indices[[Fecha]:[Indice SIPM]],2,FALSE)))))</calculatedColumnFormula>
    </tableColumn>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F173BDD-238D-4137-9006-1834F5F0CDEE}" name="Movimientos" displayName="Movimientos" ref="A1:B19" totalsRowShown="0" headerRowDxfId="45" headerRowBorderDxfId="44" tableBorderDxfId="43" totalsRowBorderDxfId="42">
  <tableColumns count="2">
    <tableColumn id="1" xr3:uid="{50B8AC06-1FD5-4061-8BAE-F2B877E8E9A7}" name="MOVIMIENTOS" dataDxfId="41"/>
    <tableColumn id="2" xr3:uid="{0AD37248-3070-4F4F-8DEC-A2E6ACB1A392}" name="Alta / Baja" dataDxfId="4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53EAE6-7631-420E-8D57-425999F55AF1}" name="Actividades" displayName="Actividades" ref="D1:E8" totalsRowShown="0" headerRowDxfId="39" dataDxfId="37" headerRowBorderDxfId="38" tableBorderDxfId="36">
  <tableColumns count="2">
    <tableColumn id="1" xr3:uid="{220B4F86-D9AE-48C5-80E6-D7D04FAE118F}" name="ACTIVIDADES" dataDxfId="35"/>
    <tableColumn id="2" xr3:uid="{CF0730AB-9FFB-4579-9279-504E29991C62}" name="# Act." dataDxfId="34">
      <calculatedColumnFormula>1+E1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7F0CE97-9808-4431-B5B9-74CB2D4E02C2}" name="Tabla4" displayName="Tabla4" ref="G1:G3" totalsRowShown="0" headerRowDxfId="33" dataDxfId="31" headerRowBorderDxfId="32" tableBorderDxfId="30">
  <tableColumns count="1">
    <tableColumn id="1" xr3:uid="{05127605-9049-486D-85E3-E3F583670F2A}" name="Tipo de Activo" dataDxfId="2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244C324-2CF1-49B7-ABB7-5D733E526FA7}" name="Indices" displayName="Indices" ref="A5:L54" totalsRowShown="0" headerRowDxfId="28" headerRowBorderDxfId="27">
  <tableColumns count="12">
    <tableColumn id="1" xr3:uid="{1425FE95-7D46-4C82-9391-A98D8A09AE5D}" name="Fecha" dataDxfId="26"/>
    <tableColumn id="2" xr3:uid="{6AE69F57-C29F-4ACA-958B-6859D19D692B}" name="Coef. SIPM" dataDxfId="25">
      <calculatedColumnFormula>IF(C6=0,"",VLOOKUP('Planilla de datos'!$T$23,'SIPM (Actualización en $)'!$A$6:$C$54,3,FALSE)/C6)</calculatedColumnFormula>
    </tableColumn>
    <tableColumn id="4" xr3:uid="{EBA81747-3B3F-4E40-B1E9-988BA2A18B7E}" name="Indice SIPM" dataDxfId="0"/>
    <tableColumn id="13" xr3:uid="{E241F59B-62D6-4921-A727-8E161D593D6C}" name="Cría" dataDxfId="24">
      <calculatedColumnFormula array="1">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calculatedColumnFormula>
    </tableColumn>
    <tableColumn id="14" xr3:uid="{40ECDFC3-96F2-4680-B1B2-8B4C3D4CCD66}" name="Recría" dataDxfId="23">
      <calculatedColumnFormula array="1">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calculatedColumnFormula>
    </tableColumn>
    <tableColumn id="15" xr3:uid="{791288A1-FEC3-4DD5-AC74-92AF40AEB5FE}" name="Invernada" dataDxfId="22">
      <calculatedColumnFormula array="1">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calculatedColumnFormula>
    </tableColumn>
    <tableColumn id="16" xr3:uid="{AF538FDA-B10F-483A-89A9-7FE2EA93F467}" name="Feed-lot" dataDxfId="21">
      <calculatedColumnFormula array="1">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calculatedColumnFormula>
    </tableColumn>
    <tableColumn id="17" xr3:uid="{76270805-EE02-4FAE-8F44-E62378A4C634}" name="Cabaña" dataDxfId="20">
      <calculatedColumnFormula array="1">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calculatedColumnFormula>
    </tableColumn>
    <tableColumn id="18" xr3:uid="{AF03E8BC-2AF6-4A40-A181-965AF17FE174}" name="Tambo" dataDxfId="19">
      <calculatedColumnFormula array="1">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calculatedColumnFormula>
    </tableColumn>
    <tableColumn id="19" xr3:uid="{5D9CE186-2977-46EF-99E8-E10F007058D6}" name="Guachera" dataDxfId="18">
      <calculatedColumnFormula array="1">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calculatedColumnFormula>
    </tableColumn>
    <tableColumn id="20" xr3:uid="{07551D8E-A253-4C96-9B2A-ACE9DF489C6B}" name="*" dataDxfId="17">
      <calculatedColumnFormula>+SUM(Indices[[#This Row],[Cría]:[Guachera]])</calculatedColumnFormula>
    </tableColumn>
    <tableColumn id="31" xr3:uid="{949C5B14-2386-4798-876D-49C855286A05}" name="Meses activos" dataDxfId="16">
      <calculatedColumnFormula>IF(DATE(YEAR(Indices[[#This Row],[Fecha]]),MONTH(Indices[[#This Row],[Fecha]]),1)&gt;=DATE(YEAR('Planilla de datos'!$N$19-1),MONTH('Planilla de datos'!$N$19-1),1),1,0)*IF(DATE(YEAR(Indices[[#This Row],[Fecha]]),MONTH(Indices[[#This Row],[Fecha]]),1)&lt;='Planilla de datos'!$P$19,1,0)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A119F53-E2D2-44E5-98A3-A64017156E3A}" name="Tabla3" displayName="Tabla3" ref="F4:H937" totalsRowShown="0" headerRowDxfId="15" dataDxfId="14">
  <autoFilter ref="F4:H937" xr:uid="{CCB2A177-3A24-417E-B652-FD22975AAEFF}"/>
  <sortState xmlns:xlrd2="http://schemas.microsoft.com/office/spreadsheetml/2017/richdata2" ref="F5:H870">
    <sortCondition ref="F5:F870"/>
  </sortState>
  <tableColumns count="3">
    <tableColumn id="1" xr3:uid="{769CEEBB-6477-4D33-A05B-A20EC51E236E}" name="Fecha" dataDxfId="13"/>
    <tableColumn id="2" xr3:uid="{85DDBBDE-E5B2-4FB7-AF1F-CAC5B68936CA}" name="Compra" dataDxfId="12"/>
    <tableColumn id="3" xr3:uid="{34163ECC-F06E-4A89-B8D8-EA32906E2F9C}" name="Venta" dataDxfId="11"/>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BBB69AD-26F1-474A-8E53-71283591FFFD}" name="Tabla5" displayName="Tabla5" ref="A4:C937" totalsRowShown="0" dataDxfId="9" headerRowBorderDxfId="10" tableBorderDxfId="8">
  <autoFilter ref="A4:C937" xr:uid="{BEFADD01-9394-4AA3-9B90-5EE394E3DC09}"/>
  <tableColumns count="3">
    <tableColumn id="1" xr3:uid="{7CD5ED3F-E89D-4CE6-89D7-671C68CF56D6}" name="Fecha" dataDxfId="7"/>
    <tableColumn id="2" xr3:uid="{78AE1D98-2761-4ABE-8258-33B6011CA18B}" name="Compra" dataDxfId="6"/>
    <tableColumn id="3" xr3:uid="{3C8B64D7-6104-485A-ABE9-81597DD1151E}" name="Venta" dataDxfId="5"/>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BB4DF2-89A7-4D9A-BEAA-AD11831178A8}" name="Tabla6" displayName="Tabla6" ref="K4:L937" totalsRowShown="0" headerRowBorderDxfId="4" tableBorderDxfId="3">
  <autoFilter ref="K4:L937" xr:uid="{94C7D289-B3BE-4E12-A4D1-3AB0344AD9C0}"/>
  <tableColumns count="2">
    <tableColumn id="1" xr3:uid="{79BC9FF2-AB94-46D8-A1BB-AD6840AD6E24}" name="Fecha" dataDxfId="2"/>
    <tableColumn id="2" xr3:uid="{3B8F7F0B-72E3-4146-9B60-28D8C2F0853A}" name="MEP" dataDxfId="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crea.org.ar/6-2-ganaderia/"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ambito.com/contenidos/dolar-mep-historico.html" TargetMode="External"/><Relationship Id="rId2" Type="http://schemas.openxmlformats.org/officeDocument/2006/relationships/hyperlink" Target="https://www.ambito.com/contenidos/dolar-informal-historico.html" TargetMode="External"/><Relationship Id="rId1" Type="http://schemas.openxmlformats.org/officeDocument/2006/relationships/hyperlink" Target="https://www.ambito.com/contenidos/dolar-oficial-historico.html" TargetMode="Externa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7708A-0D25-4D82-A02F-6E1B91847349}">
  <sheetPr codeName="Hoja3"/>
  <dimension ref="A1:X45"/>
  <sheetViews>
    <sheetView showGridLines="0" showRowColHeaders="0" zoomScale="70" zoomScaleNormal="70" workbookViewId="0"/>
  </sheetViews>
  <sheetFormatPr baseColWidth="10" defaultRowHeight="15" x14ac:dyDescent="0.25"/>
  <sheetData>
    <row r="1" spans="1:24" x14ac:dyDescent="0.25">
      <c r="A1" s="78"/>
      <c r="B1" s="78"/>
      <c r="C1" s="78"/>
      <c r="D1" s="78"/>
      <c r="E1" s="78"/>
      <c r="F1" s="78"/>
      <c r="G1" s="78"/>
      <c r="H1" s="78"/>
      <c r="I1" s="78"/>
      <c r="J1" s="78"/>
      <c r="K1" s="78"/>
      <c r="L1" s="78"/>
      <c r="M1" s="78"/>
      <c r="N1" s="78"/>
      <c r="O1" s="78"/>
      <c r="P1" s="78"/>
      <c r="Q1" s="78"/>
      <c r="R1" s="78"/>
      <c r="S1" s="78"/>
      <c r="T1" s="78"/>
      <c r="U1" s="78"/>
      <c r="V1" s="78"/>
      <c r="W1" s="78"/>
      <c r="X1" s="78"/>
    </row>
    <row r="2" spans="1:24" x14ac:dyDescent="0.25">
      <c r="A2" s="78"/>
      <c r="B2" s="78"/>
      <c r="C2" s="78"/>
      <c r="D2" s="78"/>
      <c r="E2" s="78"/>
      <c r="F2" s="78"/>
      <c r="G2" s="78"/>
      <c r="H2" s="78"/>
      <c r="I2" s="78"/>
      <c r="J2" s="78"/>
      <c r="K2" s="78"/>
      <c r="L2" s="78"/>
      <c r="M2" s="78"/>
      <c r="N2" s="78"/>
      <c r="O2" s="78"/>
      <c r="P2" s="78"/>
      <c r="Q2" s="78"/>
      <c r="R2" s="78"/>
      <c r="S2" s="78"/>
      <c r="T2" s="78"/>
      <c r="U2" s="78"/>
      <c r="V2" s="78"/>
      <c r="W2" s="78"/>
      <c r="X2" s="78"/>
    </row>
    <row r="3" spans="1:24" x14ac:dyDescent="0.25">
      <c r="A3" s="78"/>
      <c r="B3" s="78"/>
      <c r="C3" s="78"/>
      <c r="D3" s="78"/>
      <c r="E3" s="78"/>
      <c r="F3" s="78"/>
      <c r="G3" s="78"/>
      <c r="H3" s="78"/>
      <c r="I3" s="78"/>
      <c r="J3" s="78"/>
      <c r="K3" s="78"/>
      <c r="L3" s="78"/>
      <c r="M3" s="78"/>
      <c r="N3" s="78"/>
      <c r="O3" s="78"/>
      <c r="P3" s="78"/>
      <c r="Q3" s="78"/>
      <c r="R3" s="78"/>
      <c r="S3" s="78"/>
      <c r="T3" s="78"/>
      <c r="U3" s="78"/>
      <c r="V3" s="78"/>
      <c r="W3" s="78"/>
      <c r="X3" s="78"/>
    </row>
    <row r="4" spans="1:24" x14ac:dyDescent="0.25">
      <c r="A4" s="78"/>
      <c r="B4" s="78"/>
      <c r="C4" s="78"/>
      <c r="D4" s="78"/>
      <c r="E4" s="78"/>
      <c r="F4" s="78"/>
      <c r="G4" s="78"/>
      <c r="H4" s="78"/>
      <c r="I4" s="78"/>
      <c r="J4" s="78"/>
      <c r="K4" s="78"/>
      <c r="L4" s="78"/>
      <c r="M4" s="78"/>
      <c r="N4" s="78"/>
      <c r="O4" s="78"/>
      <c r="P4" s="78"/>
      <c r="Q4" s="78"/>
      <c r="R4" s="78"/>
      <c r="S4" s="78"/>
      <c r="T4" s="78"/>
      <c r="U4" s="78"/>
      <c r="V4" s="78"/>
      <c r="W4" s="78"/>
      <c r="X4" s="78"/>
    </row>
    <row r="5" spans="1:24" x14ac:dyDescent="0.25">
      <c r="A5" s="78"/>
      <c r="B5" s="78"/>
      <c r="C5" s="78"/>
      <c r="D5" s="78"/>
      <c r="E5" s="78"/>
      <c r="F5" s="78"/>
      <c r="G5" s="78"/>
      <c r="H5" s="78"/>
      <c r="I5" s="78"/>
      <c r="J5" s="78"/>
      <c r="K5" s="78"/>
      <c r="L5" s="78"/>
      <c r="M5" s="78"/>
      <c r="N5" s="78"/>
      <c r="O5" s="78"/>
      <c r="P5" s="78"/>
      <c r="Q5" s="78"/>
      <c r="R5" s="78"/>
      <c r="S5" s="78"/>
      <c r="T5" s="78"/>
      <c r="U5" s="78"/>
      <c r="V5" s="78"/>
      <c r="W5" s="78"/>
      <c r="X5" s="78"/>
    </row>
    <row r="6" spans="1:24" x14ac:dyDescent="0.25">
      <c r="A6" s="78"/>
      <c r="B6" s="78"/>
      <c r="C6" s="78"/>
      <c r="D6" s="78"/>
      <c r="E6" s="78"/>
      <c r="F6" s="78"/>
      <c r="G6" s="78"/>
      <c r="H6" s="78"/>
      <c r="I6" s="78"/>
      <c r="J6" s="78"/>
      <c r="K6" s="78"/>
      <c r="L6" s="78"/>
      <c r="M6" s="78"/>
      <c r="N6" s="78"/>
      <c r="O6" s="78"/>
      <c r="P6" s="78"/>
      <c r="Q6" s="78"/>
      <c r="R6" s="78"/>
      <c r="S6" s="78"/>
      <c r="T6" s="78"/>
      <c r="U6" s="78"/>
      <c r="V6" s="78"/>
      <c r="W6" s="78"/>
      <c r="X6" s="78"/>
    </row>
    <row r="7" spans="1:24" x14ac:dyDescent="0.25">
      <c r="A7" s="78"/>
      <c r="B7" s="78"/>
      <c r="C7" s="78"/>
      <c r="D7" s="78"/>
      <c r="E7" s="78"/>
      <c r="F7" s="78"/>
      <c r="G7" s="78"/>
      <c r="H7" s="78"/>
      <c r="I7" s="78"/>
      <c r="J7" s="78"/>
      <c r="K7" s="78"/>
      <c r="L7" s="78"/>
      <c r="M7" s="78"/>
      <c r="N7" s="78"/>
      <c r="O7" s="78"/>
      <c r="P7" s="78"/>
      <c r="Q7" s="78"/>
      <c r="R7" s="78"/>
      <c r="S7" s="78"/>
      <c r="T7" s="78"/>
      <c r="U7" s="78"/>
      <c r="V7" s="78"/>
      <c r="W7" s="78"/>
      <c r="X7" s="78"/>
    </row>
    <row r="8" spans="1:24" x14ac:dyDescent="0.25">
      <c r="A8" s="78"/>
      <c r="B8" s="78"/>
      <c r="C8" s="78"/>
      <c r="D8" s="78"/>
      <c r="E8" s="78"/>
      <c r="F8" s="78"/>
      <c r="G8" s="78"/>
      <c r="H8" s="78"/>
      <c r="I8" s="78"/>
      <c r="J8" s="78"/>
      <c r="K8" s="78"/>
      <c r="L8" s="78"/>
      <c r="M8" s="78"/>
      <c r="N8" s="78"/>
      <c r="O8" s="78"/>
      <c r="P8" s="78"/>
      <c r="Q8" s="78"/>
      <c r="R8" s="78"/>
      <c r="S8" s="78"/>
      <c r="T8" s="78"/>
      <c r="U8" s="78"/>
      <c r="V8" s="78"/>
      <c r="W8" s="78"/>
      <c r="X8" s="78"/>
    </row>
    <row r="9" spans="1:24" x14ac:dyDescent="0.25">
      <c r="A9" s="78"/>
      <c r="B9" s="78"/>
      <c r="C9" s="78"/>
      <c r="D9" s="78"/>
      <c r="E9" s="78"/>
      <c r="F9" s="78"/>
      <c r="G9" s="78"/>
      <c r="H9" s="78"/>
      <c r="I9" s="78"/>
      <c r="J9" s="78"/>
      <c r="K9" s="78"/>
      <c r="L9" s="78"/>
      <c r="M9" s="78"/>
      <c r="N9" s="78"/>
      <c r="O9" s="78"/>
      <c r="P9" s="78"/>
      <c r="Q9" s="78"/>
      <c r="R9" s="78"/>
      <c r="S9" s="78"/>
      <c r="T9" s="78"/>
      <c r="U9" s="78"/>
      <c r="V9" s="78"/>
      <c r="W9" s="78"/>
      <c r="X9" s="78"/>
    </row>
    <row r="10" spans="1:24" x14ac:dyDescent="0.25">
      <c r="A10" s="78"/>
      <c r="B10" s="78"/>
      <c r="C10" s="78"/>
      <c r="D10" s="78"/>
      <c r="E10" s="78"/>
      <c r="F10" s="78"/>
      <c r="G10" s="78"/>
      <c r="H10" s="78"/>
      <c r="I10" s="78"/>
      <c r="J10" s="78"/>
      <c r="K10" s="78"/>
      <c r="L10" s="78"/>
      <c r="M10" s="78"/>
      <c r="N10" s="78"/>
      <c r="O10" s="78"/>
      <c r="P10" s="78"/>
      <c r="Q10" s="78"/>
      <c r="R10" s="78"/>
      <c r="S10" s="78"/>
      <c r="T10" s="78"/>
      <c r="U10" s="78"/>
      <c r="V10" s="78"/>
      <c r="W10" s="78"/>
      <c r="X10" s="78"/>
    </row>
    <row r="11" spans="1:24" x14ac:dyDescent="0.25">
      <c r="A11" s="78"/>
      <c r="B11" s="78"/>
      <c r="C11" s="78"/>
      <c r="D11" s="78"/>
      <c r="E11" s="78"/>
      <c r="F11" s="78"/>
      <c r="G11" s="78"/>
      <c r="H11" s="78"/>
      <c r="I11" s="78"/>
      <c r="J11" s="78"/>
      <c r="K11" s="78"/>
      <c r="L11" s="78"/>
      <c r="M11" s="78"/>
      <c r="N11" s="78"/>
      <c r="O11" s="78"/>
      <c r="P11" s="78"/>
      <c r="Q11" s="78"/>
      <c r="R11" s="78"/>
      <c r="S11" s="78"/>
      <c r="T11" s="78"/>
      <c r="U11" s="78"/>
      <c r="V11" s="78"/>
      <c r="W11" s="78"/>
      <c r="X11" s="78"/>
    </row>
    <row r="12" spans="1:24" x14ac:dyDescent="0.25">
      <c r="A12" s="78"/>
      <c r="B12" s="78"/>
      <c r="C12" s="78"/>
      <c r="D12" s="78"/>
      <c r="E12" s="78"/>
      <c r="F12" s="78"/>
      <c r="G12" s="78"/>
      <c r="H12" s="78"/>
      <c r="I12" s="78"/>
      <c r="J12" s="78"/>
      <c r="K12" s="78"/>
      <c r="L12" s="78"/>
      <c r="M12" s="78"/>
      <c r="N12" s="78"/>
      <c r="O12" s="78"/>
      <c r="P12" s="78"/>
      <c r="Q12" s="78"/>
      <c r="R12" s="78"/>
      <c r="S12" s="78"/>
      <c r="T12" s="78"/>
      <c r="U12" s="78"/>
      <c r="V12" s="78"/>
      <c r="W12" s="78"/>
      <c r="X12" s="78"/>
    </row>
    <row r="13" spans="1:24" x14ac:dyDescent="0.25">
      <c r="A13" s="78"/>
      <c r="B13" s="78"/>
      <c r="C13" s="78"/>
      <c r="D13" s="78"/>
      <c r="E13" s="78"/>
      <c r="F13" s="78"/>
      <c r="G13" s="78"/>
      <c r="H13" s="78"/>
      <c r="I13" s="78"/>
      <c r="J13" s="78"/>
      <c r="K13" s="78"/>
      <c r="L13" s="78"/>
      <c r="M13" s="78"/>
      <c r="N13" s="78"/>
      <c r="O13" s="78"/>
      <c r="P13" s="78"/>
      <c r="Q13" s="78"/>
      <c r="R13" s="78"/>
      <c r="S13" s="78"/>
      <c r="T13" s="78"/>
      <c r="U13" s="78"/>
      <c r="V13" s="78"/>
      <c r="W13" s="78"/>
      <c r="X13" s="78"/>
    </row>
    <row r="14" spans="1:24" x14ac:dyDescent="0.25">
      <c r="A14" s="78"/>
      <c r="B14" s="78"/>
      <c r="C14" s="78"/>
      <c r="D14" s="78"/>
      <c r="E14" s="78"/>
      <c r="F14" s="78"/>
      <c r="G14" s="78"/>
      <c r="H14" s="78"/>
      <c r="I14" s="78"/>
      <c r="J14" s="78"/>
      <c r="K14" s="78"/>
      <c r="L14" s="78"/>
      <c r="M14" s="78"/>
      <c r="N14" s="78"/>
      <c r="O14" s="78"/>
      <c r="P14" s="78"/>
      <c r="Q14" s="78"/>
      <c r="R14" s="78"/>
      <c r="S14" s="78"/>
      <c r="T14" s="78"/>
      <c r="U14" s="78"/>
      <c r="V14" s="78"/>
      <c r="W14" s="78"/>
      <c r="X14" s="78"/>
    </row>
    <row r="15" spans="1:24" x14ac:dyDescent="0.25">
      <c r="A15" s="78"/>
      <c r="B15" s="78"/>
      <c r="C15" s="78"/>
      <c r="D15" s="78"/>
      <c r="E15" s="78"/>
      <c r="F15" s="78"/>
      <c r="G15" s="78"/>
      <c r="H15" s="78"/>
      <c r="I15" s="78"/>
      <c r="J15" s="78"/>
      <c r="K15" s="78"/>
      <c r="L15" s="78"/>
      <c r="M15" s="78"/>
      <c r="N15" s="78"/>
      <c r="O15" s="78"/>
      <c r="P15" s="78"/>
      <c r="Q15" s="78"/>
      <c r="R15" s="78"/>
      <c r="S15" s="78"/>
      <c r="T15" s="78"/>
      <c r="U15" s="78"/>
      <c r="V15" s="78"/>
      <c r="W15" s="78"/>
      <c r="X15" s="78"/>
    </row>
    <row r="16" spans="1:24" x14ac:dyDescent="0.25">
      <c r="A16" s="78"/>
      <c r="B16" s="78"/>
      <c r="C16" s="78"/>
      <c r="D16" s="78"/>
      <c r="E16" s="78"/>
      <c r="F16" s="78"/>
      <c r="G16" s="78"/>
      <c r="H16" s="78"/>
      <c r="I16" s="78"/>
      <c r="J16" s="78"/>
      <c r="K16" s="78"/>
      <c r="L16" s="78"/>
      <c r="M16" s="78"/>
      <c r="N16" s="78"/>
      <c r="O16" s="78"/>
      <c r="P16" s="78"/>
      <c r="Q16" s="78"/>
      <c r="R16" s="78"/>
      <c r="S16" s="78"/>
      <c r="T16" s="78"/>
      <c r="U16" s="78"/>
      <c r="V16" s="78"/>
      <c r="W16" s="78"/>
      <c r="X16" s="78"/>
    </row>
    <row r="17" spans="1:24" x14ac:dyDescent="0.25">
      <c r="A17" s="78"/>
      <c r="B17" s="78"/>
      <c r="C17" s="78"/>
      <c r="D17" s="78"/>
      <c r="E17" s="78"/>
      <c r="F17" s="78"/>
      <c r="G17" s="78"/>
      <c r="H17" s="78"/>
      <c r="I17" s="78"/>
      <c r="J17" s="78"/>
      <c r="K17" s="78"/>
      <c r="L17" s="78"/>
      <c r="M17" s="78"/>
      <c r="N17" s="78"/>
      <c r="O17" s="78"/>
      <c r="P17" s="78"/>
      <c r="Q17" s="78"/>
      <c r="R17" s="78"/>
      <c r="S17" s="78"/>
      <c r="T17" s="78"/>
      <c r="U17" s="78"/>
      <c r="V17" s="78"/>
      <c r="W17" s="78"/>
      <c r="X17" s="78"/>
    </row>
    <row r="18" spans="1:24" x14ac:dyDescent="0.25">
      <c r="A18" s="78"/>
      <c r="B18" s="78"/>
      <c r="C18" s="78"/>
      <c r="D18" s="78"/>
      <c r="E18" s="78"/>
      <c r="F18" s="78"/>
      <c r="G18" s="78"/>
      <c r="H18" s="78"/>
      <c r="I18" s="78"/>
      <c r="J18" s="78"/>
      <c r="K18" s="78"/>
      <c r="L18" s="78"/>
      <c r="M18" s="78"/>
      <c r="N18" s="78"/>
      <c r="O18" s="78"/>
      <c r="P18" s="78"/>
      <c r="Q18" s="78"/>
      <c r="R18" s="78"/>
      <c r="S18" s="78"/>
      <c r="T18" s="78"/>
      <c r="U18" s="78"/>
      <c r="V18" s="78"/>
      <c r="W18" s="78"/>
      <c r="X18" s="78"/>
    </row>
    <row r="19" spans="1:24" x14ac:dyDescent="0.25">
      <c r="A19" s="78"/>
      <c r="B19" s="78"/>
      <c r="C19" s="78"/>
      <c r="D19" s="78"/>
      <c r="E19" s="78"/>
      <c r="F19" s="78"/>
      <c r="G19" s="78"/>
      <c r="H19" s="78"/>
      <c r="I19" s="78"/>
      <c r="J19" s="78"/>
      <c r="K19" s="78"/>
      <c r="L19" s="78"/>
      <c r="M19" s="78"/>
      <c r="N19" s="78"/>
      <c r="O19" s="78"/>
      <c r="P19" s="78"/>
      <c r="Q19" s="78"/>
      <c r="R19" s="78"/>
      <c r="S19" s="78"/>
      <c r="T19" s="78"/>
      <c r="U19" s="78"/>
      <c r="V19" s="78"/>
      <c r="W19" s="78"/>
      <c r="X19" s="78"/>
    </row>
    <row r="20" spans="1:24" x14ac:dyDescent="0.25">
      <c r="A20" s="78"/>
      <c r="B20" s="78"/>
      <c r="C20" s="78"/>
      <c r="D20" s="78"/>
      <c r="E20" s="78"/>
      <c r="F20" s="78"/>
      <c r="G20" s="78"/>
      <c r="H20" s="78"/>
      <c r="I20" s="78"/>
      <c r="J20" s="78"/>
      <c r="K20" s="78"/>
      <c r="L20" s="78"/>
      <c r="M20" s="78"/>
      <c r="N20" s="78"/>
      <c r="O20" s="78"/>
      <c r="P20" s="78"/>
      <c r="Q20" s="78"/>
      <c r="R20" s="78"/>
      <c r="S20" s="78"/>
      <c r="T20" s="78"/>
      <c r="U20" s="78"/>
      <c r="V20" s="78"/>
      <c r="W20" s="78"/>
      <c r="X20" s="78"/>
    </row>
    <row r="21" spans="1:24" x14ac:dyDescent="0.25">
      <c r="A21" s="78"/>
      <c r="B21" s="78"/>
      <c r="C21" s="78"/>
      <c r="D21" s="78"/>
      <c r="E21" s="78"/>
      <c r="F21" s="78"/>
      <c r="G21" s="78"/>
      <c r="H21" s="78"/>
      <c r="I21" s="78"/>
      <c r="J21" s="78"/>
      <c r="K21" s="78"/>
      <c r="L21" s="78"/>
      <c r="M21" s="78"/>
      <c r="N21" s="78"/>
      <c r="O21" s="78"/>
      <c r="P21" s="78"/>
      <c r="Q21" s="78"/>
      <c r="R21" s="78"/>
      <c r="S21" s="78"/>
      <c r="T21" s="78"/>
      <c r="U21" s="78"/>
      <c r="V21" s="78"/>
      <c r="W21" s="78"/>
      <c r="X21" s="78"/>
    </row>
    <row r="22" spans="1:24" x14ac:dyDescent="0.25">
      <c r="A22" s="78"/>
      <c r="B22" s="78"/>
      <c r="C22" s="78"/>
      <c r="D22" s="78"/>
      <c r="E22" s="78"/>
      <c r="F22" s="78"/>
      <c r="G22" s="78"/>
      <c r="H22" s="78"/>
      <c r="I22" s="78"/>
      <c r="J22" s="78"/>
      <c r="K22" s="78"/>
      <c r="L22" s="78"/>
      <c r="M22" s="78"/>
      <c r="N22" s="78"/>
      <c r="O22" s="78"/>
      <c r="P22" s="78"/>
      <c r="Q22" s="78"/>
      <c r="R22" s="78"/>
      <c r="S22" s="78"/>
      <c r="T22" s="78"/>
      <c r="U22" s="78"/>
      <c r="V22" s="78"/>
      <c r="W22" s="78"/>
      <c r="X22" s="78"/>
    </row>
    <row r="23" spans="1:24" x14ac:dyDescent="0.25">
      <c r="A23" s="78"/>
      <c r="B23" s="78"/>
      <c r="C23" s="78"/>
      <c r="D23" s="78"/>
      <c r="E23" s="78"/>
      <c r="F23" s="78"/>
      <c r="G23" s="78"/>
      <c r="H23" s="78"/>
      <c r="I23" s="78"/>
      <c r="J23" s="78"/>
      <c r="K23" s="78"/>
      <c r="L23" s="78"/>
      <c r="M23" s="78"/>
      <c r="N23" s="78"/>
      <c r="O23" s="78"/>
      <c r="P23" s="78"/>
      <c r="Q23" s="78"/>
      <c r="R23" s="78"/>
      <c r="S23" s="78"/>
      <c r="T23" s="78"/>
      <c r="U23" s="78"/>
      <c r="V23" s="78"/>
      <c r="W23" s="78"/>
      <c r="X23" s="78"/>
    </row>
    <row r="24" spans="1:24" x14ac:dyDescent="0.25">
      <c r="A24" s="78"/>
      <c r="B24" s="78"/>
      <c r="C24" s="78"/>
      <c r="D24" s="78"/>
      <c r="E24" s="78"/>
      <c r="F24" s="78"/>
      <c r="G24" s="78"/>
      <c r="H24" s="78"/>
      <c r="I24" s="78"/>
      <c r="J24" s="78"/>
      <c r="K24" s="78"/>
      <c r="L24" s="78"/>
      <c r="M24" s="78"/>
      <c r="N24" s="78"/>
      <c r="O24" s="78"/>
      <c r="P24" s="78"/>
      <c r="Q24" s="78"/>
      <c r="R24" s="78"/>
      <c r="S24" s="78"/>
      <c r="T24" s="78"/>
      <c r="U24" s="78"/>
      <c r="V24" s="78"/>
      <c r="W24" s="78"/>
      <c r="X24" s="78"/>
    </row>
    <row r="25" spans="1:24" x14ac:dyDescent="0.25">
      <c r="A25" s="78"/>
      <c r="B25" s="78"/>
      <c r="C25" s="78"/>
      <c r="D25" s="78"/>
      <c r="E25" s="78"/>
      <c r="F25" s="78"/>
      <c r="G25" s="78"/>
      <c r="H25" s="78"/>
      <c r="I25" s="78"/>
      <c r="J25" s="78"/>
      <c r="K25" s="78"/>
      <c r="L25" s="78"/>
      <c r="M25" s="78"/>
      <c r="N25" s="78"/>
      <c r="O25" s="78"/>
      <c r="P25" s="78"/>
      <c r="Q25" s="78"/>
      <c r="R25" s="78"/>
      <c r="S25" s="78"/>
      <c r="T25" s="78"/>
      <c r="U25" s="78"/>
      <c r="V25" s="78"/>
      <c r="W25" s="78"/>
      <c r="X25" s="78"/>
    </row>
    <row r="26" spans="1:24" x14ac:dyDescent="0.25">
      <c r="A26" s="78"/>
      <c r="B26" s="78"/>
      <c r="C26" s="78"/>
      <c r="D26" s="78"/>
      <c r="E26" s="78"/>
      <c r="F26" s="78"/>
      <c r="G26" s="78"/>
      <c r="H26" s="78"/>
      <c r="I26" s="78"/>
      <c r="J26" s="78"/>
      <c r="K26" s="78"/>
      <c r="L26" s="78"/>
      <c r="M26" s="78"/>
      <c r="N26" s="78"/>
      <c r="O26" s="78"/>
      <c r="P26" s="78"/>
      <c r="Q26" s="78"/>
      <c r="R26" s="78"/>
      <c r="S26" s="78"/>
      <c r="T26" s="78"/>
      <c r="U26" s="78"/>
      <c r="V26" s="78"/>
      <c r="W26" s="78"/>
      <c r="X26" s="78"/>
    </row>
    <row r="27" spans="1:24" x14ac:dyDescent="0.25">
      <c r="A27" s="78"/>
      <c r="B27" s="78"/>
      <c r="C27" s="78"/>
      <c r="D27" s="78"/>
      <c r="E27" s="78"/>
      <c r="F27" s="78"/>
      <c r="G27" s="78"/>
      <c r="H27" s="78"/>
      <c r="I27" s="78"/>
      <c r="J27" s="78"/>
      <c r="K27" s="78"/>
      <c r="L27" s="78"/>
      <c r="M27" s="78"/>
      <c r="N27" s="78"/>
      <c r="O27" s="78"/>
      <c r="P27" s="78"/>
      <c r="Q27" s="78"/>
      <c r="R27" s="78"/>
      <c r="S27" s="78"/>
      <c r="T27" s="78"/>
      <c r="U27" s="78"/>
      <c r="V27" s="78"/>
      <c r="W27" s="78"/>
      <c r="X27" s="78"/>
    </row>
    <row r="28" spans="1:24" x14ac:dyDescent="0.25">
      <c r="A28" s="78"/>
      <c r="B28" s="78"/>
      <c r="C28" s="78"/>
      <c r="D28" s="78"/>
      <c r="E28" s="78"/>
      <c r="F28" s="78"/>
      <c r="G28" s="78"/>
      <c r="H28" s="78"/>
      <c r="I28" s="78"/>
      <c r="J28" s="78"/>
      <c r="K28" s="78"/>
      <c r="L28" s="78"/>
      <c r="M28" s="78"/>
      <c r="N28" s="78"/>
      <c r="O28" s="78"/>
      <c r="P28" s="78"/>
      <c r="Q28" s="78"/>
      <c r="R28" s="78"/>
      <c r="S28" s="78"/>
      <c r="T28" s="78"/>
      <c r="U28" s="78"/>
      <c r="V28" s="78"/>
      <c r="W28" s="78"/>
      <c r="X28" s="78"/>
    </row>
    <row r="29" spans="1:24" x14ac:dyDescent="0.25">
      <c r="A29" s="78"/>
      <c r="B29" s="78"/>
      <c r="C29" s="78"/>
      <c r="D29" s="78"/>
      <c r="E29" s="78"/>
      <c r="F29" s="78"/>
      <c r="G29" s="78"/>
      <c r="H29" s="78"/>
      <c r="I29" s="78"/>
      <c r="J29" s="78"/>
      <c r="K29" s="78"/>
      <c r="L29" s="78"/>
      <c r="M29" s="78"/>
      <c r="N29" s="78"/>
      <c r="O29" s="78"/>
      <c r="P29" s="78"/>
      <c r="Q29" s="78"/>
      <c r="R29" s="78"/>
      <c r="S29" s="78"/>
      <c r="T29" s="78"/>
      <c r="U29" s="78"/>
      <c r="V29" s="78"/>
      <c r="W29" s="78"/>
      <c r="X29" s="78"/>
    </row>
    <row r="30" spans="1:24" x14ac:dyDescent="0.25">
      <c r="A30" s="78"/>
      <c r="B30" s="78"/>
      <c r="C30" s="78"/>
      <c r="D30" s="78"/>
      <c r="E30" s="78"/>
      <c r="F30" s="78"/>
      <c r="G30" s="78"/>
      <c r="H30" s="78"/>
      <c r="I30" s="78"/>
      <c r="J30" s="78"/>
      <c r="K30" s="78"/>
      <c r="L30" s="78"/>
      <c r="M30" s="78"/>
      <c r="N30" s="78"/>
      <c r="O30" s="78"/>
      <c r="P30" s="78"/>
      <c r="Q30" s="78"/>
      <c r="R30" s="78"/>
      <c r="S30" s="78"/>
      <c r="T30" s="78"/>
      <c r="U30" s="78"/>
      <c r="V30" s="78"/>
      <c r="W30" s="78"/>
      <c r="X30" s="78"/>
    </row>
    <row r="31" spans="1:24" x14ac:dyDescent="0.25">
      <c r="A31" s="78"/>
      <c r="B31" s="78"/>
      <c r="C31" s="78"/>
      <c r="D31" s="78"/>
      <c r="E31" s="78"/>
      <c r="F31" s="78"/>
      <c r="G31" s="78"/>
      <c r="H31" s="78"/>
      <c r="I31" s="78"/>
      <c r="J31" s="78"/>
      <c r="K31" s="78"/>
      <c r="L31" s="78"/>
      <c r="M31" s="78"/>
      <c r="N31" s="78"/>
      <c r="O31" s="78"/>
      <c r="P31" s="78"/>
      <c r="Q31" s="78"/>
      <c r="R31" s="78"/>
      <c r="S31" s="78"/>
      <c r="T31" s="78"/>
      <c r="U31" s="78"/>
      <c r="V31" s="78"/>
      <c r="W31" s="78"/>
      <c r="X31" s="78"/>
    </row>
    <row r="32" spans="1:24" x14ac:dyDescent="0.25">
      <c r="A32" s="78"/>
      <c r="B32" s="78"/>
      <c r="C32" s="78"/>
      <c r="D32" s="78"/>
      <c r="E32" s="78"/>
      <c r="F32" s="78"/>
      <c r="G32" s="78"/>
      <c r="H32" s="78"/>
      <c r="I32" s="78"/>
      <c r="J32" s="78"/>
      <c r="K32" s="78"/>
      <c r="L32" s="78"/>
      <c r="M32" s="78"/>
      <c r="N32" s="78"/>
      <c r="O32" s="78"/>
      <c r="P32" s="78"/>
      <c r="Q32" s="78"/>
      <c r="R32" s="78"/>
      <c r="S32" s="78"/>
      <c r="T32" s="78"/>
      <c r="U32" s="78"/>
      <c r="V32" s="78"/>
      <c r="W32" s="78"/>
      <c r="X32" s="78"/>
    </row>
    <row r="33" spans="1:24" x14ac:dyDescent="0.25">
      <c r="A33" s="78"/>
      <c r="B33" s="78"/>
      <c r="C33" s="78"/>
      <c r="D33" s="78"/>
      <c r="E33" s="78"/>
      <c r="F33" s="78"/>
      <c r="G33" s="78"/>
      <c r="H33" s="78"/>
      <c r="I33" s="78"/>
      <c r="J33" s="78"/>
      <c r="K33" s="78"/>
      <c r="L33" s="78"/>
      <c r="M33" s="78"/>
      <c r="N33" s="78"/>
      <c r="O33" s="78"/>
      <c r="P33" s="78"/>
      <c r="Q33" s="78"/>
      <c r="R33" s="78"/>
      <c r="S33" s="78"/>
      <c r="T33" s="78"/>
      <c r="U33" s="78"/>
      <c r="V33" s="78"/>
      <c r="W33" s="78"/>
      <c r="X33" s="78"/>
    </row>
    <row r="34" spans="1:24" x14ac:dyDescent="0.25">
      <c r="A34" s="78"/>
      <c r="B34" s="78"/>
      <c r="C34" s="78"/>
      <c r="D34" s="78"/>
      <c r="E34" s="78"/>
      <c r="F34" s="78"/>
      <c r="G34" s="78"/>
      <c r="H34" s="78"/>
      <c r="I34" s="78"/>
      <c r="J34" s="78"/>
      <c r="K34" s="78"/>
      <c r="L34" s="78"/>
      <c r="M34" s="78"/>
      <c r="N34" s="78"/>
      <c r="O34" s="78"/>
      <c r="P34" s="78"/>
      <c r="Q34" s="78"/>
      <c r="R34" s="78"/>
      <c r="S34" s="78"/>
      <c r="T34" s="78"/>
      <c r="U34" s="78"/>
      <c r="V34" s="78"/>
      <c r="W34" s="78"/>
      <c r="X34" s="78"/>
    </row>
    <row r="35" spans="1:24" x14ac:dyDescent="0.25">
      <c r="A35" s="78"/>
      <c r="B35" s="78"/>
      <c r="C35" s="78"/>
      <c r="D35" s="78"/>
      <c r="E35" s="78"/>
      <c r="F35" s="78"/>
      <c r="G35" s="78"/>
      <c r="H35" s="78"/>
      <c r="I35" s="78"/>
      <c r="J35" s="78"/>
      <c r="K35" s="78"/>
      <c r="L35" s="78"/>
      <c r="M35" s="78"/>
      <c r="N35" s="78"/>
      <c r="O35" s="78"/>
      <c r="P35" s="78"/>
      <c r="Q35" s="78"/>
      <c r="R35" s="78"/>
      <c r="S35" s="78"/>
      <c r="T35" s="78"/>
      <c r="U35" s="78"/>
      <c r="V35" s="78"/>
      <c r="W35" s="78"/>
      <c r="X35" s="78"/>
    </row>
    <row r="36" spans="1:24" x14ac:dyDescent="0.25">
      <c r="A36" s="78"/>
      <c r="B36" s="78"/>
      <c r="C36" s="78"/>
      <c r="D36" s="78"/>
      <c r="E36" s="78"/>
      <c r="F36" s="78"/>
      <c r="G36" s="78"/>
      <c r="H36" s="78"/>
      <c r="I36" s="78"/>
      <c r="J36" s="78"/>
      <c r="K36" s="78"/>
      <c r="L36" s="78"/>
      <c r="M36" s="78"/>
      <c r="N36" s="78"/>
      <c r="O36" s="78"/>
      <c r="P36" s="78"/>
      <c r="Q36" s="78"/>
      <c r="R36" s="78"/>
      <c r="S36" s="78"/>
      <c r="T36" s="78"/>
      <c r="U36" s="78"/>
      <c r="V36" s="78"/>
      <c r="W36" s="78"/>
      <c r="X36" s="78"/>
    </row>
    <row r="37" spans="1:24" x14ac:dyDescent="0.25">
      <c r="A37" s="78"/>
      <c r="B37" s="78"/>
      <c r="C37" s="78"/>
      <c r="D37" s="78"/>
      <c r="E37" s="78"/>
      <c r="F37" s="78"/>
      <c r="G37" s="78"/>
      <c r="H37" s="78"/>
      <c r="I37" s="78"/>
      <c r="J37" s="78"/>
      <c r="K37" s="78"/>
      <c r="L37" s="78"/>
      <c r="M37" s="78"/>
      <c r="N37" s="78"/>
      <c r="O37" s="78"/>
      <c r="P37" s="78"/>
      <c r="Q37" s="78"/>
      <c r="R37" s="78"/>
      <c r="S37" s="78"/>
      <c r="T37" s="78"/>
      <c r="U37" s="78"/>
      <c r="V37" s="78"/>
      <c r="W37" s="78"/>
      <c r="X37" s="78"/>
    </row>
    <row r="38" spans="1:24" x14ac:dyDescent="0.25">
      <c r="A38" s="78"/>
      <c r="B38" s="78"/>
      <c r="C38" s="78"/>
      <c r="D38" s="78"/>
      <c r="E38" s="78"/>
      <c r="F38" s="78"/>
      <c r="G38" s="78"/>
      <c r="H38" s="78"/>
      <c r="I38" s="78"/>
      <c r="J38" s="78"/>
      <c r="K38" s="78"/>
      <c r="L38" s="78"/>
      <c r="M38" s="78"/>
      <c r="N38" s="78"/>
      <c r="O38" s="78"/>
      <c r="P38" s="78"/>
      <c r="Q38" s="78"/>
      <c r="R38" s="78"/>
      <c r="S38" s="78"/>
      <c r="T38" s="78"/>
      <c r="U38" s="78"/>
      <c r="V38" s="78"/>
      <c r="W38" s="78"/>
      <c r="X38" s="78"/>
    </row>
    <row r="39" spans="1:24" x14ac:dyDescent="0.25">
      <c r="A39" s="78"/>
      <c r="B39" s="78"/>
      <c r="C39" s="78"/>
      <c r="D39" s="78"/>
      <c r="E39" s="78"/>
      <c r="F39" s="78"/>
      <c r="G39" s="78"/>
      <c r="H39" s="78"/>
      <c r="I39" s="78"/>
      <c r="J39" s="78"/>
      <c r="K39" s="78"/>
      <c r="L39" s="78"/>
      <c r="M39" s="78"/>
      <c r="N39" s="78"/>
      <c r="O39" s="78"/>
      <c r="P39" s="78"/>
      <c r="Q39" s="78"/>
      <c r="R39" s="78"/>
      <c r="S39" s="78"/>
      <c r="T39" s="78"/>
      <c r="U39" s="78"/>
      <c r="V39" s="78"/>
      <c r="W39" s="78"/>
      <c r="X39" s="78"/>
    </row>
    <row r="40" spans="1:24" x14ac:dyDescent="0.25">
      <c r="A40" s="78"/>
      <c r="B40" s="78"/>
      <c r="C40" s="78"/>
      <c r="D40" s="78"/>
      <c r="E40" s="78"/>
      <c r="F40" s="78"/>
      <c r="G40" s="78"/>
      <c r="H40" s="78"/>
      <c r="I40" s="78"/>
      <c r="J40" s="78"/>
      <c r="K40" s="78"/>
      <c r="L40" s="78"/>
      <c r="M40" s="78"/>
      <c r="N40" s="78"/>
      <c r="O40" s="78"/>
      <c r="P40" s="78"/>
      <c r="Q40" s="78"/>
      <c r="R40" s="78"/>
      <c r="S40" s="78"/>
      <c r="T40" s="78"/>
      <c r="U40" s="78"/>
      <c r="V40" s="78"/>
      <c r="W40" s="78"/>
      <c r="X40" s="78"/>
    </row>
    <row r="41" spans="1:24" x14ac:dyDescent="0.25">
      <c r="A41" s="78"/>
      <c r="B41" s="78"/>
      <c r="C41" s="78"/>
      <c r="D41" s="78"/>
      <c r="E41" s="78"/>
      <c r="F41" s="78"/>
      <c r="G41" s="78"/>
      <c r="H41" s="78"/>
      <c r="I41" s="78"/>
      <c r="J41" s="78"/>
      <c r="K41" s="78"/>
      <c r="L41" s="78"/>
      <c r="M41" s="78"/>
      <c r="N41" s="78"/>
      <c r="O41" s="78"/>
      <c r="P41" s="78"/>
      <c r="Q41" s="78"/>
      <c r="R41" s="78"/>
      <c r="S41" s="78"/>
      <c r="T41" s="78"/>
      <c r="U41" s="78"/>
      <c r="V41" s="78"/>
      <c r="W41" s="78"/>
      <c r="X41" s="78"/>
    </row>
    <row r="42" spans="1:24" x14ac:dyDescent="0.25">
      <c r="A42" s="78"/>
      <c r="B42" s="78"/>
      <c r="C42" s="78"/>
      <c r="D42" s="78"/>
      <c r="E42" s="78"/>
      <c r="F42" s="78"/>
      <c r="G42" s="78"/>
      <c r="H42" s="78"/>
      <c r="I42" s="78"/>
      <c r="J42" s="78"/>
      <c r="K42" s="78"/>
      <c r="L42" s="78"/>
      <c r="M42" s="78"/>
      <c r="N42" s="78"/>
      <c r="O42" s="78"/>
      <c r="P42" s="78"/>
      <c r="Q42" s="78"/>
      <c r="R42" s="78"/>
      <c r="S42" s="78"/>
      <c r="T42" s="78"/>
      <c r="U42" s="78"/>
      <c r="V42" s="78"/>
      <c r="W42" s="78"/>
      <c r="X42" s="78"/>
    </row>
    <row r="43" spans="1:24" x14ac:dyDescent="0.25">
      <c r="A43" s="78"/>
      <c r="B43" s="78"/>
      <c r="C43" s="78"/>
      <c r="D43" s="78"/>
      <c r="E43" s="78"/>
      <c r="F43" s="78"/>
      <c r="G43" s="78"/>
      <c r="H43" s="78"/>
      <c r="I43" s="78"/>
      <c r="J43" s="78"/>
      <c r="K43" s="78"/>
      <c r="L43" s="78"/>
      <c r="M43" s="78"/>
      <c r="N43" s="78"/>
      <c r="O43" s="78"/>
      <c r="P43" s="78"/>
      <c r="Q43" s="78"/>
      <c r="R43" s="78"/>
      <c r="S43" s="78"/>
      <c r="T43" s="78"/>
      <c r="U43" s="78"/>
      <c r="V43" s="78"/>
      <c r="W43" s="78"/>
      <c r="X43" s="78"/>
    </row>
    <row r="44" spans="1:24" x14ac:dyDescent="0.25">
      <c r="A44" s="78"/>
      <c r="B44" s="78"/>
      <c r="C44" s="78"/>
      <c r="D44" s="78"/>
      <c r="E44" s="78"/>
      <c r="F44" s="78"/>
      <c r="G44" s="78"/>
      <c r="H44" s="78"/>
      <c r="I44" s="78"/>
      <c r="J44" s="78"/>
      <c r="K44" s="78"/>
      <c r="L44" s="78"/>
      <c r="M44" s="78"/>
      <c r="N44" s="78"/>
      <c r="O44" s="78"/>
      <c r="P44" s="78"/>
      <c r="Q44" s="78"/>
      <c r="R44" s="78"/>
      <c r="S44" s="78"/>
      <c r="T44" s="78"/>
      <c r="U44" s="78"/>
      <c r="V44" s="78"/>
      <c r="W44" s="78"/>
      <c r="X44" s="78"/>
    </row>
    <row r="45" spans="1:24" x14ac:dyDescent="0.25">
      <c r="A45" s="78"/>
      <c r="B45" s="78"/>
      <c r="C45" s="78"/>
      <c r="D45" s="78"/>
      <c r="E45" s="78"/>
      <c r="F45" s="78"/>
      <c r="G45" s="78"/>
      <c r="H45" s="78"/>
      <c r="I45" s="78"/>
      <c r="J45" s="78"/>
      <c r="K45" s="78"/>
      <c r="L45" s="78"/>
      <c r="M45" s="78"/>
      <c r="N45" s="78"/>
      <c r="O45" s="78"/>
      <c r="P45" s="78"/>
      <c r="Q45" s="78"/>
      <c r="R45" s="78"/>
      <c r="S45" s="78"/>
      <c r="T45" s="78"/>
      <c r="U45" s="78"/>
      <c r="V45" s="78"/>
      <c r="W45" s="78"/>
      <c r="X45" s="7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7DBED-6478-49CB-B2D7-12D2C7CAAED0}">
  <sheetPr codeName="Hoja4">
    <tabColor rgb="FFFFFF00"/>
  </sheetPr>
  <dimension ref="A1:H18"/>
  <sheetViews>
    <sheetView showGridLines="0" showRowColHeaders="0" workbookViewId="0">
      <selection activeCell="B1" sqref="B1"/>
    </sheetView>
  </sheetViews>
  <sheetFormatPr baseColWidth="10" defaultRowHeight="15" x14ac:dyDescent="0.25"/>
  <cols>
    <col min="1" max="1" width="4.28515625" bestFit="1" customWidth="1"/>
    <col min="2" max="2" width="183.85546875" customWidth="1"/>
  </cols>
  <sheetData>
    <row r="1" spans="1:2" ht="33.75" x14ac:dyDescent="0.5">
      <c r="B1" s="67" t="s">
        <v>48</v>
      </c>
    </row>
    <row r="3" spans="1:2" ht="18.75" x14ac:dyDescent="0.25">
      <c r="A3" s="68" t="s">
        <v>43</v>
      </c>
      <c r="B3" s="70" t="s">
        <v>60</v>
      </c>
    </row>
    <row r="4" spans="1:2" ht="119.25" x14ac:dyDescent="0.25">
      <c r="A4" s="63" t="s">
        <v>44</v>
      </c>
      <c r="B4" s="65" t="s">
        <v>113</v>
      </c>
    </row>
    <row r="5" spans="1:2" ht="60" x14ac:dyDescent="0.25">
      <c r="A5" s="63" t="s">
        <v>45</v>
      </c>
      <c r="B5" s="65" t="s">
        <v>88</v>
      </c>
    </row>
    <row r="6" spans="1:2" ht="83.25" customHeight="1" x14ac:dyDescent="0.25">
      <c r="A6" s="63" t="s">
        <v>46</v>
      </c>
      <c r="B6" s="65" t="s">
        <v>99</v>
      </c>
    </row>
    <row r="7" spans="1:2" ht="63" customHeight="1" x14ac:dyDescent="0.25">
      <c r="A7" s="63" t="s">
        <v>47</v>
      </c>
      <c r="B7" s="65" t="s">
        <v>93</v>
      </c>
    </row>
    <row r="8" spans="1:2" ht="243" customHeight="1" x14ac:dyDescent="0.25">
      <c r="A8" s="63"/>
      <c r="B8" s="66" t="s">
        <v>91</v>
      </c>
    </row>
    <row r="9" spans="1:2" ht="93.75" x14ac:dyDescent="0.25">
      <c r="A9" s="63" t="s">
        <v>49</v>
      </c>
      <c r="B9" s="65" t="s">
        <v>51</v>
      </c>
    </row>
    <row r="10" spans="1:2" ht="78.75" x14ac:dyDescent="0.25">
      <c r="A10" s="63" t="s">
        <v>50</v>
      </c>
      <c r="B10" s="65" t="s">
        <v>155</v>
      </c>
    </row>
    <row r="11" spans="1:2" ht="48.2" customHeight="1" x14ac:dyDescent="0.25">
      <c r="A11" s="63" t="s">
        <v>52</v>
      </c>
      <c r="B11" s="65" t="s">
        <v>53</v>
      </c>
    </row>
    <row r="12" spans="1:2" ht="63.75" x14ac:dyDescent="0.25">
      <c r="A12" s="63" t="s">
        <v>55</v>
      </c>
      <c r="B12" s="65" t="s">
        <v>54</v>
      </c>
    </row>
    <row r="13" spans="1:2" ht="93.2" customHeight="1" x14ac:dyDescent="0.25">
      <c r="A13" s="63" t="s">
        <v>57</v>
      </c>
      <c r="B13" s="65" t="s">
        <v>94</v>
      </c>
    </row>
    <row r="14" spans="1:2" ht="48.2" customHeight="1" x14ac:dyDescent="0.25">
      <c r="A14" s="63" t="s">
        <v>92</v>
      </c>
      <c r="B14" s="65" t="s">
        <v>96</v>
      </c>
    </row>
    <row r="15" spans="1:2" ht="77.25" customHeight="1" x14ac:dyDescent="0.25">
      <c r="A15" s="63" t="s">
        <v>92</v>
      </c>
      <c r="B15" s="65" t="s">
        <v>97</v>
      </c>
    </row>
    <row r="16" spans="1:2" x14ac:dyDescent="0.25">
      <c r="A16" s="63" t="s">
        <v>95</v>
      </c>
      <c r="B16" s="71" t="s">
        <v>58</v>
      </c>
    </row>
    <row r="17" spans="2:8" x14ac:dyDescent="0.25">
      <c r="H17" t="s">
        <v>56</v>
      </c>
    </row>
    <row r="18" spans="2:8" x14ac:dyDescent="0.25">
      <c r="B18" s="72" t="s">
        <v>59</v>
      </c>
    </row>
  </sheetData>
  <hyperlinks>
    <hyperlink ref="B16" r:id="rId1" display="https://www.crea.org.ar/6-2-ganaderia/" xr:uid="{B61DFDF0-DF23-4140-8793-070E056D195D}"/>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8FF2C-3795-4C78-8A18-A674A94EBF84}">
  <sheetPr codeName="Hoja1">
    <tabColor rgb="FFFF0000"/>
  </sheetPr>
  <dimension ref="A1:AQ128"/>
  <sheetViews>
    <sheetView showGridLines="0" showRowColHeaders="0" tabSelected="1" zoomScale="70" zoomScaleNormal="70" workbookViewId="0">
      <pane ySplit="2" topLeftCell="A3" activePane="bottomLeft" state="frozen"/>
      <selection pane="bottomLeft" activeCell="A33" sqref="A33:F35"/>
    </sheetView>
  </sheetViews>
  <sheetFormatPr baseColWidth="10" defaultColWidth="11.42578125" defaultRowHeight="12.75" x14ac:dyDescent="0.2"/>
  <cols>
    <col min="1" max="1" width="20.140625" style="1" bestFit="1" customWidth="1"/>
    <col min="2" max="2" width="13.42578125" style="1" bestFit="1" customWidth="1"/>
    <col min="3" max="3" width="10.7109375" style="1" customWidth="1"/>
    <col min="4" max="4" width="11.7109375" style="1" customWidth="1"/>
    <col min="5" max="5" width="14.42578125" style="1" bestFit="1" customWidth="1"/>
    <col min="6" max="6" width="10.7109375" style="1" customWidth="1"/>
    <col min="7" max="7" width="11.5703125" style="1" bestFit="1" customWidth="1"/>
    <col min="8" max="8" width="19.28515625" style="1" bestFit="1" customWidth="1"/>
    <col min="9" max="9" width="20.140625" style="1" bestFit="1" customWidth="1"/>
    <col min="10" max="10" width="13.28515625" style="1" bestFit="1" customWidth="1"/>
    <col min="11" max="11" width="10.7109375" style="1" customWidth="1"/>
    <col min="12" max="13" width="22.5703125" style="1" bestFit="1" customWidth="1"/>
    <col min="14" max="14" width="16.7109375" style="1" customWidth="1"/>
    <col min="15" max="15" width="20.7109375" style="1" bestFit="1" customWidth="1"/>
    <col min="16" max="16" width="19.7109375" style="1" bestFit="1" customWidth="1"/>
    <col min="17" max="17" width="13.28515625" style="1" bestFit="1" customWidth="1"/>
    <col min="18" max="18" width="10.7109375" style="1" customWidth="1"/>
    <col min="19" max="20" width="22.5703125" style="1" bestFit="1" customWidth="1"/>
    <col min="21" max="21" width="17.42578125" style="1" bestFit="1" customWidth="1"/>
    <col min="22" max="22" width="11" style="1" customWidth="1"/>
    <col min="23" max="23" width="11.85546875" style="1" customWidth="1"/>
    <col min="24" max="24" width="20.28515625" style="1" bestFit="1" customWidth="1"/>
    <col min="25" max="25" width="20.5703125" style="1" customWidth="1"/>
    <col min="26" max="26" width="13.85546875" style="1" bestFit="1" customWidth="1"/>
    <col min="27" max="27" width="12.7109375" style="1" customWidth="1"/>
    <col min="28" max="28" width="33.7109375" style="1" bestFit="1" customWidth="1"/>
    <col min="29" max="29" width="11.85546875" style="1" customWidth="1"/>
    <col min="30" max="30" width="11.85546875" style="1" hidden="1" customWidth="1"/>
    <col min="31" max="31" width="11.85546875" style="1" customWidth="1"/>
    <col min="32" max="32" width="14.42578125" style="1" bestFit="1" customWidth="1"/>
    <col min="33" max="33" width="13.85546875" style="1" customWidth="1"/>
    <col min="34" max="34" width="14.7109375" style="1" customWidth="1"/>
    <col min="35" max="35" width="19.28515625" style="1" bestFit="1" customWidth="1"/>
    <col min="36" max="36" width="20.7109375" style="1" customWidth="1"/>
    <col min="37" max="37" width="14.5703125" style="1" bestFit="1" customWidth="1"/>
    <col min="38" max="38" width="12.7109375" style="1" bestFit="1" customWidth="1"/>
    <col min="39" max="39" width="13.140625" style="1" bestFit="1" customWidth="1"/>
    <col min="40" max="40" width="18" style="1" bestFit="1" customWidth="1"/>
    <col min="41" max="41" width="12.85546875" style="1" bestFit="1" customWidth="1"/>
    <col min="42" max="42" width="14.5703125" style="1" bestFit="1" customWidth="1"/>
    <col min="43" max="50" width="11.42578125" style="1"/>
    <col min="51" max="51" width="14.42578125" style="1" bestFit="1" customWidth="1"/>
    <col min="52" max="16384" width="11.42578125" style="1"/>
  </cols>
  <sheetData>
    <row r="1" spans="1:43" ht="36" customHeight="1" thickBot="1" x14ac:dyDescent="0.25">
      <c r="A1" s="240" t="str">
        <f>IF(N19=0,"Stock al inicio del período analizado","Stock al inicio del período analizado (al "&amp;DAY(N19)&amp;"/"&amp;MONTH(N19)&amp;"/"&amp;YEAR(N19)&amp;")")</f>
        <v>Stock al inicio del período analizado (al 1/7/2023)</v>
      </c>
      <c r="B1" s="241"/>
      <c r="C1" s="241"/>
      <c r="D1" s="241"/>
      <c r="E1" s="241"/>
      <c r="F1" s="241"/>
      <c r="G1" s="241"/>
      <c r="H1" s="241"/>
      <c r="I1" s="242"/>
      <c r="J1" s="237" t="str">
        <f>IF(N19=0,"Stock Contable (por movimientos de altas y bajas)","Stock Contable (por movimientos de altas y bajas) (al "&amp;DAY(P19)&amp;"/"&amp;MONTH(P19)&amp;"/"&amp;YEAR(P19)&amp;")")</f>
        <v>Stock Contable (por movimientos de altas y bajas) (al 30/6/2024)</v>
      </c>
      <c r="K1" s="238"/>
      <c r="L1" s="238"/>
      <c r="M1" s="238"/>
      <c r="N1" s="238"/>
      <c r="O1" s="238"/>
      <c r="P1" s="239"/>
      <c r="Q1" s="300" t="s">
        <v>80</v>
      </c>
      <c r="R1" s="301"/>
      <c r="S1" s="302"/>
      <c r="T1" s="303" t="s">
        <v>19</v>
      </c>
      <c r="U1" s="304"/>
      <c r="W1" s="5" t="str">
        <f>IF(W3="fecha ???","Intentario de inicio","Inventario de inicio (al "&amp;DAY(W3)&amp;"/"&amp;MONTH(W3)&amp;"/"&amp;YEAR(W3)&amp;")")</f>
        <v>Intentario de inicio</v>
      </c>
      <c r="X1" s="6"/>
      <c r="Y1" s="6"/>
      <c r="Z1" s="6"/>
      <c r="AA1" s="6"/>
      <c r="AB1" s="6"/>
      <c r="AC1" s="6"/>
      <c r="AD1" s="6"/>
      <c r="AE1" s="255" t="s">
        <v>125</v>
      </c>
      <c r="AF1" s="255"/>
      <c r="AG1" s="255"/>
      <c r="AH1" s="255"/>
      <c r="AI1" s="255"/>
      <c r="AJ1" s="6"/>
    </row>
    <row r="2" spans="1:43" ht="41.25" customHeight="1" thickBot="1" x14ac:dyDescent="0.25">
      <c r="A2" s="3" t="s">
        <v>7</v>
      </c>
      <c r="B2" s="3" t="s">
        <v>98</v>
      </c>
      <c r="C2" s="13" t="s">
        <v>83</v>
      </c>
      <c r="D2" s="13" t="s">
        <v>84</v>
      </c>
      <c r="E2" s="13" t="s">
        <v>149</v>
      </c>
      <c r="F2" s="13" t="s">
        <v>85</v>
      </c>
      <c r="G2" s="13" t="s">
        <v>86</v>
      </c>
      <c r="H2" s="13" t="s">
        <v>159</v>
      </c>
      <c r="I2" s="178" t="s">
        <v>134</v>
      </c>
      <c r="J2" s="111" t="s">
        <v>72</v>
      </c>
      <c r="K2" s="142" t="s">
        <v>73</v>
      </c>
      <c r="L2" s="142" t="s">
        <v>74</v>
      </c>
      <c r="M2" s="112" t="s">
        <v>75</v>
      </c>
      <c r="N2" s="112" t="s">
        <v>76</v>
      </c>
      <c r="O2" s="112" t="s">
        <v>160</v>
      </c>
      <c r="P2" s="177" t="s">
        <v>133</v>
      </c>
      <c r="Q2" s="143" t="s">
        <v>77</v>
      </c>
      <c r="R2" s="143" t="s">
        <v>78</v>
      </c>
      <c r="S2" s="13" t="s">
        <v>79</v>
      </c>
      <c r="T2" s="14" t="s">
        <v>18</v>
      </c>
      <c r="U2" s="76" t="s">
        <v>22</v>
      </c>
      <c r="V2" s="204" t="s">
        <v>63</v>
      </c>
      <c r="W2" s="203" t="s">
        <v>4</v>
      </c>
      <c r="X2" s="79" t="s">
        <v>15</v>
      </c>
      <c r="Y2" s="79" t="s">
        <v>64</v>
      </c>
      <c r="Z2" s="79" t="s">
        <v>65</v>
      </c>
      <c r="AA2" s="114" t="s">
        <v>102</v>
      </c>
      <c r="AB2" s="79" t="s">
        <v>16</v>
      </c>
      <c r="AC2" s="79" t="s">
        <v>34</v>
      </c>
      <c r="AD2" s="79" t="s">
        <v>5</v>
      </c>
      <c r="AE2" s="79" t="s">
        <v>1</v>
      </c>
      <c r="AF2" s="79" t="s">
        <v>6</v>
      </c>
      <c r="AG2" s="79" t="s">
        <v>2</v>
      </c>
      <c r="AH2" s="79" t="s">
        <v>3</v>
      </c>
      <c r="AI2" s="233" t="s">
        <v>161</v>
      </c>
      <c r="AJ2" s="85" t="s">
        <v>132</v>
      </c>
      <c r="AM2" s="159"/>
      <c r="AN2" s="159"/>
    </row>
    <row r="3" spans="1:43" ht="13.5" thickBot="1" x14ac:dyDescent="0.25">
      <c r="A3" s="4" t="str">
        <f>+TablaInventarios[[#This Row],[Categoría]]</f>
        <v>Toros</v>
      </c>
      <c r="B3" s="148" t="str">
        <f>+VLOOKUP(TablaInventarios[[#This Row],[Categoria]],TablaInventarios[[Categoría]:[Actividad]],2,FALSE)</f>
        <v>Cría</v>
      </c>
      <c r="C3" s="80">
        <f>+SUMPRODUCT((TablaInventarios[[#This Row],[Categoria]]=TablaInventarios[Categoria])*TablaInventarios[Cab.])+SUMPRODUCT((TablaInventarios[[#This Row],[Categoria]]=TablaMovimientos[Categoría])*(TablaMovimientos[Cab.])*(TablaMovimientos[Fecha]&lt;=$N$19))</f>
        <v>0</v>
      </c>
      <c r="D3" s="80" cm="1">
        <f t="array" ref="D3">IF(TablaInventarios[[#This Row],[Cab. 
Inicio período]]=0,0,(SUMPRODUCT((TablaInventarios[[#This Row],[Categoria]]=TablaInventarios[Categoria])*(TablaInventarios[Kg.]))+SUMPRODUCT((TablaInventarios[[#This Row],[Categoria]]=TablaMovimientos[Categoría])*(TablaMovimientos[Kg.])*(TablaMovimientos[Fecha]&lt;=$N$19)))/TablaInventarios[[#This Row],[Cab. 
Inicio período]])</f>
        <v>0</v>
      </c>
      <c r="E3" s="80" cm="1">
        <f t="array" ref="E3">SUMPRODUCT((TablaInventarios[[#This Row],[Categoria]]=TablaInventarios[Categoria])*TablaInventarios[Kg.])+SUMPRODUCT((TablaInventarios[[#This Row],[Categoria]]=TablaMovimientos[Categoría])*(TablaMovimientos[Cab.])*(TablaMovimientos[Fecha]&lt;=$N$19))</f>
        <v>0</v>
      </c>
      <c r="F3" s="80">
        <f>IF(TablaInventarios[[#This Row],[Kg. Totales 
Inicio período]]=0,0,TablaInventarios[[#This Row],[$ Total IP (corrientes)]]/TablaInventarios[[#This Row],[Kg. Totales 
Inicio período]])</f>
        <v>0</v>
      </c>
      <c r="G3" s="10">
        <f>+IF(TablaInventarios[[#This Row],[Cab. 
Inicio período]]=0,0,TablaInventarios[[#This Row],[$ Total IP (corrientes)]]/TablaInventarios[[#This Row],[Cab. 
Inicio período]])</f>
        <v>0</v>
      </c>
      <c r="H3" s="10" cm="1">
        <f t="array" ref="H3">+SUMPRODUCT((TablaInventarios[[#This Row],[Categoria]]=TablaInventarios[Categoria])*TablaInventarios[$ Total
(corrientes)])+SUMPRODUCT((TablaInventarios[[#This Row],[Categoria]]=TablaMovimientos[Categoría])*(TablaMovimientos[Total $ corr-tes])*(TablaMovimientos[Fecha]&lt;=$N$19))</f>
        <v>0</v>
      </c>
      <c r="I3" s="10">
        <f>IF($N$19=0,0,TablaInventarios[[#This Row],[$ Total IP (corrientes)]]*IF($S$23=FALSE,0,IF($T$19="SIPM",VLOOKUP(DATE(YEAR($N$19),MONTH($N$19)+IF(DAY($N$19)=1,-1,0),1),Indices[[Fecha]:[Indice SIPM]],2,FALSE),IF($T$19="Dólar Oficial",1/VLOOKUP(DATE(YEAR($N$19),MONTH($N$19),DAY($N$19)+IF(DAY($N$19)=1,-1,0)),Tabla5[],2),IF($T$19="Dólar Informal",1/VLOOKUP(DATE(YEAR($N$19),MONTH($N$19),DAY($N$19)+IF(DAY($N$19)=1,-1,0)),Tabla3[],2))))))</f>
        <v>0</v>
      </c>
      <c r="J3" s="192" cm="1">
        <f t="array" ref="J3">+SUMPRODUCT((TablaInventarios[[#This Row],[Categoria]]=TablaInventarios[Categoria])*(TablaInventarios[Cab. 
Inicio período]))+SUMPRODUCT((TablaInventarios[[#This Row],[Categoria]]=TablaMovimientos[Categoría])*(TablaMovimientos[Cab.])*(TablaMovimientos[Fecha]&gt;$N$19)*(TablaMovimientos[Fecha]&lt;=$P$19))</f>
        <v>0</v>
      </c>
      <c r="K3" s="10">
        <f>IFERROR(TablaInventarios[[#This Row],[Kg. Totales 
Stock]]/TablaInventarios[[#This Row],[Cab. 
Stock]],0)</f>
        <v>0</v>
      </c>
      <c r="L3" s="10" cm="1">
        <f t="array" ref="L3">+SUMPRODUCT((TablaInventarios[[#This Row],[Categoria]]=TablaInventarios[Categoria])*(TablaInventarios[Kg. Totales 
Inicio período]))+SUMPRODUCT((TablaInventarios[[#This Row],[Categoria]]=TablaMovimientos[Categoría])*(TablaMovimientos[Kg.])*(TablaMovimientos[Fecha]&gt;$N$19)*(TablaMovimientos[Fecha]&lt;=$P$19))</f>
        <v>0</v>
      </c>
      <c r="M3" s="10">
        <f>IF(TablaInventarios[[#This Row],[Kg. Totales 
Stock]]=0,TablaInventarios[[#This Row],[$/Kg. 
al Cierre]],IFERROR(TablaInventarios[[#This Row],[$ Total FP (corrientes)]]/TablaInventarios[[#This Row],[Kg. Totales 
Stock]],0))</f>
        <v>0</v>
      </c>
      <c r="N3" s="10">
        <f>IFERROR(TablaInventarios[[#This Row],[$ Total FP (corrientes)]]/TablaInventarios[[#This Row],[Cab. 
Stock]],0)</f>
        <v>0</v>
      </c>
      <c r="O3" s="10" cm="1">
        <f t="array" ref="O3">+SUMPRODUCT((TablaInventarios[[#This Row],[Categoria]]=TablaInventarios[Categoria])*(TablaInventarios[$ Total IP (corrientes)]))+SUMPRODUCT((TablaInventarios[[#This Row],[Categoria]]=TablaMovimientos[Categoría])*(TablaMovimientos[Total $ corr-tes])*(TablaMovimientos[Fecha]&gt;$N$19)*(TablaMovimientos[Fecha]&lt;=$P$19))</f>
        <v>0</v>
      </c>
      <c r="P3" s="10">
        <f>IF($P$19=0,0,TablaInventarios[[#This Row],[$ Total FP (corrientes)]]*IF($S$23=FALSE,0,IF($T$19="SIPM",VLOOKUP(DATE(YEAR($P$19),MONTH($P$19),1),Indices[[Fecha]:[Indice SIPM]],2,FALSE),IF($T$19="Dólar Oficial",1/VLOOKUP(DATE(YEAR($P$19),MONTH($P$19),DAY($P$19)),Tabla5[],2),IF($T$19="Dólar Informal",1/VLOOKUP(DATE(YEAR($P$19),MONTH($P$19),DAY($P$19)),Tabla3[],2))))))</f>
        <v>0</v>
      </c>
      <c r="Q3" s="15"/>
      <c r="R3" s="96"/>
      <c r="S3" s="10">
        <f>TablaInventarios[[#This Row],[Kg./Cab. 
al Cierre]]*TablaInventarios[[#This Row],[$/Kg. 
al Cierre]]</f>
        <v>0</v>
      </c>
      <c r="T3" s="16">
        <f>TablaInventarios[[#This Row],[Cab. 
Stock]]*TablaInventarios[[#This Row],[Kg./Cab. 
al Cierre]]-TablaInventarios[[#This Row],[Kg. Totales 
Stock]]</f>
        <v>0</v>
      </c>
      <c r="U3" s="77">
        <f>TablaInventarios[[#This Row],[Cab. 
Stock]]*TablaInventarios[[#This Row],[Kg./Cab. 
al Cierre]]*TablaInventarios[[#This Row],[$/Kg. 
al Cierre]]-TablaInventarios[[#This Row],[$ Total FP (corrientes)]]</f>
        <v>0</v>
      </c>
      <c r="V3" s="205"/>
      <c r="W3" s="212" t="s">
        <v>158</v>
      </c>
      <c r="X3" s="103" t="str">
        <f t="shared" ref="X3:X15" si="0">"Inventario de inicio"</f>
        <v>Inventario de inicio</v>
      </c>
      <c r="Y3" s="106" t="s">
        <v>0</v>
      </c>
      <c r="Z3" s="106" t="s">
        <v>140</v>
      </c>
      <c r="AA3" s="160" t="s">
        <v>104</v>
      </c>
      <c r="AB3" s="104"/>
      <c r="AC3" s="87"/>
      <c r="AD3" s="81">
        <f>+TablaInventarios[[#This Row],[Cabezas]]</f>
        <v>0</v>
      </c>
      <c r="AE3" s="87"/>
      <c r="AF3" s="81">
        <f>+TablaInventarios[[#This Row],[Cabezas]]*TablaInventarios[[#This Row],[Kg/Cab.]]</f>
        <v>0</v>
      </c>
      <c r="AG3" s="88"/>
      <c r="AH3" s="83">
        <f>TablaInventarios[[#This Row],[Kg/Cab.]]*TablaInventarios[[#This Row],[$/Kg]]</f>
        <v>0</v>
      </c>
      <c r="AI3" s="82">
        <f>+TablaInventarios[[#This Row],[Kg.]]*TablaInventarios[[#This Row],[$/Kg]]</f>
        <v>0</v>
      </c>
      <c r="AJ3" s="9">
        <f>IF(W3="Fecha ???",0,TablaInventarios[[#This Row],[$ Total
(corrientes)]]*IF(AND($S$23=TRUE,$T$19="Dólar Informal"),1/VLOOKUP(TablaInventarios[[#This Row],[Fecha]],Tabla3[],2),IF(AND($S$23=TRUE,$T$19="Dólar Oficial"),1/VLOOKUP(TablaInventarios[[#This Row],[Fecha]],Tabla5[],2),IF(AND($S$23=TRUE,$T$19="SIPM"),VLOOKUP(DATE(YEAR(DATE(YEAR($W3),MONTH($W3),DAY($W3))-1),MONTH(DATE(YEAR($W3),MONTH($W3),DAY($W3))-1),1),Indices[[Fecha]:[Indice SIPM]],2,FALSE)))))</f>
        <v>0</v>
      </c>
      <c r="AM3" s="180"/>
      <c r="AN3" s="159"/>
    </row>
    <row r="4" spans="1:43" ht="13.5" thickBot="1" x14ac:dyDescent="0.25">
      <c r="A4" s="214" t="str">
        <f>+TablaInventarios[[#This Row],[Categoría]]</f>
        <v>Vacas CUT</v>
      </c>
      <c r="B4" s="215" t="str">
        <f>+VLOOKUP(TablaInventarios[[#This Row],[Categoria]],TablaInventarios[[Categoría]:[Actividad]],2,FALSE)</f>
        <v>Cría</v>
      </c>
      <c r="C4" s="80">
        <f>+SUMPRODUCT((TablaInventarios[[#This Row],[Categoria]]=TablaInventarios[Categoria])*TablaInventarios[Cab.])+SUMPRODUCT((TablaInventarios[[#This Row],[Categoria]]=TablaMovimientos[Categoría])*(TablaMovimientos[Cab.])*(TablaMovimientos[Fecha]&lt;=$N$19))</f>
        <v>0</v>
      </c>
      <c r="D4" s="80">
        <f t="array" ref="D4">IF(TablaInventarios[[#This Row],[Cab. 
Inicio período]]=0,0,(SUMPRODUCT((TablaInventarios[[#This Row],[Categoria]]=TablaInventarios[Categoria])*(TablaInventarios[Kg.]))+SUMPRODUCT((TablaInventarios[[#This Row],[Categoria]]=TablaMovimientos[Categoría])*(TablaMovimientos[Kg.])*(TablaMovimientos[Fecha]&lt;=$N$19)))/TablaInventarios[[#This Row],[Cab. 
Inicio período]])</f>
        <v>0</v>
      </c>
      <c r="E4" s="80">
        <f t="array" ref="E4">SUMPRODUCT((TablaInventarios[[#This Row],[Categoria]]=TablaInventarios[Categoria])*TablaInventarios[Kg.])+SUMPRODUCT((TablaInventarios[[#This Row],[Categoria]]=TablaMovimientos[Categoría])*(TablaMovimientos[Cab.])*(TablaMovimientos[Fecha]&lt;=$N$19))</f>
        <v>0</v>
      </c>
      <c r="F4" s="80">
        <f>IF(TablaInventarios[[#This Row],[Kg. Totales 
Inicio período]]=0,0,TablaInventarios[[#This Row],[$ Total IP (corrientes)]]/TablaInventarios[[#This Row],[Kg. Totales 
Inicio período]])</f>
        <v>0</v>
      </c>
      <c r="G4" s="10">
        <f>+IF(TablaInventarios[[#This Row],[Cab. 
Inicio período]]=0,0,TablaInventarios[[#This Row],[$ Total IP (corrientes)]]/TablaInventarios[[#This Row],[Cab. 
Inicio período]])</f>
        <v>0</v>
      </c>
      <c r="H4" s="10">
        <f t="array" ref="H4">+SUMPRODUCT((TablaInventarios[[#This Row],[Categoria]]=TablaInventarios[Categoria])*TablaInventarios[$ Total
(corrientes)])+SUMPRODUCT((TablaInventarios[[#This Row],[Categoria]]=TablaMovimientos[Categoría])*(TablaMovimientos[Total $ corr-tes])*(TablaMovimientos[Fecha]&lt;=$N$19))</f>
        <v>0</v>
      </c>
      <c r="I4" s="10">
        <f>IF($N$19=0,0,TablaInventarios[[#This Row],[$ Total IP (corrientes)]]*IF($S$23=FALSE,0,IF($T$19="SIPM",VLOOKUP(DATE(YEAR($N$19),MONTH($N$19)+IF(DAY($N$19)=1,-1,0),1),Indices[[Fecha]:[Indice SIPM]],2,FALSE),IF($T$19="Dólar Oficial",1/VLOOKUP(DATE(YEAR($N$19),MONTH($N$19),DAY($N$19)+IF(DAY($N$19)=1,-1,0)),Tabla5[],2),IF($T$19="Dólar Informal",1/VLOOKUP(DATE(YEAR($N$19),MONTH($N$19),DAY($N$19)+IF(DAY($N$19)=1,-1,0)),Tabla3[],2))))))</f>
        <v>0</v>
      </c>
      <c r="J4" s="192">
        <f t="array" ref="J4">+SUMPRODUCT((TablaInventarios[[#This Row],[Categoria]]=TablaInventarios[Categoria])*(TablaInventarios[Cab. 
Inicio período]))+SUMPRODUCT((TablaInventarios[[#This Row],[Categoria]]=TablaMovimientos[Categoría])*(TablaMovimientos[Cab.])*(TablaMovimientos[Fecha]&gt;$N$19)*(TablaMovimientos[Fecha]&lt;=$P$19))</f>
        <v>0</v>
      </c>
      <c r="K4" s="10">
        <f>IFERROR(TablaInventarios[[#This Row],[Kg. Totales 
Stock]]/TablaInventarios[[#This Row],[Cab. 
Stock]],0)</f>
        <v>0</v>
      </c>
      <c r="L4" s="10">
        <f t="array" ref="L4">+SUMPRODUCT((TablaInventarios[[#This Row],[Categoria]]=TablaInventarios[Categoria])*(TablaInventarios[Kg. Totales 
Inicio período]))+SUMPRODUCT((TablaInventarios[[#This Row],[Categoria]]=TablaMovimientos[Categoría])*(TablaMovimientos[Kg.])*(TablaMovimientos[Fecha]&gt;$N$19)*(TablaMovimientos[Fecha]&lt;=$P$19))</f>
        <v>0</v>
      </c>
      <c r="M4" s="10">
        <f>IF(TablaInventarios[[#This Row],[Kg. Totales 
Stock]]=0,TablaInventarios[[#This Row],[$/Kg. 
al Cierre]],IFERROR(TablaInventarios[[#This Row],[$ Total FP (corrientes)]]/TablaInventarios[[#This Row],[Kg. Totales 
Stock]],0))</f>
        <v>0</v>
      </c>
      <c r="N4" s="10">
        <f>IFERROR(TablaInventarios[[#This Row],[$ Total FP (corrientes)]]/TablaInventarios[[#This Row],[Cab. 
Stock]],0)</f>
        <v>0</v>
      </c>
      <c r="O4" s="10">
        <f t="array" ref="O4">+SUMPRODUCT((TablaInventarios[[#This Row],[Categoria]]=TablaInventarios[Categoria])*(TablaInventarios[$ Total IP (corrientes)]))+SUMPRODUCT((TablaInventarios[[#This Row],[Categoria]]=TablaMovimientos[Categoría])*(TablaMovimientos[Total $ corr-tes])*(TablaMovimientos[Fecha]&gt;$N$19)*(TablaMovimientos[Fecha]&lt;=$P$19))</f>
        <v>0</v>
      </c>
      <c r="P4" s="10">
        <f>IF($P$19=0,0,TablaInventarios[[#This Row],[$ Total FP (corrientes)]]*IF($S$23=FALSE,0,IF($T$19="SIPM",VLOOKUP(DATE(YEAR($P$19),MONTH($P$19),1),Indices[[Fecha]:[Indice SIPM]],2,FALSE),IF($T$19="Dólar Oficial",1/VLOOKUP(DATE(YEAR($P$19),MONTH($P$19),DAY($P$19)),Tabla5[],2),IF($T$19="Dólar Informal",1/VLOOKUP(DATE(YEAR($P$19),MONTH($P$19),DAY($P$19)),Tabla3[],2))))))</f>
        <v>0</v>
      </c>
      <c r="Q4" s="15"/>
      <c r="R4" s="216"/>
      <c r="S4" s="10">
        <f>TablaInventarios[[#This Row],[Kg./Cab. 
al Cierre]]*TablaInventarios[[#This Row],[$/Kg. 
al Cierre]]</f>
        <v>0</v>
      </c>
      <c r="T4" s="217">
        <f>TablaInventarios[[#This Row],[Cab. 
Stock]]*TablaInventarios[[#This Row],[Kg./Cab. 
al Cierre]]-TablaInventarios[[#This Row],[Kg. Totales 
Stock]]</f>
        <v>0</v>
      </c>
      <c r="U4" s="218">
        <f>TablaInventarios[[#This Row],[Cab. 
Stock]]*TablaInventarios[[#This Row],[Kg./Cab. 
al Cierre]]*TablaInventarios[[#This Row],[$/Kg. 
al Cierre]]-TablaInventarios[[#This Row],[$ Total FP (corrientes)]]</f>
        <v>0</v>
      </c>
      <c r="V4" s="206"/>
      <c r="W4" s="212" t="str">
        <f t="shared" ref="W4:W14" si="1">+W3</f>
        <v>Fecha ???</v>
      </c>
      <c r="X4" s="219" t="str">
        <f>"Inventario de inicio"</f>
        <v>Inventario de inicio</v>
      </c>
      <c r="Y4" s="86" t="s">
        <v>150</v>
      </c>
      <c r="Z4" s="86" t="s">
        <v>140</v>
      </c>
      <c r="AA4" s="160" t="s">
        <v>104</v>
      </c>
      <c r="AB4" s="220"/>
      <c r="AC4" s="86"/>
      <c r="AD4" s="221">
        <f>+TablaInventarios[[#This Row],[Cabezas]]</f>
        <v>0</v>
      </c>
      <c r="AE4" s="86"/>
      <c r="AF4" s="221">
        <f>+TablaInventarios[[#This Row],[Cabezas]]*TablaInventarios[[#This Row],[Kg/Cab.]]</f>
        <v>0</v>
      </c>
      <c r="AG4" s="222"/>
      <c r="AH4" s="84">
        <f>TablaInventarios[[#This Row],[Kg/Cab.]]*TablaInventarios[[#This Row],[$/Kg]]</f>
        <v>0</v>
      </c>
      <c r="AI4" s="84">
        <f>+TablaInventarios[[#This Row],[Kg.]]*TablaInventarios[[#This Row],[$/Kg]]</f>
        <v>0</v>
      </c>
      <c r="AJ4" s="84">
        <f>IF(W4="Fecha ???",0,TablaInventarios[[#This Row],[$ Total
(corrientes)]]*IF(AND($S$23=TRUE,$T$19="Dólar Informal"),1/VLOOKUP(TablaInventarios[[#This Row],[Fecha]],Tabla3[],2),IF(AND($S$23=TRUE,$T$19="Dólar Oficial"),1/VLOOKUP(TablaInventarios[[#This Row],[Fecha]],Tabla5[],2),IF(AND($S$23=TRUE,$T$19="SIPM"),VLOOKUP(DATE(YEAR(DATE(YEAR($W4),MONTH($W4),DAY($W4))-1),MONTH(DATE(YEAR($W4),MONTH($W4),DAY($W4))-1),1),Indices[[Fecha]:[Indice SIPM]],2,FALSE)))))</f>
        <v>0</v>
      </c>
      <c r="AM4" s="62"/>
      <c r="AN4" s="159"/>
    </row>
    <row r="5" spans="1:43" ht="13.5" thickBot="1" x14ac:dyDescent="0.25">
      <c r="A5" s="4" t="str">
        <f>+TablaInventarios[[#This Row],[Categoría]]</f>
        <v>Vacas rodeo cría</v>
      </c>
      <c r="B5" s="4" t="str">
        <f>+VLOOKUP(TablaInventarios[[#This Row],[Categoria]],TablaInventarios[[Categoría]:[Actividad]],2,FALSE)</f>
        <v>Cría</v>
      </c>
      <c r="C5" s="80">
        <f>+SUMPRODUCT((TablaInventarios[[#This Row],[Categoria]]=TablaInventarios[Categoria])*TablaInventarios[Cab.])+SUMPRODUCT((TablaInventarios[[#This Row],[Categoria]]=TablaMovimientos[Categoría])*(TablaMovimientos[Cab.])*(TablaMovimientos[Fecha]&lt;=$N$19))</f>
        <v>0</v>
      </c>
      <c r="D5" s="80" cm="1">
        <f t="array" ref="D5">IF(TablaInventarios[[#This Row],[Cab. 
Inicio período]]=0,0,(SUMPRODUCT((TablaInventarios[[#This Row],[Categoria]]=TablaInventarios[Categoria])*(TablaInventarios[Kg.]))+SUMPRODUCT((TablaInventarios[[#This Row],[Categoria]]=TablaMovimientos[Categoría])*(TablaMovimientos[Kg.])*(TablaMovimientos[Fecha]&lt;=$N$19)))/TablaInventarios[[#This Row],[Cab. 
Inicio período]])</f>
        <v>0</v>
      </c>
      <c r="E5" s="80" cm="1">
        <f t="array" ref="E5">SUMPRODUCT((TablaInventarios[[#This Row],[Categoria]]=TablaInventarios[Categoria])*TablaInventarios[Kg.])+SUMPRODUCT((TablaInventarios[[#This Row],[Categoria]]=TablaMovimientos[Categoría])*(TablaMovimientos[Cab.])*(TablaMovimientos[Fecha]&lt;=$N$19))</f>
        <v>0</v>
      </c>
      <c r="F5" s="80">
        <f>IF(TablaInventarios[[#This Row],[Kg. Totales 
Inicio período]]=0,0,TablaInventarios[[#This Row],[$ Total IP (corrientes)]]/TablaInventarios[[#This Row],[Kg. Totales 
Inicio período]])</f>
        <v>0</v>
      </c>
      <c r="G5" s="10">
        <f>+IF(TablaInventarios[[#This Row],[Cab. 
Inicio período]]=0,0,TablaInventarios[[#This Row],[$ Total IP (corrientes)]]/TablaInventarios[[#This Row],[Cab. 
Inicio período]])</f>
        <v>0</v>
      </c>
      <c r="H5" s="10" cm="1">
        <f t="array" ref="H5">+SUMPRODUCT((TablaInventarios[[#This Row],[Categoria]]=TablaInventarios[Categoria])*TablaInventarios[$ Total
(corrientes)])+SUMPRODUCT((TablaInventarios[[#This Row],[Categoria]]=TablaMovimientos[Categoría])*(TablaMovimientos[Total $ corr-tes])*(TablaMovimientos[Fecha]&lt;=$N$19))</f>
        <v>0</v>
      </c>
      <c r="I5" s="10">
        <f>IF($N$19=0,0,TablaInventarios[[#This Row],[$ Total IP (corrientes)]]*IF($S$23=FALSE,0,IF($T$19="SIPM",VLOOKUP(DATE(YEAR($N$19),MONTH($N$19)+IF(DAY($N$19)=1,-1,0),1),Indices[[Fecha]:[Indice SIPM]],2,FALSE),IF($T$19="Dólar Oficial",1/VLOOKUP(DATE(YEAR($N$19),MONTH($N$19),DAY($N$19)+IF(DAY($N$19)=1,-1,0)),Tabla5[],2),IF($T$19="Dólar Informal",1/VLOOKUP(DATE(YEAR($N$19),MONTH($N$19),DAY($N$19)+IF(DAY($N$19)=1,-1,0)),Tabla3[],2))))))</f>
        <v>0</v>
      </c>
      <c r="J5" s="192" cm="1">
        <f t="array" ref="J5">+SUMPRODUCT((TablaInventarios[[#This Row],[Categoria]]=TablaInventarios[Categoria])*(TablaInventarios[Cab. 
Inicio período]))+SUMPRODUCT((TablaInventarios[[#This Row],[Categoria]]=TablaMovimientos[Categoría])*(TablaMovimientos[Cab.])*(TablaMovimientos[Fecha]&gt;$N$19)*(TablaMovimientos[Fecha]&lt;=$P$19))</f>
        <v>0</v>
      </c>
      <c r="K5" s="10">
        <f>IFERROR(TablaInventarios[[#This Row],[Kg. Totales 
Stock]]/TablaInventarios[[#This Row],[Cab. 
Stock]],0)</f>
        <v>0</v>
      </c>
      <c r="L5" s="10" cm="1">
        <f t="array" ref="L5">+SUMPRODUCT((TablaInventarios[[#This Row],[Categoria]]=TablaInventarios[Categoria])*(TablaInventarios[Kg. Totales 
Inicio período]))+SUMPRODUCT((TablaInventarios[[#This Row],[Categoria]]=TablaMovimientos[Categoría])*(TablaMovimientos[Kg.])*(TablaMovimientos[Fecha]&gt;$N$19)*(TablaMovimientos[Fecha]&lt;=$P$19))</f>
        <v>0</v>
      </c>
      <c r="M5" s="10">
        <f>IF(TablaInventarios[[#This Row],[Kg. Totales 
Stock]]=0,TablaInventarios[[#This Row],[$/Kg. 
al Cierre]],IFERROR(TablaInventarios[[#This Row],[$ Total FP (corrientes)]]/TablaInventarios[[#This Row],[Kg. Totales 
Stock]],0))</f>
        <v>0</v>
      </c>
      <c r="N5" s="10">
        <f>IFERROR(TablaInventarios[[#This Row],[$ Total FP (corrientes)]]/TablaInventarios[[#This Row],[Cab. 
Stock]],0)</f>
        <v>0</v>
      </c>
      <c r="O5" s="10" cm="1">
        <f t="array" ref="O5">+SUMPRODUCT((TablaInventarios[[#This Row],[Categoria]]=TablaInventarios[Categoria])*(TablaInventarios[$ Total IP (corrientes)]))+SUMPRODUCT((TablaInventarios[[#This Row],[Categoria]]=TablaMovimientos[Categoría])*(TablaMovimientos[Total $ corr-tes])*(TablaMovimientos[Fecha]&gt;$N$19)*(TablaMovimientos[Fecha]&lt;=$P$19))</f>
        <v>0</v>
      </c>
      <c r="P5" s="10">
        <f>IF($P$19=0,0,TablaInventarios[[#This Row],[$ Total FP (corrientes)]]*IF($S$23=FALSE,0,IF($T$19="SIPM",VLOOKUP(DATE(YEAR($P$19),MONTH($P$19),1),Indices[[Fecha]:[Indice SIPM]],2,FALSE),IF($T$19="Dólar Oficial",1/VLOOKUP(DATE(YEAR($P$19),MONTH($P$19),DAY($P$19)),Tabla5[],2),IF($T$19="Dólar Informal",1/VLOOKUP(DATE(YEAR($P$19),MONTH($P$19),DAY($P$19)),Tabla3[],2))))))</f>
        <v>0</v>
      </c>
      <c r="Q5" s="15"/>
      <c r="R5" s="96"/>
      <c r="S5" s="10">
        <f>TablaInventarios[[#This Row],[Kg./Cab. 
al Cierre]]*TablaInventarios[[#This Row],[$/Kg. 
al Cierre]]</f>
        <v>0</v>
      </c>
      <c r="T5" s="16">
        <f>TablaInventarios[[#This Row],[Cab. 
Stock]]*TablaInventarios[[#This Row],[Kg./Cab. 
al Cierre]]-TablaInventarios[[#This Row],[Kg. Totales 
Stock]]</f>
        <v>0</v>
      </c>
      <c r="U5" s="77">
        <f>TablaInventarios[[#This Row],[Cab. 
Stock]]*TablaInventarios[[#This Row],[Kg./Cab. 
al Cierre]]*TablaInventarios[[#This Row],[$/Kg. 
al Cierre]]-TablaInventarios[[#This Row],[$ Total FP (corrientes)]]</f>
        <v>0</v>
      </c>
      <c r="V5" s="206"/>
      <c r="W5" s="212" t="str">
        <f t="shared" si="1"/>
        <v>Fecha ???</v>
      </c>
      <c r="X5" s="105" t="str">
        <f t="shared" si="0"/>
        <v>Inventario de inicio</v>
      </c>
      <c r="Y5" s="107" t="s">
        <v>124</v>
      </c>
      <c r="Z5" s="107" t="s">
        <v>140</v>
      </c>
      <c r="AA5" s="160" t="s">
        <v>104</v>
      </c>
      <c r="AB5" s="104"/>
      <c r="AC5" s="86"/>
      <c r="AD5" s="83">
        <f>+TablaInventarios[[#This Row],[Cabezas]]</f>
        <v>0</v>
      </c>
      <c r="AE5" s="86"/>
      <c r="AF5" s="83">
        <f>+TablaInventarios[[#This Row],[Cabezas]]*TablaInventarios[[#This Row],[Kg/Cab.]]</f>
        <v>0</v>
      </c>
      <c r="AG5" s="89"/>
      <c r="AH5" s="83">
        <f>TablaInventarios[[#This Row],[Kg/Cab.]]*TablaInventarios[[#This Row],[$/Kg]]</f>
        <v>0</v>
      </c>
      <c r="AI5" s="84">
        <f>+TablaInventarios[[#This Row],[Kg.]]*TablaInventarios[[#This Row],[$/Kg]]</f>
        <v>0</v>
      </c>
      <c r="AJ5" s="9">
        <f>IF(W5="Fecha ???",0,TablaInventarios[[#This Row],[$ Total
(corrientes)]]*IF(AND($S$23=TRUE,$T$19="Dólar Informal"),1/VLOOKUP(TablaInventarios[[#This Row],[Fecha]],Tabla3[],2),IF(AND($S$23=TRUE,$T$19="Dólar Oficial"),1/VLOOKUP(TablaInventarios[[#This Row],[Fecha]],Tabla5[],2),IF(AND($S$23=TRUE,$T$19="SIPM"),VLOOKUP(DATE(YEAR(DATE(YEAR($W5),MONTH($W5),DAY($W5))-1),MONTH(DATE(YEAR($W5),MONTH($W5),DAY($W5))-1),1),Indices[[Fecha]:[Indice SIPM]],2,FALSE)))))</f>
        <v>0</v>
      </c>
      <c r="AM5" s="62"/>
      <c r="AN5" s="159"/>
    </row>
    <row r="6" spans="1:43" ht="13.5" thickBot="1" x14ac:dyDescent="0.25">
      <c r="A6" s="4" t="str">
        <f>+TablaInventarios[[#This Row],[Categoría]]</f>
        <v>Vaquillonas rodeo cría</v>
      </c>
      <c r="B6" s="4" t="str">
        <f>+VLOOKUP(TablaInventarios[[#This Row],[Categoria]],TablaInventarios[[Categoría]:[Actividad]],2,FALSE)</f>
        <v>Cría</v>
      </c>
      <c r="C6" s="80">
        <f>+SUMPRODUCT((TablaInventarios[[#This Row],[Categoria]]=TablaInventarios[Categoria])*TablaInventarios[Cab.])+SUMPRODUCT((TablaInventarios[[#This Row],[Categoria]]=TablaMovimientos[Categoría])*(TablaMovimientos[Cab.])*(TablaMovimientos[Fecha]&lt;=$N$19))</f>
        <v>0</v>
      </c>
      <c r="D6" s="80" cm="1">
        <f t="array" ref="D6">IF(TablaInventarios[[#This Row],[Cab. 
Inicio período]]=0,0,(SUMPRODUCT((TablaInventarios[[#This Row],[Categoria]]=TablaInventarios[Categoria])*(TablaInventarios[Kg.]))+SUMPRODUCT((TablaInventarios[[#This Row],[Categoria]]=TablaMovimientos[Categoría])*(TablaMovimientos[Kg.])*(TablaMovimientos[Fecha]&lt;=$N$19)))/TablaInventarios[[#This Row],[Cab. 
Inicio período]])</f>
        <v>0</v>
      </c>
      <c r="E6" s="80" cm="1">
        <f t="array" ref="E6">SUMPRODUCT((TablaInventarios[[#This Row],[Categoria]]=TablaInventarios[Categoria])*TablaInventarios[Kg.])+SUMPRODUCT((TablaInventarios[[#This Row],[Categoria]]=TablaMovimientos[Categoría])*(TablaMovimientos[Cab.])*(TablaMovimientos[Fecha]&lt;=$N$19))</f>
        <v>0</v>
      </c>
      <c r="F6" s="80">
        <f>IF(TablaInventarios[[#This Row],[Kg. Totales 
Inicio período]]=0,0,TablaInventarios[[#This Row],[$ Total IP (corrientes)]]/TablaInventarios[[#This Row],[Kg. Totales 
Inicio período]])</f>
        <v>0</v>
      </c>
      <c r="G6" s="10">
        <f>+IF(TablaInventarios[[#This Row],[Cab. 
Inicio período]]=0,0,TablaInventarios[[#This Row],[$ Total IP (corrientes)]]/TablaInventarios[[#This Row],[Cab. 
Inicio período]])</f>
        <v>0</v>
      </c>
      <c r="H6" s="10" cm="1">
        <f t="array" ref="H6">+SUMPRODUCT((TablaInventarios[[#This Row],[Categoria]]=TablaInventarios[Categoria])*TablaInventarios[$ Total
(corrientes)])+SUMPRODUCT((TablaInventarios[[#This Row],[Categoria]]=TablaMovimientos[Categoría])*(TablaMovimientos[Total $ corr-tes])*(TablaMovimientos[Fecha]&lt;=$N$19))</f>
        <v>0</v>
      </c>
      <c r="I6" s="10">
        <f>IF($N$19=0,0,TablaInventarios[[#This Row],[$ Total IP (corrientes)]]*IF($S$23=FALSE,0,IF($T$19="SIPM",VLOOKUP(DATE(YEAR($N$19),MONTH($N$19)+IF(DAY($N$19)=1,-1,0),1),Indices[[Fecha]:[Indice SIPM]],2,FALSE),IF($T$19="Dólar Oficial",1/VLOOKUP(DATE(YEAR($N$19),MONTH($N$19),DAY($N$19)+IF(DAY($N$19)=1,-1,0)),Tabla5[],2),IF($T$19="Dólar Informal",1/VLOOKUP(DATE(YEAR($N$19),MONTH($N$19),DAY($N$19)+IF(DAY($N$19)=1,-1,0)),Tabla3[],2))))))</f>
        <v>0</v>
      </c>
      <c r="J6" s="192" cm="1">
        <f t="array" ref="J6">+SUMPRODUCT((TablaInventarios[[#This Row],[Categoria]]=TablaInventarios[Categoria])*(TablaInventarios[Cab. 
Inicio período]))+SUMPRODUCT((TablaInventarios[[#This Row],[Categoria]]=TablaMovimientos[Categoría])*(TablaMovimientos[Cab.])*(TablaMovimientos[Fecha]&gt;$N$19)*(TablaMovimientos[Fecha]&lt;=$P$19))</f>
        <v>0</v>
      </c>
      <c r="K6" s="10">
        <f>IFERROR(TablaInventarios[[#This Row],[Kg. Totales 
Stock]]/TablaInventarios[[#This Row],[Cab. 
Stock]],0)</f>
        <v>0</v>
      </c>
      <c r="L6" s="10" cm="1">
        <f t="array" ref="L6">+SUMPRODUCT((TablaInventarios[[#This Row],[Categoria]]=TablaInventarios[Categoria])*(TablaInventarios[Kg. Totales 
Inicio período]))+SUMPRODUCT((TablaInventarios[[#This Row],[Categoria]]=TablaMovimientos[Categoría])*(TablaMovimientos[Kg.])*(TablaMovimientos[Fecha]&gt;$N$19)*(TablaMovimientos[Fecha]&lt;=$P$19))</f>
        <v>0</v>
      </c>
      <c r="M6" s="10">
        <f>IF(TablaInventarios[[#This Row],[Kg. Totales 
Stock]]=0,TablaInventarios[[#This Row],[$/Kg. 
al Cierre]],IFERROR(TablaInventarios[[#This Row],[$ Total FP (corrientes)]]/TablaInventarios[[#This Row],[Kg. Totales 
Stock]],0))</f>
        <v>0</v>
      </c>
      <c r="N6" s="10">
        <f>IFERROR(TablaInventarios[[#This Row],[$ Total FP (corrientes)]]/TablaInventarios[[#This Row],[Cab. 
Stock]],0)</f>
        <v>0</v>
      </c>
      <c r="O6" s="10" cm="1">
        <f t="array" ref="O6">+SUMPRODUCT((TablaInventarios[[#This Row],[Categoria]]=TablaInventarios[Categoria])*(TablaInventarios[$ Total IP (corrientes)]))+SUMPRODUCT((TablaInventarios[[#This Row],[Categoria]]=TablaMovimientos[Categoría])*(TablaMovimientos[Total $ corr-tes])*(TablaMovimientos[Fecha]&gt;$N$19)*(TablaMovimientos[Fecha]&lt;=$P$19))</f>
        <v>0</v>
      </c>
      <c r="P6" s="10">
        <f>IF($P$19=0,0,TablaInventarios[[#This Row],[$ Total FP (corrientes)]]*IF($S$23=FALSE,0,IF($T$19="SIPM",VLOOKUP(DATE(YEAR($P$19),MONTH($P$19),1),Indices[[Fecha]:[Indice SIPM]],2,FALSE),IF($T$19="Dólar Oficial",1/VLOOKUP(DATE(YEAR($P$19),MONTH($P$19),DAY($P$19)),Tabla5[],2),IF($T$19="Dólar Informal",1/VLOOKUP(DATE(YEAR($P$19),MONTH($P$19),DAY($P$19)),Tabla3[],2))))))</f>
        <v>0</v>
      </c>
      <c r="Q6" s="15"/>
      <c r="R6" s="96"/>
      <c r="S6" s="10">
        <f>TablaInventarios[[#This Row],[Kg./Cab. 
al Cierre]]*TablaInventarios[[#This Row],[$/Kg. 
al Cierre]]</f>
        <v>0</v>
      </c>
      <c r="T6" s="16">
        <f>TablaInventarios[[#This Row],[Cab. 
Stock]]*TablaInventarios[[#This Row],[Kg./Cab. 
al Cierre]]-TablaInventarios[[#This Row],[Kg. Totales 
Stock]]</f>
        <v>0</v>
      </c>
      <c r="U6" s="77">
        <f>TablaInventarios[[#This Row],[Cab. 
Stock]]*TablaInventarios[[#This Row],[Kg./Cab. 
al Cierre]]*TablaInventarios[[#This Row],[$/Kg. 
al Cierre]]-TablaInventarios[[#This Row],[$ Total FP (corrientes)]]</f>
        <v>0</v>
      </c>
      <c r="V6" s="206"/>
      <c r="W6" s="212" t="str">
        <f t="shared" si="1"/>
        <v>Fecha ???</v>
      </c>
      <c r="X6" s="105" t="str">
        <f t="shared" si="0"/>
        <v>Inventario de inicio</v>
      </c>
      <c r="Y6" s="107" t="s">
        <v>143</v>
      </c>
      <c r="Z6" s="107" t="s">
        <v>140</v>
      </c>
      <c r="AA6" s="160" t="s">
        <v>104</v>
      </c>
      <c r="AB6" s="104"/>
      <c r="AC6" s="86"/>
      <c r="AD6" s="83">
        <f>+TablaInventarios[[#This Row],[Cabezas]]</f>
        <v>0</v>
      </c>
      <c r="AE6" s="86"/>
      <c r="AF6" s="83">
        <f>+TablaInventarios[[#This Row],[Cabezas]]*TablaInventarios[[#This Row],[Kg/Cab.]]</f>
        <v>0</v>
      </c>
      <c r="AG6" s="89"/>
      <c r="AH6" s="83">
        <f>TablaInventarios[[#This Row],[Kg/Cab.]]*TablaInventarios[[#This Row],[$/Kg]]</f>
        <v>0</v>
      </c>
      <c r="AI6" s="84">
        <f>+TablaInventarios[[#This Row],[Kg.]]*TablaInventarios[[#This Row],[$/Kg]]</f>
        <v>0</v>
      </c>
      <c r="AJ6" s="9">
        <f>IF(W6="Fecha ???",0,TablaInventarios[[#This Row],[$ Total
(corrientes)]]*IF(AND($S$23=TRUE,$T$19="Dólar Informal"),1/VLOOKUP(TablaInventarios[[#This Row],[Fecha]],Tabla3[],2),IF(AND($S$23=TRUE,$T$19="Dólar Oficial"),1/VLOOKUP(TablaInventarios[[#This Row],[Fecha]],Tabla5[],2),IF(AND($S$23=TRUE,$T$19="SIPM"),VLOOKUP(DATE(YEAR(DATE(YEAR($W6),MONTH($W6),DAY($W6))-1),MONTH(DATE(YEAR($W6),MONTH($W6),DAY($W6))-1),1),Indices[[Fecha]:[Indice SIPM]],2,FALSE)))))</f>
        <v>0</v>
      </c>
      <c r="AM6" s="62"/>
      <c r="AN6" s="159"/>
    </row>
    <row r="7" spans="1:43" ht="13.5" thickBot="1" x14ac:dyDescent="0.25">
      <c r="A7" s="214" t="str">
        <f>+TablaInventarios[[#This Row],[Categoría]]</f>
        <v>Vaq. Recría 2/3</v>
      </c>
      <c r="B7" s="214" t="str">
        <f>+VLOOKUP(TablaInventarios[[#This Row],[Categoria]],TablaInventarios[[Categoría]:[Actividad]],2,FALSE)</f>
        <v>Recría</v>
      </c>
      <c r="C7" s="80">
        <f>+SUMPRODUCT((TablaInventarios[[#This Row],[Categoria]]=TablaInventarios[Categoria])*TablaInventarios[Cab.])+SUMPRODUCT((TablaInventarios[[#This Row],[Categoria]]=TablaMovimientos[Categoría])*(TablaMovimientos[Cab.])*(TablaMovimientos[Fecha]&lt;=$N$19))</f>
        <v>0</v>
      </c>
      <c r="D7" s="80">
        <f t="array" ref="D7">IF(TablaInventarios[[#This Row],[Cab. 
Inicio período]]=0,0,(SUMPRODUCT((TablaInventarios[[#This Row],[Categoria]]=TablaInventarios[Categoria])*(TablaInventarios[Kg.]))+SUMPRODUCT((TablaInventarios[[#This Row],[Categoria]]=TablaMovimientos[Categoría])*(TablaMovimientos[Kg.])*(TablaMovimientos[Fecha]&lt;=$N$19)))/TablaInventarios[[#This Row],[Cab. 
Inicio período]])</f>
        <v>0</v>
      </c>
      <c r="E7" s="80">
        <f t="array" ref="E7">SUMPRODUCT((TablaInventarios[[#This Row],[Categoria]]=TablaInventarios[Categoria])*TablaInventarios[Kg.])+SUMPRODUCT((TablaInventarios[[#This Row],[Categoria]]=TablaMovimientos[Categoría])*(TablaMovimientos[Cab.])*(TablaMovimientos[Fecha]&lt;=$N$19))</f>
        <v>0</v>
      </c>
      <c r="F7" s="80">
        <f>IF(TablaInventarios[[#This Row],[Kg. Totales 
Inicio período]]=0,0,TablaInventarios[[#This Row],[$ Total IP (corrientes)]]/TablaInventarios[[#This Row],[Kg. Totales 
Inicio período]])</f>
        <v>0</v>
      </c>
      <c r="G7" s="10">
        <f>+IF(TablaInventarios[[#This Row],[Cab. 
Inicio período]]=0,0,TablaInventarios[[#This Row],[$ Total IP (corrientes)]]/TablaInventarios[[#This Row],[Cab. 
Inicio período]])</f>
        <v>0</v>
      </c>
      <c r="H7" s="10">
        <f t="array" ref="H7">+SUMPRODUCT((TablaInventarios[[#This Row],[Categoria]]=TablaInventarios[Categoria])*TablaInventarios[$ Total
(corrientes)])+SUMPRODUCT((TablaInventarios[[#This Row],[Categoria]]=TablaMovimientos[Categoría])*(TablaMovimientos[Total $ corr-tes])*(TablaMovimientos[Fecha]&lt;=$N$19))</f>
        <v>0</v>
      </c>
      <c r="I7" s="10">
        <f>IF($N$19=0,0,TablaInventarios[[#This Row],[$ Total IP (corrientes)]]*IF($S$23=FALSE,0,IF($T$19="SIPM",VLOOKUP(DATE(YEAR($N$19),MONTH($N$19)+IF(DAY($N$19)=1,-1,0),1),Indices[[Fecha]:[Indice SIPM]],2,FALSE),IF($T$19="Dólar Oficial",1/VLOOKUP(DATE(YEAR($N$19),MONTH($N$19),DAY($N$19)+IF(DAY($N$19)=1,-1,0)),Tabla5[],2),IF($T$19="Dólar Informal",1/VLOOKUP(DATE(YEAR($N$19),MONTH($N$19),DAY($N$19)+IF(DAY($N$19)=1,-1,0)),Tabla3[],2))))))</f>
        <v>0</v>
      </c>
      <c r="J7" s="192">
        <f t="array" ref="J7">+SUMPRODUCT((TablaInventarios[[#This Row],[Categoria]]=TablaInventarios[Categoria])*(TablaInventarios[Cab. 
Inicio período]))+SUMPRODUCT((TablaInventarios[[#This Row],[Categoria]]=TablaMovimientos[Categoría])*(TablaMovimientos[Cab.])*(TablaMovimientos[Fecha]&gt;$N$19)*(TablaMovimientos[Fecha]&lt;=$P$19))</f>
        <v>0</v>
      </c>
      <c r="K7" s="10">
        <f>IFERROR(TablaInventarios[[#This Row],[Kg. Totales 
Stock]]/TablaInventarios[[#This Row],[Cab. 
Stock]],0)</f>
        <v>0</v>
      </c>
      <c r="L7" s="10">
        <f t="array" ref="L7">+SUMPRODUCT((TablaInventarios[[#This Row],[Categoria]]=TablaInventarios[Categoria])*(TablaInventarios[Kg. Totales 
Inicio período]))+SUMPRODUCT((TablaInventarios[[#This Row],[Categoria]]=TablaMovimientos[Categoría])*(TablaMovimientos[Kg.])*(TablaMovimientos[Fecha]&gt;$N$19)*(TablaMovimientos[Fecha]&lt;=$P$19))</f>
        <v>0</v>
      </c>
      <c r="M7" s="10">
        <f>IF(TablaInventarios[[#This Row],[Kg. Totales 
Stock]]=0,TablaInventarios[[#This Row],[$/Kg. 
al Cierre]],IFERROR(TablaInventarios[[#This Row],[$ Total FP (corrientes)]]/TablaInventarios[[#This Row],[Kg. Totales 
Stock]],0))</f>
        <v>0</v>
      </c>
      <c r="N7" s="10">
        <f>IFERROR(TablaInventarios[[#This Row],[$ Total FP (corrientes)]]/TablaInventarios[[#This Row],[Cab. 
Stock]],0)</f>
        <v>0</v>
      </c>
      <c r="O7" s="10">
        <f t="array" ref="O7">+SUMPRODUCT((TablaInventarios[[#This Row],[Categoria]]=TablaInventarios[Categoria])*(TablaInventarios[$ Total IP (corrientes)]))+SUMPRODUCT((TablaInventarios[[#This Row],[Categoria]]=TablaMovimientos[Categoría])*(TablaMovimientos[Total $ corr-tes])*(TablaMovimientos[Fecha]&gt;$N$19)*(TablaMovimientos[Fecha]&lt;=$P$19))</f>
        <v>0</v>
      </c>
      <c r="P7" s="10">
        <f>IF($P$19=0,0,TablaInventarios[[#This Row],[$ Total FP (corrientes)]]*IF($S$23=FALSE,0,IF($T$19="SIPM",VLOOKUP(DATE(YEAR($P$19),MONTH($P$19),1),Indices[[Fecha]:[Indice SIPM]],2,FALSE),IF($T$19="Dólar Oficial",1/VLOOKUP(DATE(YEAR($P$19),MONTH($P$19),DAY($P$19)),Tabla5[],2),IF($T$19="Dólar Informal",1/VLOOKUP(DATE(YEAR($P$19),MONTH($P$19),DAY($P$19)),Tabla3[],2))))))</f>
        <v>0</v>
      </c>
      <c r="Q7" s="15"/>
      <c r="R7" s="216"/>
      <c r="S7" s="10">
        <f>TablaInventarios[[#This Row],[Kg./Cab. 
al Cierre]]*TablaInventarios[[#This Row],[$/Kg. 
al Cierre]]</f>
        <v>0</v>
      </c>
      <c r="T7" s="217">
        <f>TablaInventarios[[#This Row],[Cab. 
Stock]]*TablaInventarios[[#This Row],[Kg./Cab. 
al Cierre]]-TablaInventarios[[#This Row],[Kg. Totales 
Stock]]</f>
        <v>0</v>
      </c>
      <c r="U7" s="218">
        <f>TablaInventarios[[#This Row],[Cab. 
Stock]]*TablaInventarios[[#This Row],[Kg./Cab. 
al Cierre]]*TablaInventarios[[#This Row],[$/Kg. 
al Cierre]]-TablaInventarios[[#This Row],[$ Total FP (corrientes)]]</f>
        <v>0</v>
      </c>
      <c r="V7" s="206"/>
      <c r="W7" s="212" t="str">
        <f t="shared" si="1"/>
        <v>Fecha ???</v>
      </c>
      <c r="X7" s="219" t="str">
        <f>"Inventario de inicio"</f>
        <v>Inventario de inicio</v>
      </c>
      <c r="Y7" s="86" t="s">
        <v>151</v>
      </c>
      <c r="Z7" s="86" t="s">
        <v>69</v>
      </c>
      <c r="AA7" s="160" t="s">
        <v>103</v>
      </c>
      <c r="AB7" s="220"/>
      <c r="AC7" s="86"/>
      <c r="AD7" s="221">
        <f>+TablaInventarios[[#This Row],[Cabezas]]</f>
        <v>0</v>
      </c>
      <c r="AE7" s="86"/>
      <c r="AF7" s="221">
        <f>+TablaInventarios[[#This Row],[Cabezas]]*TablaInventarios[[#This Row],[Kg/Cab.]]</f>
        <v>0</v>
      </c>
      <c r="AG7" s="222"/>
      <c r="AH7" s="84">
        <f>TablaInventarios[[#This Row],[Kg/Cab.]]*TablaInventarios[[#This Row],[$/Kg]]</f>
        <v>0</v>
      </c>
      <c r="AI7" s="84">
        <f>+TablaInventarios[[#This Row],[Kg.]]*TablaInventarios[[#This Row],[$/Kg]]</f>
        <v>0</v>
      </c>
      <c r="AJ7" s="84">
        <f>IF(W7="Fecha ???",0,TablaInventarios[[#This Row],[$ Total
(corrientes)]]*IF(AND($S$23=TRUE,$T$19="Dólar Informal"),1/VLOOKUP(TablaInventarios[[#This Row],[Fecha]],Tabla3[],2),IF(AND($S$23=TRUE,$T$19="Dólar Oficial"),1/VLOOKUP(TablaInventarios[[#This Row],[Fecha]],Tabla5[],2),IF(AND($S$23=TRUE,$T$19="SIPM"),VLOOKUP(DATE(YEAR(DATE(YEAR($W7),MONTH($W7),DAY($W7))-1),MONTH(DATE(YEAR($W7),MONTH($W7),DAY($W7))-1),1),Indices[[Fecha]:[Indice SIPM]],2,FALSE)))))</f>
        <v>0</v>
      </c>
      <c r="AM7" s="62"/>
      <c r="AN7" s="159"/>
    </row>
    <row r="8" spans="1:43" ht="13.5" thickBot="1" x14ac:dyDescent="0.25">
      <c r="A8" s="4" t="str">
        <f>+TablaInventarios[[#This Row],[Categoría]]</f>
        <v>Vaq. Recría 1/2</v>
      </c>
      <c r="B8" s="4" t="str">
        <f>+VLOOKUP(TablaInventarios[[#This Row],[Categoria]],TablaInventarios[[Categoría]:[Actividad]],2,FALSE)</f>
        <v>Recría</v>
      </c>
      <c r="C8" s="80">
        <f>+SUMPRODUCT((TablaInventarios[[#This Row],[Categoria]]=TablaInventarios[Categoria])*TablaInventarios[Cab.])+SUMPRODUCT((TablaInventarios[[#This Row],[Categoria]]=TablaMovimientos[Categoría])*(TablaMovimientos[Cab.])*(TablaMovimientos[Fecha]&lt;=$N$19))</f>
        <v>0</v>
      </c>
      <c r="D8" s="80" cm="1">
        <f t="array" ref="D8">IF(TablaInventarios[[#This Row],[Cab. 
Inicio período]]=0,0,(SUMPRODUCT((TablaInventarios[[#This Row],[Categoria]]=TablaInventarios[Categoria])*(TablaInventarios[Kg.]))+SUMPRODUCT((TablaInventarios[[#This Row],[Categoria]]=TablaMovimientos[Categoría])*(TablaMovimientos[Kg.])*(TablaMovimientos[Fecha]&lt;=$N$19)))/TablaInventarios[[#This Row],[Cab. 
Inicio período]])</f>
        <v>0</v>
      </c>
      <c r="E8" s="80" cm="1">
        <f t="array" ref="E8">SUMPRODUCT((TablaInventarios[[#This Row],[Categoria]]=TablaInventarios[Categoria])*TablaInventarios[Kg.])+SUMPRODUCT((TablaInventarios[[#This Row],[Categoria]]=TablaMovimientos[Categoría])*(TablaMovimientos[Cab.])*(TablaMovimientos[Fecha]&lt;=$N$19))</f>
        <v>0</v>
      </c>
      <c r="F8" s="80">
        <f>IF(TablaInventarios[[#This Row],[Kg. Totales 
Inicio período]]=0,0,TablaInventarios[[#This Row],[$ Total IP (corrientes)]]/TablaInventarios[[#This Row],[Kg. Totales 
Inicio período]])</f>
        <v>0</v>
      </c>
      <c r="G8" s="10">
        <f>+IF(TablaInventarios[[#This Row],[Cab. 
Inicio período]]=0,0,TablaInventarios[[#This Row],[$ Total IP (corrientes)]]/TablaInventarios[[#This Row],[Cab. 
Inicio período]])</f>
        <v>0</v>
      </c>
      <c r="H8" s="10" cm="1">
        <f t="array" ref="H8">+SUMPRODUCT((TablaInventarios[[#This Row],[Categoria]]=TablaInventarios[Categoria])*TablaInventarios[$ Total
(corrientes)])+SUMPRODUCT((TablaInventarios[[#This Row],[Categoria]]=TablaMovimientos[Categoría])*(TablaMovimientos[Total $ corr-tes])*(TablaMovimientos[Fecha]&lt;=$N$19))</f>
        <v>0</v>
      </c>
      <c r="I8" s="10">
        <f>IF($N$19=0,0,TablaInventarios[[#This Row],[$ Total IP (corrientes)]]*IF($S$23=FALSE,0,IF($T$19="SIPM",VLOOKUP(DATE(YEAR($N$19),MONTH($N$19)+IF(DAY($N$19)=1,-1,0),1),Indices[[Fecha]:[Indice SIPM]],2,FALSE),IF($T$19="Dólar Oficial",1/VLOOKUP(DATE(YEAR($N$19),MONTH($N$19),DAY($N$19)+IF(DAY($N$19)=1,-1,0)),Tabla5[],2),IF($T$19="Dólar Informal",1/VLOOKUP(DATE(YEAR($N$19),MONTH($N$19),DAY($N$19)+IF(DAY($N$19)=1,-1,0)),Tabla3[],2))))))</f>
        <v>0</v>
      </c>
      <c r="J8" s="192" cm="1">
        <f t="array" ref="J8">+SUMPRODUCT((TablaInventarios[[#This Row],[Categoria]]=TablaInventarios[Categoria])*(TablaInventarios[Cab. 
Inicio período]))+SUMPRODUCT((TablaInventarios[[#This Row],[Categoria]]=TablaMovimientos[Categoría])*(TablaMovimientos[Cab.])*(TablaMovimientos[Fecha]&gt;$N$19)*(TablaMovimientos[Fecha]&lt;=$P$19))</f>
        <v>0</v>
      </c>
      <c r="K8" s="10">
        <f>IFERROR(TablaInventarios[[#This Row],[Kg. Totales 
Stock]]/TablaInventarios[[#This Row],[Cab. 
Stock]],0)</f>
        <v>0</v>
      </c>
      <c r="L8" s="10" cm="1">
        <f t="array" ref="L8">+SUMPRODUCT((TablaInventarios[[#This Row],[Categoria]]=TablaInventarios[Categoria])*(TablaInventarios[Kg. Totales 
Inicio período]))+SUMPRODUCT((TablaInventarios[[#This Row],[Categoria]]=TablaMovimientos[Categoría])*(TablaMovimientos[Kg.])*(TablaMovimientos[Fecha]&gt;$N$19)*(TablaMovimientos[Fecha]&lt;=$P$19))</f>
        <v>0</v>
      </c>
      <c r="M8" s="10">
        <f>IF(TablaInventarios[[#This Row],[Kg. Totales 
Stock]]=0,TablaInventarios[[#This Row],[$/Kg. 
al Cierre]],IFERROR(TablaInventarios[[#This Row],[$ Total FP (corrientes)]]/TablaInventarios[[#This Row],[Kg. Totales 
Stock]],0))</f>
        <v>0</v>
      </c>
      <c r="N8" s="10">
        <f>IFERROR(TablaInventarios[[#This Row],[$ Total FP (corrientes)]]/TablaInventarios[[#This Row],[Cab. 
Stock]],0)</f>
        <v>0</v>
      </c>
      <c r="O8" s="10" cm="1">
        <f t="array" ref="O8">+SUMPRODUCT((TablaInventarios[[#This Row],[Categoria]]=TablaInventarios[Categoria])*(TablaInventarios[$ Total IP (corrientes)]))+SUMPRODUCT((TablaInventarios[[#This Row],[Categoria]]=TablaMovimientos[Categoría])*(TablaMovimientos[Total $ corr-tes])*(TablaMovimientos[Fecha]&gt;$N$19)*(TablaMovimientos[Fecha]&lt;=$P$19))</f>
        <v>0</v>
      </c>
      <c r="P8" s="10">
        <f>IF($P$19=0,0,TablaInventarios[[#This Row],[$ Total FP (corrientes)]]*IF($S$23=FALSE,0,IF($T$19="SIPM",VLOOKUP(DATE(YEAR($P$19),MONTH($P$19),1),Indices[[Fecha]:[Indice SIPM]],2,FALSE),IF($T$19="Dólar Oficial",1/VLOOKUP(DATE(YEAR($P$19),MONTH($P$19),DAY($P$19)),Tabla5[],2),IF($T$19="Dólar Informal",1/VLOOKUP(DATE(YEAR($P$19),MONTH($P$19),DAY($P$19)),Tabla3[],2))))))</f>
        <v>0</v>
      </c>
      <c r="Q8" s="15"/>
      <c r="R8" s="96"/>
      <c r="S8" s="10">
        <f>TablaInventarios[[#This Row],[Kg./Cab. 
al Cierre]]*TablaInventarios[[#This Row],[$/Kg. 
al Cierre]]</f>
        <v>0</v>
      </c>
      <c r="T8" s="16">
        <f>TablaInventarios[[#This Row],[Cab. 
Stock]]*TablaInventarios[[#This Row],[Kg./Cab. 
al Cierre]]-TablaInventarios[[#This Row],[Kg. Totales 
Stock]]</f>
        <v>0</v>
      </c>
      <c r="U8" s="77">
        <f>TablaInventarios[[#This Row],[Cab. 
Stock]]*TablaInventarios[[#This Row],[Kg./Cab. 
al Cierre]]*TablaInventarios[[#This Row],[$/Kg. 
al Cierre]]-TablaInventarios[[#This Row],[$ Total FP (corrientes)]]</f>
        <v>0</v>
      </c>
      <c r="V8" s="206"/>
      <c r="W8" s="212" t="str">
        <f t="shared" si="1"/>
        <v>Fecha ???</v>
      </c>
      <c r="X8" s="105" t="str">
        <f t="shared" si="0"/>
        <v>Inventario de inicio</v>
      </c>
      <c r="Y8" s="86" t="s">
        <v>152</v>
      </c>
      <c r="Z8" s="107" t="s">
        <v>69</v>
      </c>
      <c r="AA8" s="160" t="s">
        <v>103</v>
      </c>
      <c r="AB8" s="104"/>
      <c r="AC8" s="86"/>
      <c r="AD8" s="83">
        <f>+TablaInventarios[[#This Row],[Cabezas]]</f>
        <v>0</v>
      </c>
      <c r="AE8" s="86"/>
      <c r="AF8" s="83">
        <f>+TablaInventarios[[#This Row],[Cabezas]]*TablaInventarios[[#This Row],[Kg/Cab.]]</f>
        <v>0</v>
      </c>
      <c r="AG8" s="89"/>
      <c r="AH8" s="83">
        <f>TablaInventarios[[#This Row],[Kg/Cab.]]*TablaInventarios[[#This Row],[$/Kg]]</f>
        <v>0</v>
      </c>
      <c r="AI8" s="84">
        <f>+TablaInventarios[[#This Row],[Kg.]]*TablaInventarios[[#This Row],[$/Kg]]</f>
        <v>0</v>
      </c>
      <c r="AJ8" s="9">
        <f>IF(W8="Fecha ???",0,TablaInventarios[[#This Row],[$ Total
(corrientes)]]*IF(AND($S$23=TRUE,$T$19="Dólar Informal"),1/VLOOKUP(TablaInventarios[[#This Row],[Fecha]],Tabla3[],2),IF(AND($S$23=TRUE,$T$19="Dólar Oficial"),1/VLOOKUP(TablaInventarios[[#This Row],[Fecha]],Tabla5[],2),IF(AND($S$23=TRUE,$T$19="SIPM"),VLOOKUP(DATE(YEAR(DATE(YEAR($W8),MONTH($W8),DAY($W8))-1),MONTH(DATE(YEAR($W8),MONTH($W8),DAY($W8))-1),1),Indices[[Fecha]:[Indice SIPM]],2,FALSE)))))</f>
        <v>0</v>
      </c>
      <c r="AM8" s="62"/>
      <c r="AN8" s="159"/>
    </row>
    <row r="9" spans="1:43" ht="13.5" thickBot="1" x14ac:dyDescent="0.25">
      <c r="A9" s="4" t="str">
        <f>+TablaInventarios[[#This Row],[Categoría]]</f>
        <v>Terneras</v>
      </c>
      <c r="B9" s="4" t="str">
        <f>+VLOOKUP(TablaInventarios[[#This Row],[Categoria]],TablaInventarios[[Categoría]:[Actividad]],2,FALSE)</f>
        <v>Recría</v>
      </c>
      <c r="C9" s="80">
        <f>+SUMPRODUCT((TablaInventarios[[#This Row],[Categoria]]=TablaInventarios[Categoria])*TablaInventarios[Cab.])+SUMPRODUCT((TablaInventarios[[#This Row],[Categoria]]=TablaMovimientos[Categoría])*(TablaMovimientos[Cab.])*(TablaMovimientos[Fecha]&lt;=$N$19))</f>
        <v>0</v>
      </c>
      <c r="D9" s="80" cm="1">
        <f t="array" ref="D9">IF(TablaInventarios[[#This Row],[Cab. 
Inicio período]]=0,0,(SUMPRODUCT((TablaInventarios[[#This Row],[Categoria]]=TablaInventarios[Categoria])*(TablaInventarios[Kg.]))+SUMPRODUCT((TablaInventarios[[#This Row],[Categoria]]=TablaMovimientos[Categoría])*(TablaMovimientos[Kg.])*(TablaMovimientos[Fecha]&lt;=$N$19)))/TablaInventarios[[#This Row],[Cab. 
Inicio período]])</f>
        <v>0</v>
      </c>
      <c r="E9" s="80" cm="1">
        <f t="array" ref="E9">SUMPRODUCT((TablaInventarios[[#This Row],[Categoria]]=TablaInventarios[Categoria])*TablaInventarios[Kg.])+SUMPRODUCT((TablaInventarios[[#This Row],[Categoria]]=TablaMovimientos[Categoría])*(TablaMovimientos[Cab.])*(TablaMovimientos[Fecha]&lt;=$N$19))</f>
        <v>0</v>
      </c>
      <c r="F9" s="80">
        <f>IF(TablaInventarios[[#This Row],[Kg. Totales 
Inicio período]]=0,0,TablaInventarios[[#This Row],[$ Total IP (corrientes)]]/TablaInventarios[[#This Row],[Kg. Totales 
Inicio período]])</f>
        <v>0</v>
      </c>
      <c r="G9" s="10">
        <f>+IF(TablaInventarios[[#This Row],[Cab. 
Inicio período]]=0,0,TablaInventarios[[#This Row],[$ Total IP (corrientes)]]/TablaInventarios[[#This Row],[Cab. 
Inicio período]])</f>
        <v>0</v>
      </c>
      <c r="H9" s="10" cm="1">
        <f t="array" ref="H9">+SUMPRODUCT((TablaInventarios[[#This Row],[Categoria]]=TablaInventarios[Categoria])*TablaInventarios[$ Total
(corrientes)])+SUMPRODUCT((TablaInventarios[[#This Row],[Categoria]]=TablaMovimientos[Categoría])*(TablaMovimientos[Total $ corr-tes])*(TablaMovimientos[Fecha]&lt;=$N$19))</f>
        <v>0</v>
      </c>
      <c r="I9" s="10">
        <f>IF($N$19=0,0,TablaInventarios[[#This Row],[$ Total IP (corrientes)]]*IF($S$23=FALSE,0,IF($T$19="SIPM",VLOOKUP(DATE(YEAR($N$19),MONTH($N$19)+IF(DAY($N$19)=1,-1,0),1),Indices[[Fecha]:[Indice SIPM]],2,FALSE),IF($T$19="Dólar Oficial",1/VLOOKUP(DATE(YEAR($N$19),MONTH($N$19),DAY($N$19)+IF(DAY($N$19)=1,-1,0)),Tabla5[],2),IF($T$19="Dólar Informal",1/VLOOKUP(DATE(YEAR($N$19),MONTH($N$19),DAY($N$19)+IF(DAY($N$19)=1,-1,0)),Tabla3[],2))))))</f>
        <v>0</v>
      </c>
      <c r="J9" s="192" cm="1">
        <f t="array" ref="J9">+SUMPRODUCT((TablaInventarios[[#This Row],[Categoria]]=TablaInventarios[Categoria])*(TablaInventarios[Cab. 
Inicio período]))+SUMPRODUCT((TablaInventarios[[#This Row],[Categoria]]=TablaMovimientos[Categoría])*(TablaMovimientos[Cab.])*(TablaMovimientos[Fecha]&gt;$N$19)*(TablaMovimientos[Fecha]&lt;=$P$19))</f>
        <v>0</v>
      </c>
      <c r="K9" s="10">
        <f>IFERROR(TablaInventarios[[#This Row],[Kg. Totales 
Stock]]/TablaInventarios[[#This Row],[Cab. 
Stock]],0)</f>
        <v>0</v>
      </c>
      <c r="L9" s="10" cm="1">
        <f t="array" ref="L9">+SUMPRODUCT((TablaInventarios[[#This Row],[Categoria]]=TablaInventarios[Categoria])*(TablaInventarios[Kg. Totales 
Inicio período]))+SUMPRODUCT((TablaInventarios[[#This Row],[Categoria]]=TablaMovimientos[Categoría])*(TablaMovimientos[Kg.])*(TablaMovimientos[Fecha]&gt;$N$19)*(TablaMovimientos[Fecha]&lt;=$P$19))</f>
        <v>0</v>
      </c>
      <c r="M9" s="10">
        <f>IF(TablaInventarios[[#This Row],[Kg. Totales 
Stock]]=0,TablaInventarios[[#This Row],[$/Kg. 
al Cierre]],IFERROR(TablaInventarios[[#This Row],[$ Total FP (corrientes)]]/TablaInventarios[[#This Row],[Kg. Totales 
Stock]],0))</f>
        <v>0</v>
      </c>
      <c r="N9" s="10">
        <f>IFERROR(TablaInventarios[[#This Row],[$ Total FP (corrientes)]]/TablaInventarios[[#This Row],[Cab. 
Stock]],0)</f>
        <v>0</v>
      </c>
      <c r="O9" s="10" cm="1">
        <f t="array" ref="O9">+SUMPRODUCT((TablaInventarios[[#This Row],[Categoria]]=TablaInventarios[Categoria])*(TablaInventarios[$ Total IP (corrientes)]))+SUMPRODUCT((TablaInventarios[[#This Row],[Categoria]]=TablaMovimientos[Categoría])*(TablaMovimientos[Total $ corr-tes])*(TablaMovimientos[Fecha]&gt;$N$19)*(TablaMovimientos[Fecha]&lt;=$P$19))</f>
        <v>0</v>
      </c>
      <c r="P9" s="10">
        <f>IF($P$19=0,0,TablaInventarios[[#This Row],[$ Total FP (corrientes)]]*IF($S$23=FALSE,0,IF($T$19="SIPM",VLOOKUP(DATE(YEAR($P$19),MONTH($P$19),1),Indices[[Fecha]:[Indice SIPM]],2,FALSE),IF($T$19="Dólar Oficial",1/VLOOKUP(DATE(YEAR($P$19),MONTH($P$19),DAY($P$19)),Tabla5[],2),IF($T$19="Dólar Informal",1/VLOOKUP(DATE(YEAR($P$19),MONTH($P$19),DAY($P$19)),Tabla3[],2))))))</f>
        <v>0</v>
      </c>
      <c r="Q9" s="15"/>
      <c r="R9" s="96"/>
      <c r="S9" s="10">
        <f>TablaInventarios[[#This Row],[Kg./Cab. 
al Cierre]]*TablaInventarios[[#This Row],[$/Kg. 
al Cierre]]</f>
        <v>0</v>
      </c>
      <c r="T9" s="16">
        <f>TablaInventarios[[#This Row],[Cab. 
Stock]]*TablaInventarios[[#This Row],[Kg./Cab. 
al Cierre]]-TablaInventarios[[#This Row],[Kg. Totales 
Stock]]</f>
        <v>0</v>
      </c>
      <c r="U9" s="77">
        <f>TablaInventarios[[#This Row],[Cab. 
Stock]]*TablaInventarios[[#This Row],[Kg./Cab. 
al Cierre]]*TablaInventarios[[#This Row],[$/Kg. 
al Cierre]]-TablaInventarios[[#This Row],[$ Total FP (corrientes)]]</f>
        <v>0</v>
      </c>
      <c r="V9" s="206"/>
      <c r="W9" s="212" t="str">
        <f t="shared" si="1"/>
        <v>Fecha ???</v>
      </c>
      <c r="X9" s="105" t="str">
        <f t="shared" si="0"/>
        <v>Inventario de inicio</v>
      </c>
      <c r="Y9" s="107" t="s">
        <v>144</v>
      </c>
      <c r="Z9" s="107" t="s">
        <v>69</v>
      </c>
      <c r="AA9" s="160" t="s">
        <v>103</v>
      </c>
      <c r="AB9" s="104"/>
      <c r="AC9" s="86"/>
      <c r="AD9" s="83">
        <f>+TablaInventarios[[#This Row],[Cabezas]]</f>
        <v>0</v>
      </c>
      <c r="AE9" s="86"/>
      <c r="AF9" s="83">
        <f>+TablaInventarios[[#This Row],[Cabezas]]*TablaInventarios[[#This Row],[Kg/Cab.]]</f>
        <v>0</v>
      </c>
      <c r="AG9" s="89"/>
      <c r="AH9" s="83">
        <f>TablaInventarios[[#This Row],[Kg/Cab.]]*TablaInventarios[[#This Row],[$/Kg]]</f>
        <v>0</v>
      </c>
      <c r="AI9" s="84">
        <f>+TablaInventarios[[#This Row],[Kg.]]*TablaInventarios[[#This Row],[$/Kg]]</f>
        <v>0</v>
      </c>
      <c r="AJ9" s="9">
        <f>IF(W9="Fecha ???",0,TablaInventarios[[#This Row],[$ Total
(corrientes)]]*IF(AND($S$23=TRUE,$T$19="Dólar Informal"),1/VLOOKUP(TablaInventarios[[#This Row],[Fecha]],Tabla3[],2),IF(AND($S$23=TRUE,$T$19="Dólar Oficial"),1/VLOOKUP(TablaInventarios[[#This Row],[Fecha]],Tabla5[],2),IF(AND($S$23=TRUE,$T$19="SIPM"),VLOOKUP(DATE(YEAR(DATE(YEAR($W9),MONTH($W9),DAY($W9))-1),MONTH(DATE(YEAR($W9),MONTH($W9),DAY($W9))-1),1),Indices[[Fecha]:[Indice SIPM]],2,FALSE)))))</f>
        <v>0</v>
      </c>
      <c r="AM9" s="62"/>
      <c r="AN9" s="159"/>
    </row>
    <row r="10" spans="1:43" ht="13.5" thickBot="1" x14ac:dyDescent="0.25">
      <c r="A10" s="4" t="str">
        <f>+TablaInventarios[[#This Row],[Categoría]]</f>
        <v>Terneros al pie</v>
      </c>
      <c r="B10" s="4" t="str">
        <f>+VLOOKUP(TablaInventarios[[#This Row],[Categoria]],TablaInventarios[[Categoría]:[Actividad]],2,FALSE)</f>
        <v>Cría</v>
      </c>
      <c r="C10" s="80">
        <f>+SUMPRODUCT((TablaInventarios[[#This Row],[Categoria]]=TablaInventarios[Categoria])*TablaInventarios[Cab.])+SUMPRODUCT((TablaInventarios[[#This Row],[Categoria]]=TablaMovimientos[Categoría])*(TablaMovimientos[Cab.])*(TablaMovimientos[Fecha]&lt;=$N$19))</f>
        <v>0</v>
      </c>
      <c r="D10" s="80" cm="1">
        <f t="array" ref="D10">IF(TablaInventarios[[#This Row],[Cab. 
Inicio período]]=0,0,(SUMPRODUCT((TablaInventarios[[#This Row],[Categoria]]=TablaInventarios[Categoria])*(TablaInventarios[Kg.]))+SUMPRODUCT((TablaInventarios[[#This Row],[Categoria]]=TablaMovimientos[Categoría])*(TablaMovimientos[Kg.])*(TablaMovimientos[Fecha]&lt;=$N$19)))/TablaInventarios[[#This Row],[Cab. 
Inicio período]])</f>
        <v>0</v>
      </c>
      <c r="E10" s="80" cm="1">
        <f t="array" ref="E10">SUMPRODUCT((TablaInventarios[[#This Row],[Categoria]]=TablaInventarios[Categoria])*TablaInventarios[Kg.])+SUMPRODUCT((TablaInventarios[[#This Row],[Categoria]]=TablaMovimientos[Categoría])*(TablaMovimientos[Cab.])*(TablaMovimientos[Fecha]&lt;=$N$19))</f>
        <v>0</v>
      </c>
      <c r="F10" s="80">
        <f>IF(TablaInventarios[[#This Row],[Kg. Totales 
Inicio período]]=0,0,TablaInventarios[[#This Row],[$ Total IP (corrientes)]]/TablaInventarios[[#This Row],[Kg. Totales 
Inicio período]])</f>
        <v>0</v>
      </c>
      <c r="G10" s="10">
        <f>+IF(TablaInventarios[[#This Row],[Cab. 
Inicio período]]=0,0,TablaInventarios[[#This Row],[$ Total IP (corrientes)]]/TablaInventarios[[#This Row],[Cab. 
Inicio período]])</f>
        <v>0</v>
      </c>
      <c r="H10" s="10" cm="1">
        <f t="array" ref="H10">+SUMPRODUCT((TablaInventarios[[#This Row],[Categoria]]=TablaInventarios[Categoria])*TablaInventarios[$ Total
(corrientes)])+SUMPRODUCT((TablaInventarios[[#This Row],[Categoria]]=TablaMovimientos[Categoría])*(TablaMovimientos[Total $ corr-tes])*(TablaMovimientos[Fecha]&lt;=$N$19))</f>
        <v>0</v>
      </c>
      <c r="I10" s="10">
        <f>IF($N$19=0,0,TablaInventarios[[#This Row],[$ Total IP (corrientes)]]*IF($S$23=FALSE,0,IF($T$19="SIPM",VLOOKUP(DATE(YEAR($N$19),MONTH($N$19)+IF(DAY($N$19)=1,-1,0),1),Indices[[Fecha]:[Indice SIPM]],2,FALSE),IF($T$19="Dólar Oficial",1/VLOOKUP(DATE(YEAR($N$19),MONTH($N$19),DAY($N$19)+IF(DAY($N$19)=1,-1,0)),Tabla5[],2),IF($T$19="Dólar Informal",1/VLOOKUP(DATE(YEAR($N$19),MONTH($N$19),DAY($N$19)+IF(DAY($N$19)=1,-1,0)),Tabla3[],2))))))</f>
        <v>0</v>
      </c>
      <c r="J10" s="192" cm="1">
        <f t="array" ref="J10">+SUMPRODUCT((TablaInventarios[[#This Row],[Categoria]]=TablaInventarios[Categoria])*(TablaInventarios[Cab. 
Inicio período]))+SUMPRODUCT((TablaInventarios[[#This Row],[Categoria]]=TablaMovimientos[Categoría])*(TablaMovimientos[Cab.])*(TablaMovimientos[Fecha]&gt;$N$19)*(TablaMovimientos[Fecha]&lt;=$P$19))</f>
        <v>0</v>
      </c>
      <c r="K10" s="10">
        <f>IFERROR(TablaInventarios[[#This Row],[Kg. Totales 
Stock]]/TablaInventarios[[#This Row],[Cab. 
Stock]],0)</f>
        <v>0</v>
      </c>
      <c r="L10" s="10" cm="1">
        <f t="array" ref="L10">+SUMPRODUCT((TablaInventarios[[#This Row],[Categoria]]=TablaInventarios[Categoria])*(TablaInventarios[Kg. Totales 
Inicio período]))+SUMPRODUCT((TablaInventarios[[#This Row],[Categoria]]=TablaMovimientos[Categoría])*(TablaMovimientos[Kg.])*(TablaMovimientos[Fecha]&gt;$N$19)*(TablaMovimientos[Fecha]&lt;=$P$19))</f>
        <v>0</v>
      </c>
      <c r="M10" s="10">
        <f>IF(TablaInventarios[[#This Row],[Kg. Totales 
Stock]]=0,TablaInventarios[[#This Row],[$/Kg. 
al Cierre]],IFERROR(TablaInventarios[[#This Row],[$ Total FP (corrientes)]]/TablaInventarios[[#This Row],[Kg. Totales 
Stock]],0))</f>
        <v>0</v>
      </c>
      <c r="N10" s="10">
        <f>IFERROR(TablaInventarios[[#This Row],[$ Total FP (corrientes)]]/TablaInventarios[[#This Row],[Cab. 
Stock]],0)</f>
        <v>0</v>
      </c>
      <c r="O10" s="10" cm="1">
        <f t="array" ref="O10">+SUMPRODUCT((TablaInventarios[[#This Row],[Categoria]]=TablaInventarios[Categoria])*(TablaInventarios[$ Total IP (corrientes)]))+SUMPRODUCT((TablaInventarios[[#This Row],[Categoria]]=TablaMovimientos[Categoría])*(TablaMovimientos[Total $ corr-tes])*(TablaMovimientos[Fecha]&gt;$N$19)*(TablaMovimientos[Fecha]&lt;=$P$19))</f>
        <v>0</v>
      </c>
      <c r="P10" s="10">
        <f>IF($P$19=0,0,TablaInventarios[[#This Row],[$ Total FP (corrientes)]]*IF($S$23=FALSE,0,IF($T$19="SIPM",VLOOKUP(DATE(YEAR($P$19),MONTH($P$19),1),Indices[[Fecha]:[Indice SIPM]],2,FALSE),IF($T$19="Dólar Oficial",1/VLOOKUP(DATE(YEAR($P$19),MONTH($P$19),DAY($P$19)),Tabla5[],2),IF($T$19="Dólar Informal",1/VLOOKUP(DATE(YEAR($P$19),MONTH($P$19),DAY($P$19)),Tabla3[],2))))))</f>
        <v>0</v>
      </c>
      <c r="Q10" s="15"/>
      <c r="R10" s="96"/>
      <c r="S10" s="10">
        <f>TablaInventarios[[#This Row],[Kg./Cab. 
al Cierre]]*TablaInventarios[[#This Row],[$/Kg. 
al Cierre]]</f>
        <v>0</v>
      </c>
      <c r="T10" s="16">
        <f>TablaInventarios[[#This Row],[Cab. 
Stock]]*TablaInventarios[[#This Row],[Kg./Cab. 
al Cierre]]-TablaInventarios[[#This Row],[Kg. Totales 
Stock]]</f>
        <v>0</v>
      </c>
      <c r="U10" s="77">
        <f>TablaInventarios[[#This Row],[Cab. 
Stock]]*TablaInventarios[[#This Row],[Kg./Cab. 
al Cierre]]*TablaInventarios[[#This Row],[$/Kg. 
al Cierre]]-TablaInventarios[[#This Row],[$ Total FP (corrientes)]]</f>
        <v>0</v>
      </c>
      <c r="V10" s="206"/>
      <c r="W10" s="212" t="str">
        <f t="shared" si="1"/>
        <v>Fecha ???</v>
      </c>
      <c r="X10" s="105" t="str">
        <f t="shared" si="0"/>
        <v>Inventario de inicio</v>
      </c>
      <c r="Y10" s="107" t="s">
        <v>145</v>
      </c>
      <c r="Z10" s="107" t="s">
        <v>140</v>
      </c>
      <c r="AA10" s="160" t="s">
        <v>103</v>
      </c>
      <c r="AB10" s="104"/>
      <c r="AC10" s="86"/>
      <c r="AD10" s="83">
        <f>+TablaInventarios[[#This Row],[Cabezas]]</f>
        <v>0</v>
      </c>
      <c r="AE10" s="86"/>
      <c r="AF10" s="83">
        <f>+TablaInventarios[[#This Row],[Cabezas]]*TablaInventarios[[#This Row],[Kg/Cab.]]</f>
        <v>0</v>
      </c>
      <c r="AG10" s="89"/>
      <c r="AH10" s="83">
        <f>TablaInventarios[[#This Row],[Kg/Cab.]]*TablaInventarios[[#This Row],[$/Kg]]</f>
        <v>0</v>
      </c>
      <c r="AI10" s="84">
        <f>+TablaInventarios[[#This Row],[Kg.]]*TablaInventarios[[#This Row],[$/Kg]]</f>
        <v>0</v>
      </c>
      <c r="AJ10" s="9">
        <f>IF(W10="Fecha ???",0,TablaInventarios[[#This Row],[$ Total
(corrientes)]]*IF(AND($S$23=TRUE,$T$19="Dólar Informal"),1/VLOOKUP(TablaInventarios[[#This Row],[Fecha]],Tabla3[],2),IF(AND($S$23=TRUE,$T$19="Dólar Oficial"),1/VLOOKUP(TablaInventarios[[#This Row],[Fecha]],Tabla5[],2),IF(AND($S$23=TRUE,$T$19="SIPM"),VLOOKUP(DATE(YEAR(DATE(YEAR($W10),MONTH($W10),DAY($W10))-1),MONTH(DATE(YEAR($W10),MONTH($W10),DAY($W10))-1),1),Indices[[Fecha]:[Indice SIPM]],2,FALSE)))))</f>
        <v>0</v>
      </c>
      <c r="AM10" s="62"/>
      <c r="AN10" s="159"/>
    </row>
    <row r="11" spans="1:43" ht="13.5" thickBot="1" x14ac:dyDescent="0.25">
      <c r="A11" s="4" t="str">
        <f>+TablaInventarios[[#This Row],[Categoría]]</f>
        <v>Toros refugo</v>
      </c>
      <c r="B11" s="4" t="str">
        <f>+VLOOKUP(TablaInventarios[[#This Row],[Categoria]],TablaInventarios[[Categoría]:[Actividad]],2,FALSE)</f>
        <v>Cría</v>
      </c>
      <c r="C11" s="80">
        <f>+SUMPRODUCT((TablaInventarios[[#This Row],[Categoria]]=TablaInventarios[Categoria])*TablaInventarios[Cab.])+SUMPRODUCT((TablaInventarios[[#This Row],[Categoria]]=TablaMovimientos[Categoría])*(TablaMovimientos[Cab.])*(TablaMovimientos[Fecha]&lt;=$N$19))</f>
        <v>0</v>
      </c>
      <c r="D11" s="80" cm="1">
        <f t="array" ref="D11">IF(TablaInventarios[[#This Row],[Cab. 
Inicio período]]=0,0,(SUMPRODUCT((TablaInventarios[[#This Row],[Categoria]]=TablaInventarios[Categoria])*(TablaInventarios[Kg.]))+SUMPRODUCT((TablaInventarios[[#This Row],[Categoria]]=TablaMovimientos[Categoría])*(TablaMovimientos[Kg.])*(TablaMovimientos[Fecha]&lt;=$N$19)))/TablaInventarios[[#This Row],[Cab. 
Inicio período]])</f>
        <v>0</v>
      </c>
      <c r="E11" s="80" cm="1">
        <f t="array" ref="E11">SUMPRODUCT((TablaInventarios[[#This Row],[Categoria]]=TablaInventarios[Categoria])*TablaInventarios[Kg.])+SUMPRODUCT((TablaInventarios[[#This Row],[Categoria]]=TablaMovimientos[Categoría])*(TablaMovimientos[Cab.])*(TablaMovimientos[Fecha]&lt;=$N$19))</f>
        <v>0</v>
      </c>
      <c r="F11" s="80">
        <f>IF(TablaInventarios[[#This Row],[Kg. Totales 
Inicio período]]=0,0,TablaInventarios[[#This Row],[$ Total IP (corrientes)]]/TablaInventarios[[#This Row],[Kg. Totales 
Inicio período]])</f>
        <v>0</v>
      </c>
      <c r="G11" s="10">
        <f>+IF(TablaInventarios[[#This Row],[Cab. 
Inicio período]]=0,0,TablaInventarios[[#This Row],[$ Total IP (corrientes)]]/TablaInventarios[[#This Row],[Cab. 
Inicio período]])</f>
        <v>0</v>
      </c>
      <c r="H11" s="10" cm="1">
        <f t="array" ref="H11">+SUMPRODUCT((TablaInventarios[[#This Row],[Categoria]]=TablaInventarios[Categoria])*TablaInventarios[$ Total
(corrientes)])+SUMPRODUCT((TablaInventarios[[#This Row],[Categoria]]=TablaMovimientos[Categoría])*(TablaMovimientos[Total $ corr-tes])*(TablaMovimientos[Fecha]&lt;=$N$19))</f>
        <v>0</v>
      </c>
      <c r="I11" s="10">
        <f>IF($N$19=0,0,TablaInventarios[[#This Row],[$ Total IP (corrientes)]]*IF($S$23=FALSE,0,IF($T$19="SIPM",VLOOKUP(DATE(YEAR($N$19),MONTH($N$19)+IF(DAY($N$19)=1,-1,0),1),Indices[[Fecha]:[Indice SIPM]],2,FALSE),IF($T$19="Dólar Oficial",1/VLOOKUP(DATE(YEAR($N$19),MONTH($N$19),DAY($N$19)+IF(DAY($N$19)=1,-1,0)),Tabla5[],2),IF($T$19="Dólar Informal",1/VLOOKUP(DATE(YEAR($N$19),MONTH($N$19),DAY($N$19)+IF(DAY($N$19)=1,-1,0)),Tabla3[],2))))))</f>
        <v>0</v>
      </c>
      <c r="J11" s="192" cm="1">
        <f t="array" ref="J11">+SUMPRODUCT((TablaInventarios[[#This Row],[Categoria]]=TablaInventarios[Categoria])*(TablaInventarios[Cab. 
Inicio período]))+SUMPRODUCT((TablaInventarios[[#This Row],[Categoria]]=TablaMovimientos[Categoría])*(TablaMovimientos[Cab.])*(TablaMovimientos[Fecha]&gt;$N$19)*(TablaMovimientos[Fecha]&lt;=$P$19))</f>
        <v>0</v>
      </c>
      <c r="K11" s="10">
        <f>IFERROR(TablaInventarios[[#This Row],[Kg. Totales 
Stock]]/TablaInventarios[[#This Row],[Cab. 
Stock]],0)</f>
        <v>0</v>
      </c>
      <c r="L11" s="10" cm="1">
        <f t="array" ref="L11">+SUMPRODUCT((TablaInventarios[[#This Row],[Categoria]]=TablaInventarios[Categoria])*(TablaInventarios[Kg. Totales 
Inicio período]))+SUMPRODUCT((TablaInventarios[[#This Row],[Categoria]]=TablaMovimientos[Categoría])*(TablaMovimientos[Kg.])*(TablaMovimientos[Fecha]&gt;$N$19)*(TablaMovimientos[Fecha]&lt;=$P$19))</f>
        <v>0</v>
      </c>
      <c r="M11" s="10">
        <f>IF(TablaInventarios[[#This Row],[Kg. Totales 
Stock]]=0,TablaInventarios[[#This Row],[$/Kg. 
al Cierre]],IFERROR(TablaInventarios[[#This Row],[$ Total FP (corrientes)]]/TablaInventarios[[#This Row],[Kg. Totales 
Stock]],0))</f>
        <v>0</v>
      </c>
      <c r="N11" s="10">
        <f>IFERROR(TablaInventarios[[#This Row],[$ Total FP (corrientes)]]/TablaInventarios[[#This Row],[Cab. 
Stock]],0)</f>
        <v>0</v>
      </c>
      <c r="O11" s="10" cm="1">
        <f t="array" ref="O11">+SUMPRODUCT((TablaInventarios[[#This Row],[Categoria]]=TablaInventarios[Categoria])*(TablaInventarios[$ Total IP (corrientes)]))+SUMPRODUCT((TablaInventarios[[#This Row],[Categoria]]=TablaMovimientos[Categoría])*(TablaMovimientos[Total $ corr-tes])*(TablaMovimientos[Fecha]&gt;$N$19)*(TablaMovimientos[Fecha]&lt;=$P$19))</f>
        <v>0</v>
      </c>
      <c r="P11" s="10">
        <f>IF($P$19=0,0,TablaInventarios[[#This Row],[$ Total FP (corrientes)]]*IF($S$23=FALSE,0,IF($T$19="SIPM",VLOOKUP(DATE(YEAR($P$19),MONTH($P$19),1),Indices[[Fecha]:[Indice SIPM]],2,FALSE),IF($T$19="Dólar Oficial",1/VLOOKUP(DATE(YEAR($P$19),MONTH($P$19),DAY($P$19)),Tabla5[],2),IF($T$19="Dólar Informal",1/VLOOKUP(DATE(YEAR($P$19),MONTH($P$19),DAY($P$19)),Tabla3[],2))))))</f>
        <v>0</v>
      </c>
      <c r="Q11" s="15"/>
      <c r="R11" s="96"/>
      <c r="S11" s="10">
        <f>TablaInventarios[[#This Row],[Kg./Cab. 
al Cierre]]*TablaInventarios[[#This Row],[$/Kg. 
al Cierre]]</f>
        <v>0</v>
      </c>
      <c r="T11" s="16">
        <f>TablaInventarios[[#This Row],[Cab. 
Stock]]*TablaInventarios[[#This Row],[Kg./Cab. 
al Cierre]]-TablaInventarios[[#This Row],[Kg. Totales 
Stock]]</f>
        <v>0</v>
      </c>
      <c r="U11" s="77">
        <f>TablaInventarios[[#This Row],[Cab. 
Stock]]*TablaInventarios[[#This Row],[Kg./Cab. 
al Cierre]]*TablaInventarios[[#This Row],[$/Kg. 
al Cierre]]-TablaInventarios[[#This Row],[$ Total FP (corrientes)]]</f>
        <v>0</v>
      </c>
      <c r="V11" s="206"/>
      <c r="W11" s="212" t="str">
        <f t="shared" si="1"/>
        <v>Fecha ???</v>
      </c>
      <c r="X11" s="105" t="str">
        <f t="shared" si="0"/>
        <v>Inventario de inicio</v>
      </c>
      <c r="Y11" s="107" t="s">
        <v>146</v>
      </c>
      <c r="Z11" s="107" t="s">
        <v>140</v>
      </c>
      <c r="AA11" s="160" t="s">
        <v>103</v>
      </c>
      <c r="AB11" s="104"/>
      <c r="AC11" s="86"/>
      <c r="AD11" s="83">
        <f>+TablaInventarios[[#This Row],[Cabezas]]</f>
        <v>0</v>
      </c>
      <c r="AE11" s="86"/>
      <c r="AF11" s="83">
        <f>+TablaInventarios[[#This Row],[Cabezas]]*TablaInventarios[[#This Row],[Kg/Cab.]]</f>
        <v>0</v>
      </c>
      <c r="AG11" s="89"/>
      <c r="AH11" s="83">
        <f>TablaInventarios[[#This Row],[Kg/Cab.]]*TablaInventarios[[#This Row],[$/Kg]]</f>
        <v>0</v>
      </c>
      <c r="AI11" s="84">
        <f>+TablaInventarios[[#This Row],[Kg.]]*TablaInventarios[[#This Row],[$/Kg]]</f>
        <v>0</v>
      </c>
      <c r="AJ11" s="9">
        <f>IF(W11="Fecha ???",0,TablaInventarios[[#This Row],[$ Total
(corrientes)]]*IF(AND($S$23=TRUE,$T$19="Dólar Informal"),1/VLOOKUP(TablaInventarios[[#This Row],[Fecha]],Tabla3[],2),IF(AND($S$23=TRUE,$T$19="Dólar Oficial"),1/VLOOKUP(TablaInventarios[[#This Row],[Fecha]],Tabla5[],2),IF(AND($S$23=TRUE,$T$19="SIPM"),VLOOKUP(DATE(YEAR(DATE(YEAR($W11),MONTH($W11),DAY($W11))-1),MONTH(DATE(YEAR($W11),MONTH($W11),DAY($W11))-1),1),Indices[[Fecha]:[Indice SIPM]],2,FALSE)))))</f>
        <v>0</v>
      </c>
      <c r="AM11" s="62"/>
      <c r="AN11" s="159"/>
    </row>
    <row r="12" spans="1:43" ht="13.5" thickBot="1" x14ac:dyDescent="0.25">
      <c r="A12" s="4" t="str">
        <f>+TablaInventarios[[#This Row],[Categoría]]</f>
        <v>Vacas refugo</v>
      </c>
      <c r="B12" s="4" t="str">
        <f>+VLOOKUP(TablaInventarios[[#This Row],[Categoria]],TablaInventarios[[Categoría]:[Actividad]],2,FALSE)</f>
        <v>Cría</v>
      </c>
      <c r="C12" s="80">
        <f>+SUMPRODUCT((TablaInventarios[[#This Row],[Categoria]]=TablaInventarios[Categoria])*TablaInventarios[Cab.])+SUMPRODUCT((TablaInventarios[[#This Row],[Categoria]]=TablaMovimientos[Categoría])*(TablaMovimientos[Cab.])*(TablaMovimientos[Fecha]&lt;=$N$19))</f>
        <v>0</v>
      </c>
      <c r="D12" s="80" cm="1">
        <f t="array" ref="D12">IF(TablaInventarios[[#This Row],[Cab. 
Inicio período]]=0,0,(SUMPRODUCT((TablaInventarios[[#This Row],[Categoria]]=TablaInventarios[Categoria])*(TablaInventarios[Kg.]))+SUMPRODUCT((TablaInventarios[[#This Row],[Categoria]]=TablaMovimientos[Categoría])*(TablaMovimientos[Kg.])*(TablaMovimientos[Fecha]&lt;=$N$19)))/TablaInventarios[[#This Row],[Cab. 
Inicio período]])</f>
        <v>0</v>
      </c>
      <c r="E12" s="80" cm="1">
        <f t="array" ref="E12">SUMPRODUCT((TablaInventarios[[#This Row],[Categoria]]=TablaInventarios[Categoria])*TablaInventarios[Kg.])+SUMPRODUCT((TablaInventarios[[#This Row],[Categoria]]=TablaMovimientos[Categoría])*(TablaMovimientos[Cab.])*(TablaMovimientos[Fecha]&lt;=$N$19))</f>
        <v>0</v>
      </c>
      <c r="F12" s="80">
        <f>IF(TablaInventarios[[#This Row],[Kg. Totales 
Inicio período]]=0,0,TablaInventarios[[#This Row],[$ Total IP (corrientes)]]/TablaInventarios[[#This Row],[Kg. Totales 
Inicio período]])</f>
        <v>0</v>
      </c>
      <c r="G12" s="10">
        <f>+IF(TablaInventarios[[#This Row],[Cab. 
Inicio período]]=0,0,TablaInventarios[[#This Row],[$ Total IP (corrientes)]]/TablaInventarios[[#This Row],[Cab. 
Inicio período]])</f>
        <v>0</v>
      </c>
      <c r="H12" s="10" cm="1">
        <f t="array" ref="H12">+SUMPRODUCT((TablaInventarios[[#This Row],[Categoria]]=TablaInventarios[Categoria])*TablaInventarios[$ Total
(corrientes)])+SUMPRODUCT((TablaInventarios[[#This Row],[Categoria]]=TablaMovimientos[Categoría])*(TablaMovimientos[Total $ corr-tes])*(TablaMovimientos[Fecha]&lt;=$N$19))</f>
        <v>0</v>
      </c>
      <c r="I12" s="10">
        <f>IF($N$19=0,0,TablaInventarios[[#This Row],[$ Total IP (corrientes)]]*IF($S$23=FALSE,0,IF($T$19="SIPM",VLOOKUP(DATE(YEAR($N$19),MONTH($N$19)+IF(DAY($N$19)=1,-1,0),1),Indices[[Fecha]:[Indice SIPM]],2,FALSE),IF($T$19="Dólar Oficial",1/VLOOKUP(DATE(YEAR($N$19),MONTH($N$19),DAY($N$19)+IF(DAY($N$19)=1,-1,0)),Tabla5[],2),IF($T$19="Dólar Informal",1/VLOOKUP(DATE(YEAR($N$19),MONTH($N$19),DAY($N$19)+IF(DAY($N$19)=1,-1,0)),Tabla3[],2))))))</f>
        <v>0</v>
      </c>
      <c r="J12" s="192" cm="1">
        <f t="array" ref="J12">+SUMPRODUCT((TablaInventarios[[#This Row],[Categoria]]=TablaInventarios[Categoria])*(TablaInventarios[Cab. 
Inicio período]))+SUMPRODUCT((TablaInventarios[[#This Row],[Categoria]]=TablaMovimientos[Categoría])*(TablaMovimientos[Cab.])*(TablaMovimientos[Fecha]&gt;$N$19)*(TablaMovimientos[Fecha]&lt;=$P$19))</f>
        <v>0</v>
      </c>
      <c r="K12" s="10">
        <f>IFERROR(TablaInventarios[[#This Row],[Kg. Totales 
Stock]]/TablaInventarios[[#This Row],[Cab. 
Stock]],0)</f>
        <v>0</v>
      </c>
      <c r="L12" s="10" cm="1">
        <f t="array" ref="L12">+SUMPRODUCT((TablaInventarios[[#This Row],[Categoria]]=TablaInventarios[Categoria])*(TablaInventarios[Kg. Totales 
Inicio período]))+SUMPRODUCT((TablaInventarios[[#This Row],[Categoria]]=TablaMovimientos[Categoría])*(TablaMovimientos[Kg.])*(TablaMovimientos[Fecha]&gt;$N$19)*(TablaMovimientos[Fecha]&lt;=$P$19))</f>
        <v>0</v>
      </c>
      <c r="M12" s="10">
        <f>IF(TablaInventarios[[#This Row],[Kg. Totales 
Stock]]=0,TablaInventarios[[#This Row],[$/Kg. 
al Cierre]],IFERROR(TablaInventarios[[#This Row],[$ Total FP (corrientes)]]/TablaInventarios[[#This Row],[Kg. Totales 
Stock]],0))</f>
        <v>0</v>
      </c>
      <c r="N12" s="10">
        <f>IFERROR(TablaInventarios[[#This Row],[$ Total FP (corrientes)]]/TablaInventarios[[#This Row],[Cab. 
Stock]],0)</f>
        <v>0</v>
      </c>
      <c r="O12" s="10" cm="1">
        <f t="array" ref="O12">+SUMPRODUCT((TablaInventarios[[#This Row],[Categoria]]=TablaInventarios[Categoria])*(TablaInventarios[$ Total IP (corrientes)]))+SUMPRODUCT((TablaInventarios[[#This Row],[Categoria]]=TablaMovimientos[Categoría])*(TablaMovimientos[Total $ corr-tes])*(TablaMovimientos[Fecha]&gt;$N$19)*(TablaMovimientos[Fecha]&lt;=$P$19))</f>
        <v>0</v>
      </c>
      <c r="P12" s="10">
        <f>IF($P$19=0,0,TablaInventarios[[#This Row],[$ Total FP (corrientes)]]*IF($S$23=FALSE,0,IF($T$19="SIPM",VLOOKUP(DATE(YEAR($P$19),MONTH($P$19),1),Indices[[Fecha]:[Indice SIPM]],2,FALSE),IF($T$19="Dólar Oficial",1/VLOOKUP(DATE(YEAR($P$19),MONTH($P$19),DAY($P$19)),Tabla5[],2),IF($T$19="Dólar Informal",1/VLOOKUP(DATE(YEAR($P$19),MONTH($P$19),DAY($P$19)),Tabla3[],2))))))</f>
        <v>0</v>
      </c>
      <c r="Q12" s="15"/>
      <c r="R12" s="96"/>
      <c r="S12" s="10">
        <f>TablaInventarios[[#This Row],[Kg./Cab. 
al Cierre]]*TablaInventarios[[#This Row],[$/Kg. 
al Cierre]]</f>
        <v>0</v>
      </c>
      <c r="T12" s="16">
        <f>TablaInventarios[[#This Row],[Cab. 
Stock]]*TablaInventarios[[#This Row],[Kg./Cab. 
al Cierre]]-TablaInventarios[[#This Row],[Kg. Totales 
Stock]]</f>
        <v>0</v>
      </c>
      <c r="U12" s="77">
        <f>TablaInventarios[[#This Row],[Cab. 
Stock]]*TablaInventarios[[#This Row],[Kg./Cab. 
al Cierre]]*TablaInventarios[[#This Row],[$/Kg. 
al Cierre]]-TablaInventarios[[#This Row],[$ Total FP (corrientes)]]</f>
        <v>0</v>
      </c>
      <c r="V12" s="206"/>
      <c r="W12" s="212" t="str">
        <f t="shared" si="1"/>
        <v>Fecha ???</v>
      </c>
      <c r="X12" s="105" t="str">
        <f t="shared" si="0"/>
        <v>Inventario de inicio</v>
      </c>
      <c r="Y12" s="107" t="s">
        <v>147</v>
      </c>
      <c r="Z12" s="107" t="s">
        <v>140</v>
      </c>
      <c r="AA12" s="160" t="s">
        <v>103</v>
      </c>
      <c r="AB12" s="104"/>
      <c r="AC12" s="86"/>
      <c r="AD12" s="83">
        <f>+TablaInventarios[[#This Row],[Cabezas]]</f>
        <v>0</v>
      </c>
      <c r="AE12" s="86"/>
      <c r="AF12" s="83">
        <f>+TablaInventarios[[#This Row],[Cabezas]]*TablaInventarios[[#This Row],[Kg/Cab.]]</f>
        <v>0</v>
      </c>
      <c r="AG12" s="89"/>
      <c r="AH12" s="83">
        <f>TablaInventarios[[#This Row],[Kg/Cab.]]*TablaInventarios[[#This Row],[$/Kg]]</f>
        <v>0</v>
      </c>
      <c r="AI12" s="84">
        <f>+TablaInventarios[[#This Row],[Kg.]]*TablaInventarios[[#This Row],[$/Kg]]</f>
        <v>0</v>
      </c>
      <c r="AJ12" s="9">
        <f>IF(W12="Fecha ???",0,TablaInventarios[[#This Row],[$ Total
(corrientes)]]*IF(AND($S$23=TRUE,$T$19="Dólar Informal"),1/VLOOKUP(TablaInventarios[[#This Row],[Fecha]],Tabla3[],2),IF(AND($S$23=TRUE,$T$19="Dólar Oficial"),1/VLOOKUP(TablaInventarios[[#This Row],[Fecha]],Tabla5[],2),IF(AND($S$23=TRUE,$T$19="SIPM"),VLOOKUP(DATE(YEAR(DATE(YEAR($W12),MONTH($W12),DAY($W12))-1),MONTH(DATE(YEAR($W12),MONTH($W12),DAY($W12))-1),1),Indices[[Fecha]:[Indice SIPM]],2,FALSE)))))</f>
        <v>0</v>
      </c>
      <c r="AM12" s="62"/>
      <c r="AN12" s="159"/>
    </row>
    <row r="13" spans="1:43" ht="13.5" thickBot="1" x14ac:dyDescent="0.25">
      <c r="A13" s="214" t="str">
        <f>+TablaInventarios[[#This Row],[Categoría]]</f>
        <v>Novillitos 260-300</v>
      </c>
      <c r="B13" s="214" t="str">
        <f>+VLOOKUP(TablaInventarios[[#This Row],[Categoria]],TablaInventarios[[Categoría]:[Actividad]],2,FALSE)</f>
        <v>Recría</v>
      </c>
      <c r="C13" s="80">
        <f>+SUMPRODUCT((TablaInventarios[[#This Row],[Categoria]]=TablaInventarios[Categoria])*TablaInventarios[Cab.])+SUMPRODUCT((TablaInventarios[[#This Row],[Categoria]]=TablaMovimientos[Categoría])*(TablaMovimientos[Cab.])*(TablaMovimientos[Fecha]&lt;=$N$19))</f>
        <v>0</v>
      </c>
      <c r="D13" s="80">
        <f t="array" ref="D13">IF(TablaInventarios[[#This Row],[Cab. 
Inicio período]]=0,0,(SUMPRODUCT((TablaInventarios[[#This Row],[Categoria]]=TablaInventarios[Categoria])*(TablaInventarios[Kg.]))+SUMPRODUCT((TablaInventarios[[#This Row],[Categoria]]=TablaMovimientos[Categoría])*(TablaMovimientos[Kg.])*(TablaMovimientos[Fecha]&lt;=$N$19)))/TablaInventarios[[#This Row],[Cab. 
Inicio período]])</f>
        <v>0</v>
      </c>
      <c r="E13" s="80">
        <f t="array" ref="E13">SUMPRODUCT((TablaInventarios[[#This Row],[Categoria]]=TablaInventarios[Categoria])*TablaInventarios[Kg.])+SUMPRODUCT((TablaInventarios[[#This Row],[Categoria]]=TablaMovimientos[Categoría])*(TablaMovimientos[Cab.])*(TablaMovimientos[Fecha]&lt;=$N$19))</f>
        <v>0</v>
      </c>
      <c r="F13" s="80">
        <f>IF(TablaInventarios[[#This Row],[Kg. Totales 
Inicio período]]=0,0,TablaInventarios[[#This Row],[$ Total IP (corrientes)]]/TablaInventarios[[#This Row],[Kg. Totales 
Inicio período]])</f>
        <v>0</v>
      </c>
      <c r="G13" s="10">
        <f>+IF(TablaInventarios[[#This Row],[Cab. 
Inicio período]]=0,0,TablaInventarios[[#This Row],[$ Total IP (corrientes)]]/TablaInventarios[[#This Row],[Cab. 
Inicio período]])</f>
        <v>0</v>
      </c>
      <c r="H13" s="10">
        <f t="array" ref="H13">+SUMPRODUCT((TablaInventarios[[#This Row],[Categoria]]=TablaInventarios[Categoria])*TablaInventarios[$ Total
(corrientes)])+SUMPRODUCT((TablaInventarios[[#This Row],[Categoria]]=TablaMovimientos[Categoría])*(TablaMovimientos[Total $ corr-tes])*(TablaMovimientos[Fecha]&lt;=$N$19))</f>
        <v>0</v>
      </c>
      <c r="I13" s="10">
        <f>IF($N$19=0,0,TablaInventarios[[#This Row],[$ Total IP (corrientes)]]*IF($S$23=FALSE,0,IF($T$19="SIPM",VLOOKUP(DATE(YEAR($N$19),MONTH($N$19)+IF(DAY($N$19)=1,-1,0),1),Indices[[Fecha]:[Indice SIPM]],2,FALSE),IF($T$19="Dólar Oficial",1/VLOOKUP(DATE(YEAR($N$19),MONTH($N$19),DAY($N$19)+IF(DAY($N$19)=1,-1,0)),Tabla5[],2),IF($T$19="Dólar Informal",1/VLOOKUP(DATE(YEAR($N$19),MONTH($N$19),DAY($N$19)+IF(DAY($N$19)=1,-1,0)),Tabla3[],2))))))</f>
        <v>0</v>
      </c>
      <c r="J13" s="192">
        <f t="array" ref="J13">+SUMPRODUCT((TablaInventarios[[#This Row],[Categoria]]=TablaInventarios[Categoria])*(TablaInventarios[Cab. 
Inicio período]))+SUMPRODUCT((TablaInventarios[[#This Row],[Categoria]]=TablaMovimientos[Categoría])*(TablaMovimientos[Cab.])*(TablaMovimientos[Fecha]&gt;$N$19)*(TablaMovimientos[Fecha]&lt;=$P$19))</f>
        <v>0</v>
      </c>
      <c r="K13" s="10">
        <f>IFERROR(TablaInventarios[[#This Row],[Kg. Totales 
Stock]]/TablaInventarios[[#This Row],[Cab. 
Stock]],0)</f>
        <v>0</v>
      </c>
      <c r="L13" s="10">
        <f t="array" ref="L13">+SUMPRODUCT((TablaInventarios[[#This Row],[Categoria]]=TablaInventarios[Categoria])*(TablaInventarios[Kg. Totales 
Inicio período]))+SUMPRODUCT((TablaInventarios[[#This Row],[Categoria]]=TablaMovimientos[Categoría])*(TablaMovimientos[Kg.])*(TablaMovimientos[Fecha]&gt;$N$19)*(TablaMovimientos[Fecha]&lt;=$P$19))</f>
        <v>0</v>
      </c>
      <c r="M13" s="10">
        <f>IF(TablaInventarios[[#This Row],[Kg. Totales 
Stock]]=0,TablaInventarios[[#This Row],[$/Kg. 
al Cierre]],IFERROR(TablaInventarios[[#This Row],[$ Total FP (corrientes)]]/TablaInventarios[[#This Row],[Kg. Totales 
Stock]],0))</f>
        <v>0</v>
      </c>
      <c r="N13" s="10">
        <f>IFERROR(TablaInventarios[[#This Row],[$ Total FP (corrientes)]]/TablaInventarios[[#This Row],[Cab. 
Stock]],0)</f>
        <v>0</v>
      </c>
      <c r="O13" s="10">
        <f t="array" ref="O13">+SUMPRODUCT((TablaInventarios[[#This Row],[Categoria]]=TablaInventarios[Categoria])*(TablaInventarios[$ Total IP (corrientes)]))+SUMPRODUCT((TablaInventarios[[#This Row],[Categoria]]=TablaMovimientos[Categoría])*(TablaMovimientos[Total $ corr-tes])*(TablaMovimientos[Fecha]&gt;$N$19)*(TablaMovimientos[Fecha]&lt;=$P$19))</f>
        <v>0</v>
      </c>
      <c r="P13" s="10">
        <f>IF($P$19=0,0,TablaInventarios[[#This Row],[$ Total FP (corrientes)]]*IF($S$23=FALSE,0,IF($T$19="SIPM",VLOOKUP(DATE(YEAR($P$19),MONTH($P$19),1),Indices[[Fecha]:[Indice SIPM]],2,FALSE),IF($T$19="Dólar Oficial",1/VLOOKUP(DATE(YEAR($P$19),MONTH($P$19),DAY($P$19)),Tabla5[],2),IF($T$19="Dólar Informal",1/VLOOKUP(DATE(YEAR($P$19),MONTH($P$19),DAY($P$19)),Tabla3[],2))))))</f>
        <v>0</v>
      </c>
      <c r="Q13" s="15"/>
      <c r="R13" s="216"/>
      <c r="S13" s="10">
        <f>TablaInventarios[[#This Row],[Kg./Cab. 
al Cierre]]*TablaInventarios[[#This Row],[$/Kg. 
al Cierre]]</f>
        <v>0</v>
      </c>
      <c r="T13" s="217">
        <f>TablaInventarios[[#This Row],[Cab. 
Stock]]*TablaInventarios[[#This Row],[Kg./Cab. 
al Cierre]]-TablaInventarios[[#This Row],[Kg. Totales 
Stock]]</f>
        <v>0</v>
      </c>
      <c r="U13" s="218">
        <f>TablaInventarios[[#This Row],[Cab. 
Stock]]*TablaInventarios[[#This Row],[Kg./Cab. 
al Cierre]]*TablaInventarios[[#This Row],[$/Kg. 
al Cierre]]-TablaInventarios[[#This Row],[$ Total FP (corrientes)]]</f>
        <v>0</v>
      </c>
      <c r="V13" s="206"/>
      <c r="W13" s="212" t="str">
        <f t="shared" si="1"/>
        <v>Fecha ???</v>
      </c>
      <c r="X13" s="219" t="str">
        <f>"Inventario de inicio"</f>
        <v>Inventario de inicio</v>
      </c>
      <c r="Y13" s="86" t="s">
        <v>154</v>
      </c>
      <c r="Z13" s="107" t="s">
        <v>69</v>
      </c>
      <c r="AA13" s="160" t="s">
        <v>103</v>
      </c>
      <c r="AB13" s="220"/>
      <c r="AC13" s="86"/>
      <c r="AD13" s="221">
        <f>+TablaInventarios[[#This Row],[Cabezas]]</f>
        <v>0</v>
      </c>
      <c r="AE13" s="86"/>
      <c r="AF13" s="221">
        <f>+TablaInventarios[[#This Row],[Cabezas]]*TablaInventarios[[#This Row],[Kg/Cab.]]</f>
        <v>0</v>
      </c>
      <c r="AG13" s="222"/>
      <c r="AH13" s="84">
        <f>TablaInventarios[[#This Row],[Kg/Cab.]]*TablaInventarios[[#This Row],[$/Kg]]</f>
        <v>0</v>
      </c>
      <c r="AI13" s="84">
        <f>+TablaInventarios[[#This Row],[Kg.]]*TablaInventarios[[#This Row],[$/Kg]]</f>
        <v>0</v>
      </c>
      <c r="AJ13" s="84">
        <f>IF(W13="Fecha ???",0,TablaInventarios[[#This Row],[$ Total
(corrientes)]]*IF(AND($S$23=TRUE,$T$19="Dólar Informal"),1/VLOOKUP(TablaInventarios[[#This Row],[Fecha]],Tabla3[],2),IF(AND($S$23=TRUE,$T$19="Dólar Oficial"),1/VLOOKUP(TablaInventarios[[#This Row],[Fecha]],Tabla5[],2),IF(AND($S$23=TRUE,$T$19="SIPM"),VLOOKUP(DATE(YEAR(DATE(YEAR($W13),MONTH($W13),DAY($W13))-1),MONTH(DATE(YEAR($W13),MONTH($W13),DAY($W13))-1),1),Indices[[Fecha]:[Indice SIPM]],2,FALSE)))))</f>
        <v>0</v>
      </c>
      <c r="AN13" s="159"/>
    </row>
    <row r="14" spans="1:43" ht="13.5" thickBot="1" x14ac:dyDescent="0.25">
      <c r="A14" s="4" t="str">
        <f>+TablaInventarios[[#This Row],[Categoría]]</f>
        <v>Novillitos 230-260</v>
      </c>
      <c r="B14" s="4" t="str">
        <f>+VLOOKUP(TablaInventarios[[#This Row],[Categoria]],TablaInventarios[[Categoría]:[Actividad]],2,FALSE)</f>
        <v>Recría</v>
      </c>
      <c r="C14" s="80">
        <f>+SUMPRODUCT((TablaInventarios[[#This Row],[Categoria]]=TablaInventarios[Categoria])*TablaInventarios[Cab.])+SUMPRODUCT((TablaInventarios[[#This Row],[Categoria]]=TablaMovimientos[Categoría])*(TablaMovimientos[Cab.])*(TablaMovimientos[Fecha]&lt;=$N$19))</f>
        <v>0</v>
      </c>
      <c r="D14" s="80" cm="1">
        <f t="array" ref="D14">IF(TablaInventarios[[#This Row],[Cab. 
Inicio período]]=0,0,(SUMPRODUCT((TablaInventarios[[#This Row],[Categoria]]=TablaInventarios[Categoria])*(TablaInventarios[Kg.]))+SUMPRODUCT((TablaInventarios[[#This Row],[Categoria]]=TablaMovimientos[Categoría])*(TablaMovimientos[Kg.])*(TablaMovimientos[Fecha]&lt;=$N$19)))/TablaInventarios[[#This Row],[Cab. 
Inicio período]])</f>
        <v>0</v>
      </c>
      <c r="E14" s="80" cm="1">
        <f t="array" ref="E14">SUMPRODUCT((TablaInventarios[[#This Row],[Categoria]]=TablaInventarios[Categoria])*TablaInventarios[Kg.])+SUMPRODUCT((TablaInventarios[[#This Row],[Categoria]]=TablaMovimientos[Categoría])*(TablaMovimientos[Cab.])*(TablaMovimientos[Fecha]&lt;=$N$19))</f>
        <v>0</v>
      </c>
      <c r="F14" s="80">
        <f>IF(TablaInventarios[[#This Row],[Kg. Totales 
Inicio período]]=0,0,TablaInventarios[[#This Row],[$ Total IP (corrientes)]]/TablaInventarios[[#This Row],[Kg. Totales 
Inicio período]])</f>
        <v>0</v>
      </c>
      <c r="G14" s="10">
        <f>+IF(TablaInventarios[[#This Row],[Cab. 
Inicio período]]=0,0,TablaInventarios[[#This Row],[$ Total IP (corrientes)]]/TablaInventarios[[#This Row],[Cab. 
Inicio período]])</f>
        <v>0</v>
      </c>
      <c r="H14" s="10" cm="1">
        <f t="array" ref="H14">+SUMPRODUCT((TablaInventarios[[#This Row],[Categoria]]=TablaInventarios[Categoria])*TablaInventarios[$ Total
(corrientes)])+SUMPRODUCT((TablaInventarios[[#This Row],[Categoria]]=TablaMovimientos[Categoría])*(TablaMovimientos[Total $ corr-tes])*(TablaMovimientos[Fecha]&lt;=$N$19))</f>
        <v>0</v>
      </c>
      <c r="I14" s="10">
        <f>IF($N$19=0,0,TablaInventarios[[#This Row],[$ Total IP (corrientes)]]*IF($S$23=FALSE,0,IF($T$19="SIPM",VLOOKUP(DATE(YEAR($N$19),MONTH($N$19)+IF(DAY($N$19)=1,-1,0),1),Indices[[Fecha]:[Indice SIPM]],2,FALSE),IF($T$19="Dólar Oficial",1/VLOOKUP(DATE(YEAR($N$19),MONTH($N$19),DAY($N$19)+IF(DAY($N$19)=1,-1,0)),Tabla5[],2),IF($T$19="Dólar Informal",1/VLOOKUP(DATE(YEAR($N$19),MONTH($N$19),DAY($N$19)+IF(DAY($N$19)=1,-1,0)),Tabla3[],2))))))</f>
        <v>0</v>
      </c>
      <c r="J14" s="192" cm="1">
        <f t="array" ref="J14">+SUMPRODUCT((TablaInventarios[[#This Row],[Categoria]]=TablaInventarios[Categoria])*(TablaInventarios[Cab. 
Inicio período]))+SUMPRODUCT((TablaInventarios[[#This Row],[Categoria]]=TablaMovimientos[Categoría])*(TablaMovimientos[Cab.])*(TablaMovimientos[Fecha]&gt;$N$19)*(TablaMovimientos[Fecha]&lt;=$P$19))</f>
        <v>0</v>
      </c>
      <c r="K14" s="10">
        <f>IFERROR(TablaInventarios[[#This Row],[Kg. Totales 
Stock]]/TablaInventarios[[#This Row],[Cab. 
Stock]],0)</f>
        <v>0</v>
      </c>
      <c r="L14" s="10" cm="1">
        <f t="array" ref="L14">+SUMPRODUCT((TablaInventarios[[#This Row],[Categoria]]=TablaInventarios[Categoria])*(TablaInventarios[Kg. Totales 
Inicio período]))+SUMPRODUCT((TablaInventarios[[#This Row],[Categoria]]=TablaMovimientos[Categoría])*(TablaMovimientos[Kg.])*(TablaMovimientos[Fecha]&gt;$N$19)*(TablaMovimientos[Fecha]&lt;=$P$19))</f>
        <v>0</v>
      </c>
      <c r="M14" s="10">
        <f>IF(TablaInventarios[[#This Row],[Kg. Totales 
Stock]]=0,TablaInventarios[[#This Row],[$/Kg. 
al Cierre]],IFERROR(TablaInventarios[[#This Row],[$ Total FP (corrientes)]]/TablaInventarios[[#This Row],[Kg. Totales 
Stock]],0))</f>
        <v>0</v>
      </c>
      <c r="N14" s="10">
        <f>IFERROR(TablaInventarios[[#This Row],[$ Total FP (corrientes)]]/TablaInventarios[[#This Row],[Cab. 
Stock]],0)</f>
        <v>0</v>
      </c>
      <c r="O14" s="10" cm="1">
        <f t="array" ref="O14">+SUMPRODUCT((TablaInventarios[[#This Row],[Categoria]]=TablaInventarios[Categoria])*(TablaInventarios[$ Total IP (corrientes)]))+SUMPRODUCT((TablaInventarios[[#This Row],[Categoria]]=TablaMovimientos[Categoría])*(TablaMovimientos[Total $ corr-tes])*(TablaMovimientos[Fecha]&gt;$N$19)*(TablaMovimientos[Fecha]&lt;=$P$19))</f>
        <v>0</v>
      </c>
      <c r="P14" s="10">
        <f>IF($P$19=0,0,TablaInventarios[[#This Row],[$ Total FP (corrientes)]]*IF($S$23=FALSE,0,IF($T$19="SIPM",VLOOKUP(DATE(YEAR($P$19),MONTH($P$19),1),Indices[[Fecha]:[Indice SIPM]],2,FALSE),IF($T$19="Dólar Oficial",1/VLOOKUP(DATE(YEAR($P$19),MONTH($P$19),DAY($P$19)),Tabla5[],2),IF($T$19="Dólar Informal",1/VLOOKUP(DATE(YEAR($P$19),MONTH($P$19),DAY($P$19)),Tabla3[],2))))))</f>
        <v>0</v>
      </c>
      <c r="Q14" s="15"/>
      <c r="R14" s="96"/>
      <c r="S14" s="10">
        <f>TablaInventarios[[#This Row],[Kg./Cab. 
al Cierre]]*TablaInventarios[[#This Row],[$/Kg. 
al Cierre]]</f>
        <v>0</v>
      </c>
      <c r="T14" s="16">
        <f>TablaInventarios[[#This Row],[Cab. 
Stock]]*TablaInventarios[[#This Row],[Kg./Cab. 
al Cierre]]-TablaInventarios[[#This Row],[Kg. Totales 
Stock]]</f>
        <v>0</v>
      </c>
      <c r="U14" s="77">
        <f>TablaInventarios[[#This Row],[Cab. 
Stock]]*TablaInventarios[[#This Row],[Kg./Cab. 
al Cierre]]*TablaInventarios[[#This Row],[$/Kg. 
al Cierre]]-TablaInventarios[[#This Row],[$ Total FP (corrientes)]]</f>
        <v>0</v>
      </c>
      <c r="V14" s="206"/>
      <c r="W14" s="212" t="str">
        <f t="shared" si="1"/>
        <v>Fecha ???</v>
      </c>
      <c r="X14" s="105" t="str">
        <f t="shared" si="0"/>
        <v>Inventario de inicio</v>
      </c>
      <c r="Y14" s="107" t="s">
        <v>153</v>
      </c>
      <c r="Z14" s="107" t="s">
        <v>69</v>
      </c>
      <c r="AA14" s="160" t="s">
        <v>103</v>
      </c>
      <c r="AB14" s="104"/>
      <c r="AC14" s="86"/>
      <c r="AD14" s="83">
        <f>+TablaInventarios[[#This Row],[Cabezas]]</f>
        <v>0</v>
      </c>
      <c r="AE14" s="86"/>
      <c r="AF14" s="83">
        <f>+TablaInventarios[[#This Row],[Cabezas]]*TablaInventarios[[#This Row],[Kg/Cab.]]</f>
        <v>0</v>
      </c>
      <c r="AG14" s="89"/>
      <c r="AH14" s="83">
        <f>TablaInventarios[[#This Row],[Kg/Cab.]]*TablaInventarios[[#This Row],[$/Kg]]</f>
        <v>0</v>
      </c>
      <c r="AI14" s="84">
        <f>+TablaInventarios[[#This Row],[Kg.]]*TablaInventarios[[#This Row],[$/Kg]]</f>
        <v>0</v>
      </c>
      <c r="AJ14" s="9">
        <f>IF(W14="Fecha ???",0,TablaInventarios[[#This Row],[$ Total
(corrientes)]]*IF(AND($S$23=TRUE,$T$19="Dólar Informal"),1/VLOOKUP(TablaInventarios[[#This Row],[Fecha]],Tabla3[],2),IF(AND($S$23=TRUE,$T$19="Dólar Oficial"),1/VLOOKUP(TablaInventarios[[#This Row],[Fecha]],Tabla5[],2),IF(AND($S$23=TRUE,$T$19="SIPM"),VLOOKUP(DATE(YEAR(DATE(YEAR($W14),MONTH($W14),DAY($W14))-1),MONTH(DATE(YEAR($W14),MONTH($W14),DAY($W14))-1),1),Indices[[Fecha]:[Indice SIPM]],2,FALSE)))))</f>
        <v>0</v>
      </c>
      <c r="AN14" s="159"/>
      <c r="AQ14" s="110"/>
    </row>
    <row r="15" spans="1:43" ht="12.75" customHeight="1" thickBot="1" x14ac:dyDescent="0.25">
      <c r="A15" s="4" t="str">
        <f>+TablaInventarios[[#This Row],[Categoría]]</f>
        <v>Terneros</v>
      </c>
      <c r="B15" s="4" t="str">
        <f>+VLOOKUP(TablaInventarios[[#This Row],[Categoria]],TablaInventarios[[Categoría]:[Actividad]],2,FALSE)</f>
        <v>Recría</v>
      </c>
      <c r="C15" s="80">
        <f>+SUMPRODUCT((TablaInventarios[[#This Row],[Categoria]]=TablaInventarios[Categoria])*TablaInventarios[Cab.])+SUMPRODUCT((TablaInventarios[[#This Row],[Categoria]]=TablaMovimientos[Categoría])*(TablaMovimientos[Cab.])*(TablaMovimientos[Fecha]&lt;=$N$19))</f>
        <v>0</v>
      </c>
      <c r="D15" s="80" cm="1">
        <f t="array" ref="D15">IF(TablaInventarios[[#This Row],[Cab. 
Inicio período]]=0,0,(SUMPRODUCT((TablaInventarios[[#This Row],[Categoria]]=TablaInventarios[Categoria])*(TablaInventarios[Kg.]))+SUMPRODUCT((TablaInventarios[[#This Row],[Categoria]]=TablaMovimientos[Categoría])*(TablaMovimientos[Kg.])*(TablaMovimientos[Fecha]&lt;=$N$19)))/TablaInventarios[[#This Row],[Cab. 
Inicio período]])</f>
        <v>0</v>
      </c>
      <c r="E15" s="80" cm="1">
        <f t="array" ref="E15">SUMPRODUCT((TablaInventarios[[#This Row],[Categoria]]=TablaInventarios[Categoria])*TablaInventarios[Kg.])+SUMPRODUCT((TablaInventarios[[#This Row],[Categoria]]=TablaMovimientos[Categoría])*(TablaMovimientos[Cab.])*(TablaMovimientos[Fecha]&lt;=$N$19))</f>
        <v>0</v>
      </c>
      <c r="F15" s="80">
        <f>IF(TablaInventarios[[#This Row],[Kg. Totales 
Inicio período]]=0,0,TablaInventarios[[#This Row],[$ Total IP (corrientes)]]/TablaInventarios[[#This Row],[Kg. Totales 
Inicio período]])</f>
        <v>0</v>
      </c>
      <c r="G15" s="10">
        <f>+IF(TablaInventarios[[#This Row],[Cab. 
Inicio período]]=0,0,TablaInventarios[[#This Row],[$ Total IP (corrientes)]]/TablaInventarios[[#This Row],[Cab. 
Inicio período]])</f>
        <v>0</v>
      </c>
      <c r="H15" s="10" cm="1">
        <f t="array" ref="H15">+SUMPRODUCT((TablaInventarios[[#This Row],[Categoria]]=TablaInventarios[Categoria])*TablaInventarios[$ Total
(corrientes)])+SUMPRODUCT((TablaInventarios[[#This Row],[Categoria]]=TablaMovimientos[Categoría])*(TablaMovimientos[Total $ corr-tes])*(TablaMovimientos[Fecha]&lt;=$N$19))</f>
        <v>0</v>
      </c>
      <c r="I15" s="10">
        <f>IF($N$19=0,0,TablaInventarios[[#This Row],[$ Total IP (corrientes)]]*IF($S$23=FALSE,0,IF($T$19="SIPM",VLOOKUP(DATE(YEAR($N$19),MONTH($N$19)+IF(DAY($N$19)=1,-1,0),1),Indices[[Fecha]:[Indice SIPM]],2,FALSE),IF($T$19="Dólar Oficial",1/VLOOKUP(DATE(YEAR($N$19),MONTH($N$19),DAY($N$19)+IF(DAY($N$19)=1,-1,0)),Tabla5[],2),IF($T$19="Dólar Informal",1/VLOOKUP(DATE(YEAR($N$19),MONTH($N$19),DAY($N$19)+IF(DAY($N$19)=1,-1,0)),Tabla3[],2))))))</f>
        <v>0</v>
      </c>
      <c r="J15" s="192" cm="1">
        <f t="array" ref="J15">+SUMPRODUCT((TablaInventarios[[#This Row],[Categoria]]=TablaInventarios[Categoria])*(TablaInventarios[Cab. 
Inicio período]))+SUMPRODUCT((TablaInventarios[[#This Row],[Categoria]]=TablaMovimientos[Categoría])*(TablaMovimientos[Cab.])*(TablaMovimientos[Fecha]&gt;$N$19)*(TablaMovimientos[Fecha]&lt;=$P$19))</f>
        <v>0</v>
      </c>
      <c r="K15" s="10">
        <f>IFERROR(TablaInventarios[[#This Row],[Kg. Totales 
Stock]]/TablaInventarios[[#This Row],[Cab. 
Stock]],0)</f>
        <v>0</v>
      </c>
      <c r="L15" s="10" cm="1">
        <f t="array" ref="L15">+SUMPRODUCT((TablaInventarios[[#This Row],[Categoria]]=TablaInventarios[Categoria])*(TablaInventarios[Kg. Totales 
Inicio período]))+SUMPRODUCT((TablaInventarios[[#This Row],[Categoria]]=TablaMovimientos[Categoría])*(TablaMovimientos[Kg.])*(TablaMovimientos[Fecha]&gt;$N$19)*(TablaMovimientos[Fecha]&lt;=$P$19))</f>
        <v>0</v>
      </c>
      <c r="M15" s="10">
        <f>IF(TablaInventarios[[#This Row],[Kg. Totales 
Stock]]=0,TablaInventarios[[#This Row],[$/Kg. 
al Cierre]],IFERROR(TablaInventarios[[#This Row],[$ Total FP (corrientes)]]/TablaInventarios[[#This Row],[Kg. Totales 
Stock]],0))</f>
        <v>0</v>
      </c>
      <c r="N15" s="10">
        <f>IFERROR(TablaInventarios[[#This Row],[$ Total FP (corrientes)]]/TablaInventarios[[#This Row],[Cab. 
Stock]],0)</f>
        <v>0</v>
      </c>
      <c r="O15" s="10" cm="1">
        <f t="array" ref="O15">+SUMPRODUCT((TablaInventarios[[#This Row],[Categoria]]=TablaInventarios[Categoria])*(TablaInventarios[$ Total IP (corrientes)]))+SUMPRODUCT((TablaInventarios[[#This Row],[Categoria]]=TablaMovimientos[Categoría])*(TablaMovimientos[Total $ corr-tes])*(TablaMovimientos[Fecha]&gt;$N$19)*(TablaMovimientos[Fecha]&lt;=$P$19))</f>
        <v>0</v>
      </c>
      <c r="P15" s="10">
        <f>IF($P$19=0,0,TablaInventarios[[#This Row],[$ Total FP (corrientes)]]*IF($S$23=FALSE,0,IF($T$19="SIPM",VLOOKUP(DATE(YEAR($P$19),MONTH($P$19),1),Indices[[Fecha]:[Indice SIPM]],2,FALSE),IF($T$19="Dólar Oficial",1/VLOOKUP(DATE(YEAR($P$19),MONTH($P$19),DAY($P$19)),Tabla5[],2),IF($T$19="Dólar Informal",1/VLOOKUP(DATE(YEAR($P$19),MONTH($P$19),DAY($P$19)),Tabla3[],2))))))</f>
        <v>0</v>
      </c>
      <c r="Q15" s="15"/>
      <c r="R15" s="96"/>
      <c r="S15" s="10">
        <f>TablaInventarios[[#This Row],[Kg./Cab. 
al Cierre]]*TablaInventarios[[#This Row],[$/Kg. 
al Cierre]]</f>
        <v>0</v>
      </c>
      <c r="T15" s="16">
        <f>TablaInventarios[[#This Row],[Cab. 
Stock]]*TablaInventarios[[#This Row],[Kg./Cab. 
al Cierre]]-TablaInventarios[[#This Row],[Kg. Totales 
Stock]]</f>
        <v>0</v>
      </c>
      <c r="U15" s="77">
        <f>TablaInventarios[[#This Row],[Cab. 
Stock]]*TablaInventarios[[#This Row],[Kg./Cab. 
al Cierre]]*TablaInventarios[[#This Row],[$/Kg. 
al Cierre]]-TablaInventarios[[#This Row],[$ Total FP (corrientes)]]</f>
        <v>0</v>
      </c>
      <c r="V15" s="206"/>
      <c r="W15" s="212" t="str">
        <f>+W14</f>
        <v>Fecha ???</v>
      </c>
      <c r="X15" s="105" t="str">
        <f t="shared" si="0"/>
        <v>Inventario de inicio</v>
      </c>
      <c r="Y15" s="107" t="s">
        <v>148</v>
      </c>
      <c r="Z15" s="107" t="s">
        <v>69</v>
      </c>
      <c r="AA15" s="160" t="s">
        <v>103</v>
      </c>
      <c r="AB15" s="104"/>
      <c r="AC15" s="86"/>
      <c r="AD15" s="83">
        <f>+TablaInventarios[[#This Row],[Cabezas]]</f>
        <v>0</v>
      </c>
      <c r="AE15" s="86"/>
      <c r="AF15" s="83">
        <f>+TablaInventarios[[#This Row],[Cabezas]]*TablaInventarios[[#This Row],[Kg/Cab.]]</f>
        <v>0</v>
      </c>
      <c r="AG15" s="89"/>
      <c r="AH15" s="83">
        <f>TablaInventarios[[#This Row],[Kg/Cab.]]*TablaInventarios[[#This Row],[$/Kg]]</f>
        <v>0</v>
      </c>
      <c r="AI15" s="84">
        <f>+TablaInventarios[[#This Row],[Kg.]]*TablaInventarios[[#This Row],[$/Kg]]</f>
        <v>0</v>
      </c>
      <c r="AJ15" s="9">
        <f>IF(W15="Fecha ???",0,TablaInventarios[[#This Row],[$ Total
(corrientes)]]*IF(AND($S$23=TRUE,$T$19="Dólar Informal"),1/VLOOKUP(TablaInventarios[[#This Row],[Fecha]],Tabla3[],2),IF(AND($S$23=TRUE,$T$19="Dólar Oficial"),1/VLOOKUP(TablaInventarios[[#This Row],[Fecha]],Tabla5[],2),IF(AND($S$23=TRUE,$T$19="SIPM"),VLOOKUP(DATE(YEAR(DATE(YEAR($W15),MONTH($W15),DAY($W15))-1),MONTH(DATE(YEAR($W15),MONTH($W15),DAY($W15))-1),1),Indices[[Fecha]:[Indice SIPM]],2,FALSE)))))</f>
        <v>0</v>
      </c>
      <c r="AN15" s="159"/>
    </row>
    <row r="16" spans="1:43" ht="12.75" customHeight="1" thickBot="1" x14ac:dyDescent="0.25">
      <c r="A16" s="18"/>
      <c r="B16" s="19"/>
      <c r="C16" s="19"/>
      <c r="D16" s="19"/>
      <c r="E16" s="19"/>
      <c r="F16" s="19"/>
      <c r="G16" s="19"/>
      <c r="H16" s="20"/>
      <c r="I16" s="20"/>
      <c r="J16" s="20"/>
      <c r="K16" s="20"/>
      <c r="L16" s="20"/>
      <c r="M16" s="20"/>
      <c r="N16" s="20"/>
      <c r="O16" s="20"/>
      <c r="P16" s="20"/>
      <c r="Q16" s="20"/>
      <c r="R16" s="20"/>
      <c r="S16" s="20"/>
      <c r="T16" s="20"/>
      <c r="U16" s="20"/>
      <c r="V16" s="206"/>
      <c r="W16" s="20"/>
      <c r="X16" s="20"/>
      <c r="Y16" s="20"/>
      <c r="Z16" s="20"/>
      <c r="AA16" s="20"/>
      <c r="AB16" s="20"/>
      <c r="AC16" s="20"/>
      <c r="AD16" s="20"/>
      <c r="AE16" s="20"/>
      <c r="AF16" s="20"/>
      <c r="AG16" s="20"/>
      <c r="AH16" s="20"/>
      <c r="AI16" s="20"/>
      <c r="AJ16" s="20"/>
    </row>
    <row r="17" spans="1:40" ht="15.75" thickBot="1" x14ac:dyDescent="0.25">
      <c r="A17" s="29" t="s">
        <v>14</v>
      </c>
      <c r="B17" s="30" t="str">
        <f>+J19</f>
        <v>*</v>
      </c>
      <c r="C17" s="30">
        <f>+SUMIFS(TablaInventarios[Cab. 
Inicio período],TablaInventarios[[Actividad ]],B17)</f>
        <v>0</v>
      </c>
      <c r="D17" s="30">
        <f>IF(C17=0,0,E17/C17)</f>
        <v>0</v>
      </c>
      <c r="E17" s="30">
        <f>SUMIFS(TablaInventarios[Kg. Totales 
Inicio período],TablaInventarios[[Actividad ]],B17)</f>
        <v>0</v>
      </c>
      <c r="F17" s="30">
        <f>IF(E17=0,0,H17/E17)</f>
        <v>0</v>
      </c>
      <c r="G17" s="30">
        <f>IF(C17=0,0,H17/C17)</f>
        <v>0</v>
      </c>
      <c r="H17" s="30">
        <f>SUMIFS(TablaInventarios[$ Total IP (corrientes)],TablaInventarios[[Actividad ]],B17)</f>
        <v>0</v>
      </c>
      <c r="I17" s="30">
        <f>SUMIFS(TablaInventarios[IP en Valores Actualizados],TablaInventarios[[Actividad ]],B17)</f>
        <v>0</v>
      </c>
      <c r="J17" s="32">
        <f>SUMIFS(TablaInventarios[Cab. 
Stock],TablaInventarios[[Actividad ]],B17)</f>
        <v>0</v>
      </c>
      <c r="K17" s="30">
        <f>IF(J17=0,0,L17/J17)</f>
        <v>0</v>
      </c>
      <c r="L17" s="30">
        <f>SUMIFS(TablaInventarios[Kg. Totales 
Stock],TablaInventarios[[Actividad ]],B17)</f>
        <v>0</v>
      </c>
      <c r="M17" s="30">
        <f>IF(L17=0,0,O17/L17)</f>
        <v>0</v>
      </c>
      <c r="N17" s="30">
        <f>IF(J17=0,0,O17/J17)</f>
        <v>0</v>
      </c>
      <c r="O17" s="30">
        <f>SUMIFS(TablaInventarios[$ Total FP (corrientes)],TablaInventarios[[Actividad ]],B17)</f>
        <v>0</v>
      </c>
      <c r="P17" s="31">
        <f>SUMIFS(TablaInventarios[FP en Valores Actualizados],TablaInventarios[[Actividad ]],B17)</f>
        <v>0</v>
      </c>
      <c r="Q17" s="93"/>
      <c r="R17" s="94"/>
      <c r="S17" s="95"/>
      <c r="T17" s="32" cm="1">
        <f t="array" ref="T17">SUMIFS(Kg._Diferencia,TablaInventarios[[Actividad ]],B17)</f>
        <v>0</v>
      </c>
      <c r="U17" s="31">
        <f>SUMIFS(TablaInventarios[$ Total Diferencia],TablaInventarios[[Actividad ]],B17)</f>
        <v>0</v>
      </c>
      <c r="V17" s="92"/>
      <c r="W17" s="29" t="s">
        <v>14</v>
      </c>
      <c r="X17" s="30"/>
      <c r="Y17" s="30" t="s">
        <v>71</v>
      </c>
      <c r="Z17" s="30" t="str">
        <f>+J19</f>
        <v>*</v>
      </c>
      <c r="AA17" s="30"/>
      <c r="AB17" s="30"/>
      <c r="AC17" s="30">
        <f>+SUMIFS(TablaInventarios[Cabezas],TablaInventarios[Actividad],$Z$17)</f>
        <v>0</v>
      </c>
      <c r="AD17" s="30">
        <f>+SUMIFS(TablaInventarios[Cab.],TablaInventarios[Actividad],$Z$17)</f>
        <v>0</v>
      </c>
      <c r="AE17" s="30">
        <f>IF(AD17=0,0,AF17/AD17)</f>
        <v>0</v>
      </c>
      <c r="AF17" s="30">
        <f>+SUMIFS(TablaInventarios[Kg.],TablaInventarios[Actividad],$Z$17)</f>
        <v>0</v>
      </c>
      <c r="AG17" s="91"/>
      <c r="AH17" s="91"/>
      <c r="AI17" s="30">
        <f>+SUMIFS(TablaInventarios[$ Total
(corrientes)],TablaInventarios[Actividad],$Z$17)</f>
        <v>0</v>
      </c>
      <c r="AJ17" s="30">
        <f>+SUMIFS(TablaInventarios[Valores Actualizados],TablaInventarios[Actividad],$Z$17)</f>
        <v>0</v>
      </c>
      <c r="AL17" s="22"/>
      <c r="AM17" s="22"/>
      <c r="AN17" s="110"/>
    </row>
    <row r="18" spans="1:40" ht="12.75" customHeight="1" thickBot="1" x14ac:dyDescent="0.25">
      <c r="I18" s="157"/>
      <c r="W18" s="5" t="s">
        <v>10</v>
      </c>
      <c r="X18" s="6"/>
      <c r="Y18" s="6"/>
      <c r="Z18" s="6"/>
      <c r="AA18" s="6"/>
      <c r="AB18" s="6"/>
      <c r="AC18" s="6"/>
      <c r="AD18" s="6"/>
      <c r="AE18" s="6"/>
      <c r="AF18" s="6"/>
      <c r="AG18" s="6"/>
      <c r="AH18" s="6"/>
      <c r="AI18" s="6"/>
      <c r="AJ18" s="6"/>
      <c r="AL18" s="22"/>
      <c r="AM18" s="22"/>
      <c r="AN18" s="22"/>
    </row>
    <row r="19" spans="1:40" ht="12.75" customHeight="1" x14ac:dyDescent="0.2">
      <c r="H19" s="245" t="s">
        <v>65</v>
      </c>
      <c r="I19" s="245"/>
      <c r="J19" s="243" t="s">
        <v>67</v>
      </c>
      <c r="K19" s="243"/>
      <c r="L19" s="247">
        <f>('SIPM (Actualización en $)'!L4-1)</f>
        <v>12</v>
      </c>
      <c r="M19" s="248"/>
      <c r="N19" s="251">
        <v>45108</v>
      </c>
      <c r="O19" s="252"/>
      <c r="P19" s="251">
        <v>45473</v>
      </c>
      <c r="Q19" s="252"/>
      <c r="R19" s="234" t="s">
        <v>128</v>
      </c>
      <c r="S19" s="235"/>
      <c r="T19" s="236" t="s">
        <v>130</v>
      </c>
      <c r="U19" s="156"/>
      <c r="W19" s="7" t="s">
        <v>4</v>
      </c>
      <c r="X19" s="7" t="s">
        <v>15</v>
      </c>
      <c r="Y19" s="7" t="s">
        <v>64</v>
      </c>
      <c r="Z19" s="7" t="s">
        <v>65</v>
      </c>
      <c r="AA19" s="7" t="s">
        <v>101</v>
      </c>
      <c r="AB19" s="7" t="s">
        <v>16</v>
      </c>
      <c r="AC19" s="7" t="s">
        <v>34</v>
      </c>
      <c r="AD19" s="7" t="s">
        <v>5</v>
      </c>
      <c r="AE19" s="7" t="s">
        <v>1</v>
      </c>
      <c r="AF19" s="7" t="s">
        <v>6</v>
      </c>
      <c r="AG19" s="7" t="s">
        <v>2</v>
      </c>
      <c r="AH19" s="7" t="s">
        <v>3</v>
      </c>
      <c r="AI19" s="232" t="s">
        <v>156</v>
      </c>
      <c r="AJ19" s="176" t="s">
        <v>132</v>
      </c>
      <c r="AL19" s="22"/>
      <c r="AM19" s="22"/>
    </row>
    <row r="20" spans="1:40" ht="12.75" customHeight="1" thickBot="1" x14ac:dyDescent="0.25">
      <c r="F20" s="179"/>
      <c r="G20" s="22"/>
      <c r="H20" s="246"/>
      <c r="I20" s="246"/>
      <c r="J20" s="244"/>
      <c r="K20" s="244"/>
      <c r="L20" s="249"/>
      <c r="M20" s="250"/>
      <c r="N20" s="253"/>
      <c r="O20" s="254"/>
      <c r="P20" s="253"/>
      <c r="Q20" s="254"/>
      <c r="R20" s="234"/>
      <c r="S20" s="235"/>
      <c r="T20" s="236"/>
      <c r="W20" s="8"/>
      <c r="X20" s="4"/>
      <c r="Y20" s="4"/>
      <c r="Z20" s="208" t="str">
        <f>IF(TablaMovimientos[[#This Row],[Categoría]]=0,"",VLOOKUP(TablaMovimientos[[#This Row],[Categoría]],TablaInventarios[[Categoría]:[Actividad]],2,FALSE))</f>
        <v/>
      </c>
      <c r="AA20" s="209" t="str">
        <f>IF(TablaMovimientos[[#This Row],[Categoría]]=0,"",VLOOKUP(TablaMovimientos[[#This Row],[Categoría]],TablaInventarios[[Categoría]:[Tipo 
de Activo]],3,FALSE))</f>
        <v/>
      </c>
      <c r="AB20" s="4"/>
      <c r="AC20" s="9"/>
      <c r="AD20" s="9">
        <f>IF(OR(TablaMovimientos[[#This Row],[Movimiento]]="Kilos Producidos",TablaMovimientos[[#This Row],[Movimiento]]="Res. por Tenencia",TablaMovimientos[[#This Row],[Movimiento]]=0),0,IF(VLOOKUP(TablaMovimientos[[#This Row],[Movimiento]],Movimientos[],2,FALSE)="-",-TablaMovimientos[[#This Row],[Cabezas]],TablaMovimientos[[#This Row],[Cabezas]]))</f>
        <v>0</v>
      </c>
      <c r="AE20" s="9"/>
      <c r="AF20" s="210">
        <f>+TablaMovimientos[[#This Row],[Cab.]]*TablaMovimientos[[#This Row],[Kg/Cab.]]</f>
        <v>0</v>
      </c>
      <c r="AG20" s="144"/>
      <c r="AH20" s="210">
        <f>IF(TablaMovimientos[[#This Row],[Movimiento]]="Res. por Tenencia",0,TablaMovimientos[[#This Row],[Kg/Cab.]]*TablaMovimientos[[#This Row],[$/Kg]])</f>
        <v>0</v>
      </c>
      <c r="AI20" s="211">
        <f>+TablaMovimientos[[#This Row],[Kg.]]*TablaMovimientos[[#This Row],[$/Kg]]</f>
        <v>0</v>
      </c>
      <c r="AJ20" s="210">
        <f>IF(TablaMovimientos[[#This Row],[Total $ corr-tes]]=0,0,TablaMovimientos[[#This Row],[Total $ corr-tes]]*IF(AND($S$23=TRUE,$T$19="Dólar Informal"),1/VLOOKUP(TablaMovimientos[[#This Row],[Fecha]],Tabla3[],2),IF(AND($S$23=TRUE,$T$19="Dólar Oficial"),1/VLOOKUP(TablaMovimientos[[#This Row],[Fecha]],Tabla5[],2),IF(AND($S$23=TRUE,$T$19="SIPM"),VLOOKUP(DATE(YEAR(DATE(YEAR($W20),MONTH($W20),DAY($W20))-1),MONTH(DATE(YEAR($W20),MONTH($W20),DAY($W20))-1),1),Indices[[Fecha]:[Indice SIPM]],2,FALSE)))))</f>
        <v>0</v>
      </c>
      <c r="AL20" s="22"/>
      <c r="AM20" s="22"/>
    </row>
    <row r="21" spans="1:40" ht="12.75" customHeight="1" thickTop="1" x14ac:dyDescent="0.2">
      <c r="A21" s="278" t="s">
        <v>42</v>
      </c>
      <c r="B21" s="279"/>
      <c r="C21" s="279"/>
      <c r="D21" s="279"/>
      <c r="E21" s="279"/>
      <c r="F21" s="280"/>
      <c r="H21" s="294" t="s">
        <v>89</v>
      </c>
      <c r="I21" s="295"/>
      <c r="J21" s="295"/>
      <c r="K21" s="295"/>
      <c r="L21" s="296"/>
      <c r="M21" s="297"/>
      <c r="N21" s="299" t="s">
        <v>90</v>
      </c>
      <c r="O21" s="295"/>
      <c r="P21" s="295"/>
      <c r="Q21" s="295"/>
      <c r="R21" s="295"/>
      <c r="S21" s="108"/>
      <c r="T21" s="271" t="s">
        <v>122</v>
      </c>
      <c r="AL21" s="22"/>
      <c r="AM21" s="22"/>
    </row>
    <row r="22" spans="1:40" ht="12.75" customHeight="1" thickBot="1" x14ac:dyDescent="0.25">
      <c r="A22" s="281"/>
      <c r="B22" s="282"/>
      <c r="C22" s="282"/>
      <c r="D22" s="282"/>
      <c r="E22" s="282"/>
      <c r="F22" s="283"/>
      <c r="H22" s="294"/>
      <c r="I22" s="295"/>
      <c r="J22" s="295"/>
      <c r="K22" s="295"/>
      <c r="L22" s="295"/>
      <c r="M22" s="298"/>
      <c r="N22" s="299"/>
      <c r="O22" s="295"/>
      <c r="P22" s="295"/>
      <c r="Q22" s="295"/>
      <c r="R22" s="295"/>
      <c r="S22" s="69"/>
      <c r="T22" s="271"/>
      <c r="AL22" s="22"/>
      <c r="AM22" s="22"/>
    </row>
    <row r="23" spans="1:40" ht="12.75" customHeight="1" thickTop="1" x14ac:dyDescent="0.25">
      <c r="A23" s="284" t="s">
        <v>116</v>
      </c>
      <c r="B23" s="285"/>
      <c r="C23" s="285"/>
      <c r="D23" s="285"/>
      <c r="E23" s="285"/>
      <c r="F23" s="286"/>
      <c r="H23" s="294"/>
      <c r="I23" s="295"/>
      <c r="J23" s="295"/>
      <c r="K23" s="295"/>
      <c r="L23" s="295"/>
      <c r="M23" s="298"/>
      <c r="N23" s="299"/>
      <c r="O23" s="295"/>
      <c r="P23" s="295"/>
      <c r="Q23" s="295"/>
      <c r="R23" s="295"/>
      <c r="S23" s="51" t="b">
        <v>0</v>
      </c>
      <c r="T23" s="155">
        <v>45809</v>
      </c>
      <c r="AL23" s="22"/>
      <c r="AM23" s="22"/>
    </row>
    <row r="24" spans="1:40" ht="12.75" customHeight="1" x14ac:dyDescent="0.2">
      <c r="A24" s="287"/>
      <c r="B24" s="285"/>
      <c r="C24" s="285"/>
      <c r="D24" s="285"/>
      <c r="E24" s="285"/>
      <c r="F24" s="286"/>
      <c r="H24" s="43"/>
      <c r="I24" s="2"/>
      <c r="J24" s="17" t="s">
        <v>17</v>
      </c>
      <c r="K24" s="17" t="str">
        <f>IF(S23=TRUE,"$act./Kg","$corr./Kg")</f>
        <v>$corr./Kg</v>
      </c>
      <c r="L24" s="231" t="s">
        <v>157</v>
      </c>
      <c r="M24" s="174" t="s">
        <v>131</v>
      </c>
      <c r="N24" s="28"/>
      <c r="O24" s="17"/>
      <c r="P24" s="17" t="s">
        <v>34</v>
      </c>
      <c r="Q24" s="17" t="s">
        <v>17</v>
      </c>
      <c r="R24" s="17" t="str">
        <f>IF(S23=TRUE,"$act./Kg","$corr./Kg")</f>
        <v>$corr./Kg</v>
      </c>
      <c r="S24" s="231" t="s">
        <v>157</v>
      </c>
      <c r="T24" s="175" t="s">
        <v>131</v>
      </c>
      <c r="AL24" s="22"/>
      <c r="AM24" s="22"/>
    </row>
    <row r="25" spans="1:40" ht="12.75" customHeight="1" x14ac:dyDescent="0.2">
      <c r="A25" s="288"/>
      <c r="B25" s="289"/>
      <c r="C25" s="289"/>
      <c r="D25" s="289"/>
      <c r="E25" s="289"/>
      <c r="F25" s="290"/>
      <c r="H25" s="44" t="s">
        <v>11</v>
      </c>
      <c r="J25" s="21" cm="1">
        <f t="array" ref="J25">+SUMPRODUCT((H25=TablaMovimientos[Movimiento])*(TablaMovimientos[Kg.])*(TablaMovimientos[Fecha]&gt;$N$19)*(TablaMovimientos[Fecha]&lt;=$P$19)*IF(J19="*",1,(TablaMovimientos[Actividad]=$J$19)))</f>
        <v>0</v>
      </c>
      <c r="K25" s="21">
        <f>IF(J25=0,0,IF($S$23=TRUE,M25/J25,L25/J25))</f>
        <v>0</v>
      </c>
      <c r="L25" s="21" cm="1">
        <f t="array" ref="L25">+SUMPRODUCT((H25=TablaMovimientos[Movimiento])*(TablaMovimientos[Total $ corr-tes])*(TablaMovimientos[Fecha]&gt;$N$19)*(TablaMovimientos[Fecha]&lt;=$P$19)*IF(J19="*",1,(TablaMovimientos[Actividad]=$J$19)))</f>
        <v>0</v>
      </c>
      <c r="M25" s="52">
        <f>IF($J$19="*",SUMPRODUCT((H25=TablaMovimientos[Movimiento])*(TablaMovimientos[Valores Actualizados])*(TablaMovimientos[Fecha]&gt;$N$19)*(TablaMovimientos[Fecha]&lt;=$P$19)),SUMPRODUCT((H25=TablaMovimientos[Movimiento])*(TablaMovimientos[Valores Actualizados])*(TablaMovimientos[Fecha]&gt;$N$19)*(TablaMovimientos[Fecha]&lt;=$P$19)*(TablaMovimientos[Actividad]=$J$19)))</f>
        <v>0</v>
      </c>
      <c r="N25" s="24" t="s">
        <v>9</v>
      </c>
      <c r="O25" s="25"/>
      <c r="P25" s="26" cm="1">
        <f t="array" ref="P25">SUMPRODUCT((N25=TablaMovimientos[Movimiento])*(TablaMovimientos[Cab.])*(TablaMovimientos[Fecha]&gt;$N$19)*(TablaMovimientos[Fecha]&lt;=$P$19)*IF(J19="*",1,(TablaMovimientos[Actividad]=$J$19)))</f>
        <v>0</v>
      </c>
      <c r="Q25" s="26" cm="1">
        <f t="array" ref="Q25">-SUMPRODUCT((N25=TablaMovimientos[Movimiento])*(TablaMovimientos[Kg.])*(TablaMovimientos[Fecha]&gt;$N$19)*(TablaMovimientos[Fecha]&lt;=$P$19)*IF(J19="*",1,(TablaMovimientos[Actividad]=$J$19)))</f>
        <v>0</v>
      </c>
      <c r="R25" s="26">
        <f>IF(Q25=0,0,IF($S$23=TRUE,T25/Q25,S25/Q25))</f>
        <v>0</v>
      </c>
      <c r="S25" s="26" cm="1">
        <f t="array" ref="S25">-SUMPRODUCT((N25=TablaMovimientos[Movimiento])*(TablaMovimientos[Total $ corr-tes])*(TablaMovimientos[Fecha]&gt;$N$19)*(TablaMovimientos[Fecha]&lt;=$P$19)*IF(J19="*",1,(TablaMovimientos[Actividad]=$J$19)))</f>
        <v>0</v>
      </c>
      <c r="T25" s="50">
        <f>IF($J$19="*",-SUMPRODUCT((N25=TablaMovimientos[Movimiento])*(TablaMovimientos[Valores Actualizados])*(TablaMovimientos[Fecha]&gt;$N$19)*(TablaMovimientos[Fecha]&lt;=$P$19)),-SUMPRODUCT((N25=TablaMovimientos[Movimiento])*(TablaMovimientos[Valores Actualizados])*(TablaMovimientos[Fecha]&gt;$N$19)*(TablaMovimientos[Fecha]&lt;=$P$19)*(TablaMovimientos[Actividad]=$J$19)))</f>
        <v>0</v>
      </c>
      <c r="V25" s="110"/>
      <c r="AL25" s="22"/>
      <c r="AM25" s="22"/>
    </row>
    <row r="26" spans="1:40" ht="12.75" customHeight="1" x14ac:dyDescent="0.2">
      <c r="A26" s="291" t="s">
        <v>117</v>
      </c>
      <c r="B26" s="292"/>
      <c r="C26" s="292"/>
      <c r="D26" s="292"/>
      <c r="E26" s="292"/>
      <c r="F26" s="293"/>
      <c r="H26" s="44" t="s">
        <v>23</v>
      </c>
      <c r="J26" s="22" cm="1">
        <f t="array" ref="J26">+SUMPRODUCT((H26=TablaMovimientos[Movimiento])*(TablaMovimientos[Kg.])*(TablaMovimientos[Fecha]&gt;$N$19)*(TablaMovimientos[Fecha]&lt;=$P$19)*IF(J19="*",1,(TablaMovimientos[Actividad]=$J$19)))</f>
        <v>0</v>
      </c>
      <c r="K26" s="21">
        <f>IF(J26=0,0,IF($S$23=TRUE,M26/J26,L26/J26))</f>
        <v>0</v>
      </c>
      <c r="L26" s="21" cm="1">
        <f t="array" ref="L26">+SUMPRODUCT((H26=TablaMovimientos[Movimiento])*(TablaMovimientos[Total $ corr-tes])*(TablaMovimientos[Fecha]&gt;$N$19)*(TablaMovimientos[Fecha]&lt;=$P$19)*IF(J19="*",1,(TablaMovimientos[Actividad]=$J$19)))</f>
        <v>0</v>
      </c>
      <c r="M26" s="52">
        <f>IF($J$19="*",SUMPRODUCT((H26=TablaMovimientos[Movimiento])*(TablaMovimientos[Valores Actualizados])*(TablaMovimientos[Fecha]&gt;$N$19)*(TablaMovimientos[Fecha]&lt;=$P$19)),SUMPRODUCT((H26=TablaMovimientos[Movimiento])*(TablaMovimientos[Valores Actualizados])*(TablaMovimientos[Fecha]&gt;$N$19)*(TablaMovimientos[Fecha]&lt;=$P$19)*(TablaMovimientos[Actividad]=$J$19)))</f>
        <v>0</v>
      </c>
      <c r="N26" s="27" t="s">
        <v>25</v>
      </c>
      <c r="P26" s="22" cm="1">
        <f t="array" ref="P26">SUMPRODUCT((N26=TablaMovimientos[Movimiento])*(TablaMovimientos[Cab.])*(TablaMovimientos[Fecha]&gt;$N$19)*(TablaMovimientos[Fecha]&lt;=$P$19)*IF(J19="*",1,(TablaMovimientos[Actividad]=$J$19)))</f>
        <v>0</v>
      </c>
      <c r="Q26" s="22" cm="1">
        <f t="array" ref="Q26">-SUMPRODUCT((N26=TablaMovimientos[Movimiento])*(TablaMovimientos[Kg.])*(TablaMovimientos[Fecha]&gt;$N$19)*(TablaMovimientos[Fecha]&lt;=$P$19)*IF(J19="*",1,(TablaMovimientos[Actividad]=$J$19)))</f>
        <v>0</v>
      </c>
      <c r="R26" s="21">
        <f>IF(Q26=0,0,IF($S$23=TRUE,T26/Q26,S26/Q26))</f>
        <v>0</v>
      </c>
      <c r="S26" s="21" cm="1">
        <f t="array" ref="S26">-SUMPRODUCT((N26=TablaMovimientos[Movimiento])*(TablaMovimientos[Total $ corr-tes])*(TablaMovimientos[Fecha]&gt;$N$19)*(TablaMovimientos[Fecha]&lt;=$P$19)*IF(J19="*",1,(TablaMovimientos[Actividad]=$J$19)))</f>
        <v>0</v>
      </c>
      <c r="T26" s="50">
        <f>IF($J$19="*",-SUMPRODUCT((N26=TablaMovimientos[Movimiento])*(TablaMovimientos[Valores Actualizados])*(TablaMovimientos[Fecha]&gt;$N$19)*(TablaMovimientos[Fecha]&lt;=$P$19)),-SUMPRODUCT((N26=TablaMovimientos[Movimiento])*(TablaMovimientos[Valores Actualizados])*(TablaMovimientos[Fecha]&gt;$N$19)*(TablaMovimientos[Fecha]&lt;=$P$19)*(TablaMovimientos[Actividad]=$J$19)))</f>
        <v>0</v>
      </c>
      <c r="V26" s="110"/>
      <c r="AL26" s="22"/>
      <c r="AM26" s="22"/>
    </row>
    <row r="27" spans="1:40" ht="12.75" customHeight="1" x14ac:dyDescent="0.2">
      <c r="A27" s="291"/>
      <c r="B27" s="292"/>
      <c r="C27" s="292"/>
      <c r="D27" s="292"/>
      <c r="E27" s="292"/>
      <c r="F27" s="293"/>
      <c r="H27" s="44" t="s">
        <v>8</v>
      </c>
      <c r="I27" s="226"/>
      <c r="J27" s="227" cm="1">
        <f t="array" ref="J27">+SUMPRODUCT((H27=TablaMovimientos[Movimiento])*(TablaMovimientos[Kg.])*(TablaMovimientos[Fecha]&gt;$N$19)*(TablaMovimientos[Fecha]&lt;=$P$19)*IF(J19="*",1,(TablaMovimientos[Actividad]=$J$19)))</f>
        <v>0</v>
      </c>
      <c r="K27" s="21">
        <f>IF(J27=0,0,IF($S$23=TRUE,M27/J27,L27/J27))</f>
        <v>0</v>
      </c>
      <c r="L27" s="21" cm="1">
        <f t="array" ref="L27">+SUMPRODUCT((H27=TablaMovimientos[Movimiento])*(TablaMovimientos[Total $ corr-tes])*(TablaMovimientos[Fecha]&gt;$N$19)*(TablaMovimientos[Fecha]&lt;=$P$19)*IF(J19="*",1,(TablaMovimientos[Actividad]=$J$19)))</f>
        <v>0</v>
      </c>
      <c r="M27" s="52">
        <f>IF($J$19="*",SUMPRODUCT((H27=TablaMovimientos[Movimiento])*(TablaMovimientos[Valores Actualizados])*(TablaMovimientos[Fecha]&gt;$N$19)*(TablaMovimientos[Fecha]&lt;=$P$19)),SUMPRODUCT((H27=TablaMovimientos[Movimiento])*(TablaMovimientos[Valores Actualizados])*(TablaMovimientos[Fecha]&gt;$N$19)*(TablaMovimientos[Fecha]&lt;=$P$19)*(TablaMovimientos[Actividad]=$J$19)))</f>
        <v>0</v>
      </c>
      <c r="N27" s="27" t="s">
        <v>26</v>
      </c>
      <c r="P27" s="22" cm="1">
        <f t="array" ref="P27">SUMPRODUCT((N27=TablaMovimientos[Movimiento])*(TablaMovimientos[Cab.])*(TablaMovimientos[Fecha]&gt;$N$19)*(TablaMovimientos[Fecha]&lt;=$P$19)*IF(J19="*",1,(TablaMovimientos[Actividad]=$J$19)))</f>
        <v>0</v>
      </c>
      <c r="Q27" s="22" cm="1">
        <f t="array" ref="Q27">-SUMPRODUCT((N27=TablaMovimientos[Movimiento])*(TablaMovimientos[Kg.])*(TablaMovimientos[Fecha]&gt;$N$19)*(TablaMovimientos[Fecha]&lt;=$P$19)*IF(J19="*",1,(TablaMovimientos[Actividad]=$J$19)))</f>
        <v>0</v>
      </c>
      <c r="R27" s="21">
        <f>IF(Q27=0,0,IF($S$23=TRUE,T27/Q27,S27/Q27))</f>
        <v>0</v>
      </c>
      <c r="S27" s="21" cm="1">
        <f t="array" ref="S27">-SUMPRODUCT((N27=TablaMovimientos[Movimiento])*(TablaMovimientos[Total $ corr-tes])*(TablaMovimientos[Fecha]&gt;$N$19)*(TablaMovimientos[Fecha]&lt;=$P$19)*IF(J19="*",1,(TablaMovimientos[Actividad]=$J$19)))</f>
        <v>0</v>
      </c>
      <c r="T27" s="50">
        <f>IF($J$19="*",-SUMPRODUCT((N27=TablaMovimientos[Movimiento])*(TablaMovimientos[Valores Actualizados])*(TablaMovimientos[Fecha]&gt;$N$19)*(TablaMovimientos[Fecha]&lt;=$P$19)),-SUMPRODUCT((N27=TablaMovimientos[Movimiento])*(TablaMovimientos[Valores Actualizados])*(TablaMovimientos[Fecha]&gt;$N$19)*(TablaMovimientos[Fecha]&lt;=$P$19)*(TablaMovimientos[Actividad]=$J$19)))</f>
        <v>0</v>
      </c>
      <c r="V27" s="110"/>
      <c r="AL27" s="22"/>
      <c r="AM27" s="22"/>
    </row>
    <row r="28" spans="1:40" ht="12.75" customHeight="1" x14ac:dyDescent="0.2">
      <c r="A28" s="288"/>
      <c r="B28" s="289"/>
      <c r="C28" s="289"/>
      <c r="D28" s="289"/>
      <c r="E28" s="289"/>
      <c r="F28" s="290"/>
      <c r="H28" s="147" t="s">
        <v>13</v>
      </c>
      <c r="I28" s="228" t="str">
        <f>IF(J28=0,"","Revisar (debe ser 0)")</f>
        <v/>
      </c>
      <c r="J28" s="227" cm="1">
        <f t="array" ref="J28">SUMPRODUCT(("Cambio Categoría (-)"=TablaMovimientos[Movimiento])*(TablaMovimientos[Kg.])*(TablaMovimientos[Fecha]&gt;$N$19)*(TablaMovimientos[Fecha]&lt;=$P$19)*IF(J19="*",1,(TablaMovimientos[Actividad]=$J$19)))+SUMPRODUCT(("Cambio Categoría (+)"=TablaMovimientos[Movimiento])*(TablaMovimientos[Kg.])*(TablaMovimientos[Fecha]&gt;$N$19)*(TablaMovimientos[Fecha]&lt;=$P$19)*IF(J19="*",1,(TablaMovimientos[Actividad]=$J$19)))</f>
        <v>0</v>
      </c>
      <c r="K28" s="21">
        <f>IF(J40=0,0,IF($S$23=TRUE,M28/J40,L28/J40))</f>
        <v>0</v>
      </c>
      <c r="L28" s="21" cm="1">
        <f t="array" ref="L28">SUMPRODUCT(("Cambio Categoría (-)"=TablaMovimientos[Movimiento])*(TablaMovimientos[Total $ corr-tes])*(TablaMovimientos[Fecha]&gt;$N$19)*(TablaMovimientos[Fecha]&lt;=$P$19)*IF(J19="*",1,(TablaMovimientos[Actividad]=$J$19)))+SUMPRODUCT(("Cambio Categoría (+)"=TablaMovimientos[Movimiento])*(TablaMovimientos[Total $ corr-tes])*(TablaMovimientos[Fecha]&gt;$N$19)*(TablaMovimientos[Fecha]&lt;=$P$19)*IF(J19="*",1,(TablaMovimientos[Actividad]=$J$19)))</f>
        <v>0</v>
      </c>
      <c r="M28" s="52" cm="1">
        <f t="array" ref="M28">SUMPRODUCT(("Cambio Categoría (-)"=TablaMovimientos[Movimiento])*(TablaMovimientos[Valores Actualizados])*(TablaMovimientos[Fecha]&gt;$N$19)*(TablaMovimientos[Fecha]&lt;=$P$19)*IF(J19="*",1,(TablaMovimientos[Actividad]=$J$19)))+SUMPRODUCT(("Cambio Categoría (+)"=TablaMovimientos[Movimiento])*(TablaMovimientos[Valores Actualizados])*(TablaMovimientos[Fecha]&gt;$N$19)*(TablaMovimientos[Fecha]&lt;=$P$19)*IF(J19="*",1,(TablaMovimientos[Actividad]=$J$19)))</f>
        <v>0</v>
      </c>
      <c r="N28" s="27" t="s">
        <v>27</v>
      </c>
      <c r="P28" s="22" cm="1">
        <f t="array" ref="P28">SUMPRODUCT((N28=TablaMovimientos[Movimiento])*(TablaMovimientos[Cab.])*(TablaMovimientos[Fecha]&gt;$N$19)*(TablaMovimientos[Fecha]&lt;=$P$19)*IF(J19="*",1,(TablaMovimientos[Actividad]=$J$19)))</f>
        <v>0</v>
      </c>
      <c r="Q28" s="22" cm="1">
        <f t="array" ref="Q28">-SUMPRODUCT((N28=TablaMovimientos[Movimiento])*(TablaMovimientos[Kg.])*(TablaMovimientos[Fecha]&gt;$N$19)*(TablaMovimientos[Fecha]&lt;=$P$19)*IF(J19="*",1,(TablaMovimientos[Actividad]=$J$19)))</f>
        <v>0</v>
      </c>
      <c r="R28" s="21">
        <f>IF(Q28=0,0,IF($S$23=TRUE,T28/Q28,S28/Q28))</f>
        <v>0</v>
      </c>
      <c r="S28" s="21" cm="1">
        <f t="array" ref="S28">-SUMPRODUCT((N28=TablaMovimientos[Movimiento])*(TablaMovimientos[Total $ corr-tes])*(TablaMovimientos[Fecha]&gt;$N$19)*(TablaMovimientos[Fecha]&lt;=$P$19)*IF(J19="*",1,(TablaMovimientos[Actividad]=$J$19)))</f>
        <v>0</v>
      </c>
      <c r="T28" s="50">
        <f>IF($J$19="*",-SUMPRODUCT((N28=TablaMovimientos[Movimiento])*(TablaMovimientos[Valores Actualizados])*(TablaMovimientos[Fecha]&gt;$N$19)*(TablaMovimientos[Fecha]&lt;=$P$19)),-SUMPRODUCT((N28=TablaMovimientos[Movimiento])*(TablaMovimientos[Valores Actualizados])*(TablaMovimientos[Fecha]&gt;$N$19)*(TablaMovimientos[Fecha]&lt;=$P$19)*(TablaMovimientos[Actividad]=$J$19)))</f>
        <v>0</v>
      </c>
      <c r="V28" s="110"/>
      <c r="AL28" s="22"/>
      <c r="AM28" s="22"/>
    </row>
    <row r="29" spans="1:40" ht="12.75" customHeight="1" x14ac:dyDescent="0.2">
      <c r="A29" s="272" t="s">
        <v>120</v>
      </c>
      <c r="B29" s="273"/>
      <c r="C29" s="273"/>
      <c r="D29" s="273"/>
      <c r="E29" s="273"/>
      <c r="F29" s="274"/>
      <c r="H29" s="229" t="str">
        <f>IF(Actividad="*","Cesión e/actividades","")</f>
        <v>Cesión e/actividades</v>
      </c>
      <c r="I29" s="230" t="str">
        <f>IF(J29="","",IF(J29=0,"","Revisar (debe ser 0)"))</f>
        <v/>
      </c>
      <c r="J29" s="11">
        <f>IF(Actividad="*",ROUND((SUMPRODUCT(("Cesión (-)"=TablaMovimientos[Movimiento])*(TablaMovimientos[Kg.])*(TablaMovimientos[Fecha]&gt;$N$19)*(TablaMovimientos[Fecha]&lt;=$P$19)*IF($J$19="*",1,(TablaMovimientos[Actividad]=$J$19)))+SUMPRODUCT(("Cesión (+)"=TablaMovimientos[Movimiento])*(TablaMovimientos[Kg.])*(TablaMovimientos[Fecha]&gt;$N$19)*(TablaMovimientos[Fecha]&lt;=$P$19)*IF($J$19="*",1,(TablaMovimientos[Actividad]=$J$19)))),0),"")</f>
        <v>0</v>
      </c>
      <c r="K29" s="21">
        <f>IF(OR(L29="",M29=""),"",IF(J40=0,0,IF($S$23=TRUE,M29/J40,L29/J40)))</f>
        <v>0</v>
      </c>
      <c r="L29" s="12">
        <f>IF(Actividad="*",(SUMPRODUCT(("Cesión (-)"=TablaMovimientos[Movimiento])*(TablaMovimientos[Total $ corr-tes])*(TablaMovimientos[Fecha]&gt;$N$19)*(TablaMovimientos[Fecha]&lt;=$P$19)*IF($J$19="*",1,(TablaMovimientos[Actividad]=$J$19)))+SUMPRODUCT(("Cesión (+)"=TablaMovimientos[Movimiento])*(TablaMovimientos[Total $ corr-tes])*(TablaMovimientos[Fecha]&gt;$N$19)*(TablaMovimientos[Fecha]&lt;=$P$19)*IF($J$19="*",1,(TablaMovimientos[Actividad]=$J$19)))),"")</f>
        <v>0</v>
      </c>
      <c r="M29" s="53">
        <f>IF(Actividad="*",(SUMPRODUCT(("Cesión (-)"=TablaMovimientos[Movimiento])*(TablaMovimientos[Valores Actualizados])*(TablaMovimientos[Fecha]&gt;$N$19)*(TablaMovimientos[Fecha]&lt;=$P$19)*IF($J$19="*",1,(TablaMovimientos[Actividad]=$J$19)))+SUMPRODUCT(("Cesión (+)"=TablaMovimientos[Movimiento])*(TablaMovimientos[Valores Actualizados])*(TablaMovimientos[Fecha]&gt;$N$19)*(TablaMovimientos[Fecha]&lt;=$P$19)*IF($J$19="*",1,(TablaMovimientos[Actividad]=$J$19)))),"")</f>
        <v>0</v>
      </c>
      <c r="N29" s="1" t="str">
        <f>IF(Actividad="*","","Cesión (-)")</f>
        <v/>
      </c>
      <c r="P29" s="22" cm="1">
        <f t="array" ref="P29">SUMPRODUCT((N29=TablaMovimientos[Movimiento])*(TablaMovimientos[Cab.])*(TablaMovimientos[Fecha]&gt;$N$19)*(TablaMovimientos[Fecha]&lt;=$P$19)*IF(J19="*",1,(TablaMovimientos[Actividad]=$J$19)))</f>
        <v>0</v>
      </c>
      <c r="Q29" s="22" cm="1">
        <f t="array" ref="Q29">-SUMPRODUCT((N29=TablaMovimientos[Movimiento])*(TablaMovimientos[Kg.])*(TablaMovimientos[Fecha]&gt;$N$19)*(TablaMovimientos[Fecha]&lt;=$P$19)*IF(J19="*",1,(TablaMovimientos[Actividad]=$J$19)))</f>
        <v>0</v>
      </c>
      <c r="R29" s="21">
        <f>IF(Q29=0,0,IF($S$23=TRUE,T29/Q29,S29/Q29))</f>
        <v>0</v>
      </c>
      <c r="S29" s="21" cm="1">
        <f t="array" ref="S29">-SUMPRODUCT((N29=TablaMovimientos[Movimiento])*(TablaMovimientos[Total $ corr-tes])*(TablaMovimientos[Fecha]&gt;$N$19)*(TablaMovimientos[Fecha]&lt;=$P$19)*IF(J19="*",1,(TablaMovimientos[Actividad]=$J$19)))</f>
        <v>0</v>
      </c>
      <c r="T29" s="50">
        <f>IF($J$19="*",-SUMPRODUCT((N29=TablaMovimientos[Movimiento])*(TablaMovimientos[Valores Actualizados])*(TablaMovimientos[Fecha]&gt;$N$19)*(TablaMovimientos[Fecha]&lt;=$P$19)),-SUMPRODUCT((N29=TablaMovimientos[Movimiento])*(TablaMovimientos[Valores Actualizados])*(TablaMovimientos[Fecha]&gt;$N$19)*(TablaMovimientos[Fecha]&lt;=$P$19)*(TablaMovimientos[Actividad]=$J$19)))</f>
        <v>0</v>
      </c>
      <c r="V29" s="110"/>
      <c r="AL29" s="22"/>
      <c r="AM29" s="22"/>
    </row>
    <row r="30" spans="1:40" ht="12.75" customHeight="1" x14ac:dyDescent="0.2">
      <c r="A30" s="272"/>
      <c r="B30" s="273"/>
      <c r="C30" s="273"/>
      <c r="D30" s="273"/>
      <c r="E30" s="273"/>
      <c r="F30" s="274"/>
      <c r="H30" s="45"/>
      <c r="I30" s="41"/>
      <c r="J30" s="41"/>
      <c r="K30" s="41"/>
      <c r="L30" s="41"/>
      <c r="M30" s="54"/>
      <c r="N30" s="27" t="s">
        <v>8</v>
      </c>
      <c r="P30" s="22" cm="1">
        <f t="array" ref="P30">SUMPRODUCT((N30=TablaMovimientos[Movimiento])*(TablaMovimientos[Cab.])*(TablaMovimientos[Fecha]&gt;$N$19)*(TablaMovimientos[Fecha]&lt;=$P$19)*IF(J19="*",1,(TablaMovimientos[Actividad]=$J$19)))</f>
        <v>0</v>
      </c>
      <c r="Q30" s="58" t="s">
        <v>40</v>
      </c>
      <c r="R30" s="58" t="s">
        <v>40</v>
      </c>
      <c r="S30" s="59" t="s">
        <v>41</v>
      </c>
      <c r="T30" s="60" t="s">
        <v>41</v>
      </c>
      <c r="V30" s="110"/>
      <c r="AL30" s="22"/>
      <c r="AM30" s="22"/>
    </row>
    <row r="31" spans="1:40" ht="12.75" customHeight="1" x14ac:dyDescent="0.2">
      <c r="A31" s="275"/>
      <c r="B31" s="276"/>
      <c r="C31" s="276"/>
      <c r="D31" s="276"/>
      <c r="E31" s="276"/>
      <c r="F31" s="277"/>
      <c r="H31" s="46"/>
      <c r="I31" s="23"/>
      <c r="J31" s="23"/>
      <c r="K31" s="23"/>
      <c r="L31" s="23"/>
      <c r="M31" s="55"/>
      <c r="N31" s="27" t="s">
        <v>28</v>
      </c>
      <c r="P31" s="22" cm="1">
        <f t="array" ref="P31">SUMPRODUCT((N31=TablaMovimientos[Movimiento])*(TablaMovimientos[Cab.])*(TablaMovimientos[Fecha]&gt;$N$19)*(TablaMovimientos[Fecha]&lt;=$P$19)*IF(J19="*",1,(TablaMovimientos[Actividad]=$J$19)))</f>
        <v>0</v>
      </c>
      <c r="Q31" s="22" cm="1">
        <f t="array" ref="Q31">-SUMPRODUCT((N31=TablaMovimientos[Movimiento])*(TablaMovimientos[Kg.])*(TablaMovimientos[Fecha]&gt;$N$19)*(TablaMovimientos[Fecha]&lt;=$P$19)*IF(J19="*",1,(TablaMovimientos[Actividad]=$J$19)))</f>
        <v>0</v>
      </c>
      <c r="R31" s="21">
        <f>IF(Q31=0,0,IF($S$23=TRUE,T31/Q31,S31/Q31))</f>
        <v>0</v>
      </c>
      <c r="S31" s="21" cm="1">
        <f t="array" ref="S31">-SUMPRODUCT((N31=TablaMovimientos[Movimiento])*(TablaMovimientos[Total $ corr-tes])*(TablaMovimientos[Fecha]&gt;$N$19)*(TablaMovimientos[Fecha]&lt;=$P$19)*IF(J19="*",1,(TablaMovimientos[Actividad]=$J$19)))</f>
        <v>0</v>
      </c>
      <c r="T31" s="50">
        <f>IF($J$19="*",-SUMPRODUCT((N31=TablaMovimientos[Movimiento])*(TablaMovimientos[Valores Actualizados])*(TablaMovimientos[Fecha]&gt;$N$19)*(TablaMovimientos[Fecha]&lt;=$P$19)),-SUMPRODUCT((N31=TablaMovimientos[Movimiento])*(TablaMovimientos[Valores Actualizados])*(TablaMovimientos[Fecha]&gt;$N$19)*(TablaMovimientos[Fecha]&lt;=$P$19)*(TablaMovimientos[Actividad]=$J$19)))</f>
        <v>0</v>
      </c>
      <c r="V31" s="110"/>
      <c r="AL31" s="22"/>
      <c r="AM31" s="22"/>
    </row>
    <row r="32" spans="1:40" ht="12.75" customHeight="1" thickBot="1" x14ac:dyDescent="0.25">
      <c r="A32" s="275"/>
      <c r="B32" s="276"/>
      <c r="C32" s="276"/>
      <c r="D32" s="276"/>
      <c r="E32" s="276"/>
      <c r="F32" s="277"/>
      <c r="H32" s="46"/>
      <c r="I32" s="23"/>
      <c r="J32" s="23"/>
      <c r="K32" s="23"/>
      <c r="L32" s="23"/>
      <c r="M32" s="55"/>
      <c r="N32" s="97" t="s">
        <v>30</v>
      </c>
      <c r="O32" s="98"/>
      <c r="P32" s="99" cm="1">
        <f t="array" ref="P32">SUMPRODUCT((N32=TablaMovimientos[Movimiento])*(TablaMovimientos[Cab.])*(TablaMovimientos[Fecha]&gt;$N$19)*(TablaMovimientos[Fecha]&lt;=$P$19)*IF(J19="*",1,(TablaMovimientos[Actividad]=$J$19)))</f>
        <v>0</v>
      </c>
      <c r="Q32" s="99" cm="1">
        <f t="array" ref="Q32">-SUMPRODUCT((N32=TablaMovimientos[Movimiento])*(TablaMovimientos[Kg.])*(TablaMovimientos[Fecha]&gt;$N$19)*(TablaMovimientos[Fecha]&lt;=$P$19)*IF(J19="*",1,(TablaMovimientos[Actividad]=$J$19)))</f>
        <v>0</v>
      </c>
      <c r="R32" s="100">
        <f>IF(Q32=0,0,IF($S$23=TRUE,T32/Q32,S32/Q32))</f>
        <v>0</v>
      </c>
      <c r="S32" s="100" cm="1">
        <f t="array" ref="S32">-SUMPRODUCT((N32=TablaMovimientos[Movimiento])*(TablaMovimientos[Total $ corr-tes])*(TablaMovimientos[Fecha]&gt;$N$19)*(TablaMovimientos[Fecha]&lt;=$P$19)*IF(J19="*",1,(TablaMovimientos[Actividad]=$J$19)))</f>
        <v>0</v>
      </c>
      <c r="T32" s="101">
        <f>IF($J$19="*",-SUMPRODUCT((N32=TablaMovimientos[Movimiento])*(TablaMovimientos[Valores Actualizados])*(TablaMovimientos[Fecha]&gt;$N$19)*(TablaMovimientos[Fecha]&lt;=$P$19)),-SUMPRODUCT((N32=TablaMovimientos[Movimiento])*(TablaMovimientos[Valores Actualizados])*(TablaMovimientos[Fecha]&gt;$N$19)*(TablaMovimientos[Fecha]&lt;=$P$19)*(TablaMovimientos[Actividad]=$J$19)))</f>
        <v>0</v>
      </c>
      <c r="V32" s="110"/>
      <c r="AL32" s="22"/>
      <c r="AM32" s="22"/>
    </row>
    <row r="33" spans="1:39" ht="15" customHeight="1" x14ac:dyDescent="0.2">
      <c r="A33" s="266" t="s">
        <v>121</v>
      </c>
      <c r="B33" s="267"/>
      <c r="C33" s="267"/>
      <c r="D33" s="267"/>
      <c r="E33" s="267"/>
      <c r="F33" s="268"/>
      <c r="H33" s="46"/>
      <c r="I33" s="23"/>
      <c r="J33" s="23"/>
      <c r="K33" s="23"/>
      <c r="L33" s="23"/>
      <c r="M33" s="55"/>
      <c r="N33" s="27" t="s">
        <v>12</v>
      </c>
      <c r="P33" s="22" cm="1">
        <f t="array" ref="P33">SUMPRODUCT((N33=TablaMovimientos[Movimiento])*(TablaMovimientos[Cab.])*(TablaMovimientos[Fecha]&gt;$N$19)*(TablaMovimientos[Fecha]&lt;=$P$19)*IF(J19="*",1,(TablaMovimientos[Actividad]=$J$19)))</f>
        <v>0</v>
      </c>
      <c r="Q33" s="22" cm="1">
        <f t="array" ref="Q33">-SUMPRODUCT((N33=TablaMovimientos[Movimiento])*(TablaMovimientos[Kg.])*(TablaMovimientos[Fecha]&gt;$N$19)*(TablaMovimientos[Fecha]&lt;=$P$19)*IF(J19="*",1,(TablaMovimientos[Actividad]=$J$19)))</f>
        <v>0</v>
      </c>
      <c r="R33" s="21">
        <f>IF(Q33=0,0,IF($S$23=TRUE,T33/Q33,S33/Q33))</f>
        <v>0</v>
      </c>
      <c r="S33" s="21" cm="1">
        <f t="array" ref="S33">-SUMPRODUCT((N33=TablaMovimientos[Movimiento])*(TablaMovimientos[Total $ corr-tes])*(TablaMovimientos[Fecha]&gt;$N$19)*(TablaMovimientos[Fecha]&lt;=$P$19)*IF(J19="*",1,(TablaMovimientos[Actividad]=$J$19)))</f>
        <v>0</v>
      </c>
      <c r="T33" s="50">
        <f>IF($J$19="*",-SUMPRODUCT((N33=TablaMovimientos[Movimiento])*(TablaMovimientos[Valores Actualizados])*(TablaMovimientos[Fecha]&gt;$N$19)*(TablaMovimientos[Fecha]&lt;=$P$19)),-SUMPRODUCT((N33=TablaMovimientos[Movimiento])*(TablaMovimientos[Valores Actualizados])*(TablaMovimientos[Fecha]&gt;$N$19)*(TablaMovimientos[Fecha]&lt;=$P$19)*(TablaMovimientos[Actividad]=$J$19)))</f>
        <v>0</v>
      </c>
      <c r="V33" s="110"/>
      <c r="AL33" s="22"/>
      <c r="AM33" s="22"/>
    </row>
    <row r="34" spans="1:39" ht="12.75" customHeight="1" x14ac:dyDescent="0.2">
      <c r="A34" s="269"/>
      <c r="B34" s="267"/>
      <c r="C34" s="267"/>
      <c r="D34" s="267"/>
      <c r="E34" s="267"/>
      <c r="F34" s="268"/>
      <c r="H34" s="46"/>
      <c r="I34" s="23"/>
      <c r="J34" s="23"/>
      <c r="K34" s="23"/>
      <c r="L34" s="23"/>
      <c r="M34" s="55"/>
      <c r="N34" s="27" t="s">
        <v>29</v>
      </c>
      <c r="P34" s="22" cm="1">
        <f t="array" ref="P34">SUMPRODUCT((N34=TablaMovimientos[Movimiento])*(TablaMovimientos[Cab.])*(TablaMovimientos[Fecha]&gt;$N$19)*(TablaMovimientos[Fecha]&lt;=$P$19)*IF(J19="*",1,(TablaMovimientos[Actividad]=$J$19)))</f>
        <v>0</v>
      </c>
      <c r="Q34" s="22" cm="1">
        <f t="array" ref="Q34">-SUMPRODUCT((N34=TablaMovimientos[Movimiento])*(TablaMovimientos[Kg.])*(TablaMovimientos[Fecha]&gt;$N$19)*(TablaMovimientos[Fecha]&lt;=$P$19)*IF(J19="*",1,(TablaMovimientos[Actividad]=$J$19)))</f>
        <v>0</v>
      </c>
      <c r="R34" s="21">
        <f>IF(Q34=0,0,IF($S$23=TRUE,T34/Q34,S34/Q34))</f>
        <v>0</v>
      </c>
      <c r="S34" s="21" cm="1">
        <f t="array" ref="S34">-SUMPRODUCT((N34=TablaMovimientos[Movimiento])*(TablaMovimientos[Total $ corr-tes])*(TablaMovimientos[Fecha]&gt;$N$19)*(TablaMovimientos[Fecha]&lt;=$P$19)*IF(J19="*",1,(TablaMovimientos[Actividad]=$J$19)))</f>
        <v>0</v>
      </c>
      <c r="T34" s="50">
        <f>IF($J$19="*",-SUMPRODUCT((N34=TablaMovimientos[Movimiento])*(TablaMovimientos[Valores Actualizados])*(TablaMovimientos[Fecha]&gt;$N$19)*(TablaMovimientos[Fecha]&lt;=$P$19)),-SUMPRODUCT((N34=TablaMovimientos[Movimiento])*(TablaMovimientos[Valores Actualizados])*(TablaMovimientos[Fecha]&gt;$N$19)*(TablaMovimientos[Fecha]&lt;=$P$19)*(TablaMovimientos[Actividad]=$J$19)))</f>
        <v>0</v>
      </c>
      <c r="V34" s="110"/>
      <c r="AL34" s="22"/>
      <c r="AM34" s="22"/>
    </row>
    <row r="35" spans="1:39" ht="16.5" customHeight="1" x14ac:dyDescent="0.2">
      <c r="A35" s="269"/>
      <c r="B35" s="267"/>
      <c r="C35" s="267"/>
      <c r="D35" s="267"/>
      <c r="E35" s="267"/>
      <c r="F35" s="268"/>
      <c r="H35" s="46"/>
      <c r="I35" s="23"/>
      <c r="J35" s="23"/>
      <c r="K35" s="23"/>
      <c r="L35" s="23"/>
      <c r="M35" s="55"/>
      <c r="N35" s="1" t="str">
        <f>IF(Actividad="*","","Cesión (+)")</f>
        <v/>
      </c>
      <c r="P35" s="22" cm="1">
        <f t="array" ref="P35">SUMPRODUCT((N35=TablaMovimientos[Movimiento])*(TablaMovimientos[Cab.])*(TablaMovimientos[Fecha]&gt;$N$19)*(TablaMovimientos[Fecha]&lt;=$P$19)*IF(J19="*",1,(TablaMovimientos[Actividad]=$J$19)))</f>
        <v>0</v>
      </c>
      <c r="Q35" s="22" cm="1">
        <f t="array" ref="Q35">-SUMPRODUCT((N35=TablaMovimientos[Movimiento])*(TablaMovimientos[Kg.])*(TablaMovimientos[Fecha]&gt;$N$19)*(TablaMovimientos[Fecha]&lt;=$P$19)*IF(J19="*",1,(TablaMovimientos[Actividad]=$J$19)))</f>
        <v>0</v>
      </c>
      <c r="R35" s="21">
        <f>IF(Q35=0,0,IF($S$23=TRUE,T35/Q35,S35/Q35))</f>
        <v>0</v>
      </c>
      <c r="S35" s="21" cm="1">
        <f t="array" ref="S35">-SUMPRODUCT((N35=TablaMovimientos[Movimiento])*(TablaMovimientos[Total $ corr-tes])*(TablaMovimientos[Fecha]&gt;$N$19)*(TablaMovimientos[Fecha]&lt;=$P$19)*IF(J19="*",1,(TablaMovimientos[Actividad]=$J$19)))</f>
        <v>0</v>
      </c>
      <c r="T35" s="50">
        <f>IF($J$19="*",-SUMPRODUCT((N35=TablaMovimientos[Movimiento])*(TablaMovimientos[Valores Actualizados])*(TablaMovimientos[Fecha]&gt;$N$19)*(TablaMovimientos[Fecha]&lt;=$P$19)),-SUMPRODUCT((N35=TablaMovimientos[Movimiento])*(TablaMovimientos[Valores Actualizados])*(TablaMovimientos[Fecha]&gt;$N$19)*(TablaMovimientos[Fecha]&lt;=$P$19)*(TablaMovimientos[Actividad]=$J$19)))</f>
        <v>0</v>
      </c>
      <c r="V35" s="110"/>
      <c r="AL35" s="22"/>
      <c r="AM35" s="22"/>
    </row>
    <row r="36" spans="1:39" x14ac:dyDescent="0.2">
      <c r="A36" s="270" t="s">
        <v>118</v>
      </c>
      <c r="B36" s="267"/>
      <c r="C36" s="267"/>
      <c r="D36" s="267"/>
      <c r="E36" s="267"/>
      <c r="F36" s="268"/>
      <c r="G36" s="263" t="str">
        <f>+IF(T17=0,"Ajuste Kilos Producidos REALIZADO","Ajuste Kilos Producidos PENDIENTE")</f>
        <v>Ajuste Kilos Producidos REALIZADO</v>
      </c>
      <c r="H36" s="46"/>
      <c r="I36" s="23"/>
      <c r="J36" s="23"/>
      <c r="K36" s="23"/>
      <c r="L36" s="23"/>
      <c r="M36" s="55"/>
      <c r="N36" s="27" t="s">
        <v>23</v>
      </c>
      <c r="P36" s="22" cm="1">
        <f t="array" ref="P36">SUMPRODUCT((N36=TablaMovimientos[Movimiento])*(TablaMovimientos[Cab.])*(TablaMovimientos[Fecha]&gt;$N$19)*(TablaMovimientos[Fecha]&lt;=$P$19)*IF(J19="*",1,(TablaMovimientos[Actividad]=$J$19)))</f>
        <v>0</v>
      </c>
      <c r="Q36" s="58" t="s">
        <v>40</v>
      </c>
      <c r="R36" s="58" t="s">
        <v>40</v>
      </c>
      <c r="S36" s="59" t="s">
        <v>41</v>
      </c>
      <c r="T36" s="60" t="s">
        <v>41</v>
      </c>
      <c r="V36" s="110"/>
      <c r="AL36" s="22"/>
      <c r="AM36" s="22"/>
    </row>
    <row r="37" spans="1:39" ht="13.5" thickBot="1" x14ac:dyDescent="0.25">
      <c r="A37" s="269"/>
      <c r="B37" s="267"/>
      <c r="C37" s="267"/>
      <c r="D37" s="267"/>
      <c r="E37" s="267"/>
      <c r="F37" s="268"/>
      <c r="G37" s="264"/>
      <c r="H37" s="46"/>
      <c r="I37" s="23"/>
      <c r="J37" s="23"/>
      <c r="K37" s="23"/>
      <c r="L37" s="23"/>
      <c r="M37" s="55"/>
      <c r="N37" s="97" t="s">
        <v>31</v>
      </c>
      <c r="O37" s="98"/>
      <c r="P37" s="99" cm="1">
        <f t="array" ref="P37">SUMPRODUCT((N37=TablaMovimientos[Movimiento])*(TablaMovimientos[Cab.])*(TablaMovimientos[Fecha]&gt;$N$19)*(TablaMovimientos[Fecha]&lt;=$P$19)*IF(J19="*",1,(TablaMovimientos[Actividad]=$J$19)))</f>
        <v>0</v>
      </c>
      <c r="Q37" s="99" cm="1">
        <f t="array" ref="Q37">-SUMPRODUCT((N37=TablaMovimientos[Movimiento])*(TablaMovimientos[Kg.])*(TablaMovimientos[Fecha]&gt;$N$19)*(TablaMovimientos[Fecha]&lt;=$P$19)*IF(J19="*",1,(TablaMovimientos[Actividad]=$J$19)))</f>
        <v>0</v>
      </c>
      <c r="R37" s="100">
        <f>IF(Q37=0,0,IF($S$23=TRUE,T37/Q37,S37/Q37))</f>
        <v>0</v>
      </c>
      <c r="S37" s="100" cm="1">
        <f t="array" ref="S37">-SUMPRODUCT((N37=TablaMovimientos[Movimiento])*(TablaMovimientos[Total $ corr-tes])*(TablaMovimientos[Fecha]&gt;$N$19)*(TablaMovimientos[Fecha]&lt;=$P$19)*IF(J19="*",1,(TablaMovimientos[Actividad]=$J$19)))</f>
        <v>0</v>
      </c>
      <c r="T37" s="101">
        <f>IF($J$19="*",-SUMPRODUCT((N37=TablaMovimientos[Movimiento])*(TablaMovimientos[Valores Actualizados])*(TablaMovimientos[Fecha]&gt;$N$19)*(TablaMovimientos[Fecha]&lt;=$P$19)),-SUMPRODUCT((N37=TablaMovimientos[Movimiento])*(TablaMovimientos[Valores Actualizados])*(TablaMovimientos[Fecha]&gt;$N$19)*(TablaMovimientos[Fecha]&lt;=$P$19)*(TablaMovimientos[Actividad]=$J$19)))</f>
        <v>0</v>
      </c>
      <c r="V37" s="110"/>
      <c r="AL37" s="22"/>
      <c r="AM37" s="22"/>
    </row>
    <row r="38" spans="1:39" x14ac:dyDescent="0.2">
      <c r="A38" s="269"/>
      <c r="B38" s="267"/>
      <c r="C38" s="267"/>
      <c r="D38" s="267"/>
      <c r="E38" s="267"/>
      <c r="F38" s="268"/>
      <c r="G38" s="265"/>
      <c r="H38" s="46"/>
      <c r="I38" s="23"/>
      <c r="J38" s="23"/>
      <c r="K38" s="23"/>
      <c r="L38" s="23"/>
      <c r="M38" s="55"/>
      <c r="N38" s="27" t="s">
        <v>20</v>
      </c>
      <c r="P38" s="22">
        <f>-J17</f>
        <v>0</v>
      </c>
      <c r="Q38" s="22">
        <f>L17</f>
        <v>0</v>
      </c>
      <c r="R38" s="21">
        <f>IF(Q38=0,0,IF($S$23=TRUE,T38/Q38,S38/Q38))</f>
        <v>0</v>
      </c>
      <c r="S38" s="21">
        <f>O17</f>
        <v>0</v>
      </c>
      <c r="T38" s="22">
        <f>+P17</f>
        <v>0</v>
      </c>
      <c r="V38" s="110"/>
      <c r="AL38" s="22"/>
      <c r="AM38" s="22"/>
    </row>
    <row r="39" spans="1:39" x14ac:dyDescent="0.2">
      <c r="A39" s="256" t="s">
        <v>119</v>
      </c>
      <c r="B39" s="257"/>
      <c r="C39" s="257"/>
      <c r="D39" s="257"/>
      <c r="E39" s="257"/>
      <c r="F39" s="258"/>
      <c r="G39" s="263" t="str">
        <f>+IF(U17=0,"Ajuste por Tenencia REALIZADO","Ajuste por Tenencia PENDIENTE")</f>
        <v>Ajuste por Tenencia REALIZADO</v>
      </c>
      <c r="H39" s="47"/>
      <c r="I39" s="42"/>
      <c r="J39" s="42"/>
      <c r="K39" s="42"/>
      <c r="L39" s="42"/>
      <c r="M39" s="56"/>
      <c r="N39" s="28" t="s">
        <v>21</v>
      </c>
      <c r="O39" s="64"/>
      <c r="P39" s="11">
        <f>+C17</f>
        <v>0</v>
      </c>
      <c r="Q39" s="11">
        <f>-E17</f>
        <v>0</v>
      </c>
      <c r="R39" s="11">
        <f>IF(Q39=0,0,IF($S$23=TRUE,T39/Q39,S39/Q39))</f>
        <v>0</v>
      </c>
      <c r="S39" s="12" cm="1">
        <f t="array" ref="S39">-SUMPRODUCT((TablaInventarios[Cab. 
Inicio período])*(TablaInventarios[Kg/Cab. 
Inicio período])*(TablaInventarios[$/Kg. 
Stock])*IF(J19="*",1,TablaInventarios[[Actividad ]]=J19))</f>
        <v>0</v>
      </c>
      <c r="T39" s="11">
        <f>VLOOKUP(DATE(YEAR(P19),MONTH(P19),1),Indices[],2,FALSE)*S39</f>
        <v>0</v>
      </c>
      <c r="V39" s="110"/>
      <c r="AL39" s="22"/>
      <c r="AM39" s="22"/>
    </row>
    <row r="40" spans="1:39" x14ac:dyDescent="0.2">
      <c r="A40" s="259"/>
      <c r="B40" s="257"/>
      <c r="C40" s="257"/>
      <c r="D40" s="257"/>
      <c r="E40" s="257"/>
      <c r="F40" s="258"/>
      <c r="G40" s="264"/>
      <c r="H40" s="195" t="s">
        <v>62</v>
      </c>
      <c r="I40" s="196"/>
      <c r="J40" s="197">
        <f>+SUM(J25:J29)</f>
        <v>0</v>
      </c>
      <c r="K40" s="198">
        <f>IF(J40=0,0,IF($S$23=TRUE,M40/J40,L40/J40))</f>
        <v>0</v>
      </c>
      <c r="L40" s="199">
        <f>+SUM(L25:L29)</f>
        <v>0</v>
      </c>
      <c r="M40" s="200">
        <f>+SUM(M25:M29)</f>
        <v>0</v>
      </c>
      <c r="N40" s="201" t="s">
        <v>62</v>
      </c>
      <c r="O40" s="196"/>
      <c r="P40" s="61" t="str">
        <f>IF(SUM(P25:P39)=0,"Cab. OK!","Revisar !!")</f>
        <v>Cab. OK!</v>
      </c>
      <c r="Q40" s="197">
        <f>+SUM(Q25:Q39)</f>
        <v>0</v>
      </c>
      <c r="R40" s="198">
        <f>IF(Q40=0,0,IF($S$23=TRUE,T40/Q40,S40/Q40))</f>
        <v>0</v>
      </c>
      <c r="S40" s="198">
        <f>+SUM(S25:S39)</f>
        <v>0</v>
      </c>
      <c r="T40" s="202">
        <f>+SUM(T25:T39)</f>
        <v>0</v>
      </c>
      <c r="V40" s="110"/>
      <c r="AL40" s="22"/>
      <c r="AM40" s="22"/>
    </row>
    <row r="41" spans="1:39" ht="13.5" thickBot="1" x14ac:dyDescent="0.25">
      <c r="A41" s="260"/>
      <c r="B41" s="261"/>
      <c r="C41" s="261"/>
      <c r="D41" s="261"/>
      <c r="E41" s="261"/>
      <c r="F41" s="262"/>
      <c r="G41" s="265"/>
      <c r="H41" s="44" t="s">
        <v>105</v>
      </c>
      <c r="J41" s="22"/>
      <c r="K41" s="21">
        <f>IF(J44=0,0,IF($S$23=TRUE,M41/J44,L41/J44))</f>
        <v>0</v>
      </c>
      <c r="L41" s="21" cm="1">
        <f t="array" ref="L41">SUMPRODUCT(("Res. por Tenencia"=TablaMovimientos[Movimiento])*("AC"=TablaMovimientos[Activo])*(TablaMovimientos[Total $ corr-tes])*(TablaMovimientos[Fecha]&gt;$N$19)*(TablaMovimientos[Fecha]&lt;=$P$19)*IF($J$19="*",1,(TablaMovimientos[Actividad]=$J$19)))</f>
        <v>0</v>
      </c>
      <c r="M41" s="52" cm="1">
        <f t="array" ref="M41">+SUMPRODUCT(("Res. por Tenencia"=TablaMovimientos[Movimiento])*("AC"=TablaMovimientos[Activo])*(TablaMovimientos[Valores Actualizados])*(TablaMovimientos[Fecha]&gt;$N$19)*(TablaMovimientos[Fecha]&lt;=$P$19)*IF($J$19="*",1,(TablaMovimientos[Actividad]=$J$19)))</f>
        <v>0</v>
      </c>
      <c r="N41" s="27" t="s">
        <v>33</v>
      </c>
      <c r="O41" s="22"/>
      <c r="P41" s="22"/>
      <c r="Q41" s="22"/>
      <c r="R41" s="22">
        <f>IF(Q44=0,0,IF($S$23=TRUE,T41/Q44,S41/Q44))</f>
        <v>0</v>
      </c>
      <c r="S41" s="21" cm="1">
        <f t="array" ref="S41">SUMPRODUCT((TablaInventarios[Cab. 
Inicio período])*(TablaInventarios[Kg/Cab. 
Inicio período])*(TablaInventarios[$/Kg. 
Stock])*IF(J19="*",1,TablaInventarios[[Actividad ]]=J19))-H17</f>
        <v>0</v>
      </c>
      <c r="T41" s="50">
        <f>IF($N$19=0,0,IF(Actividad="*",(SUMPRODUCT((TablaInventarios[Kg. Totales 
Inicio período])*(TablaInventarios[$/Kg. 
Stock]))*IF($S$23=FALSE,0,IF($T$19="SIPM",VLOOKUP(DATE(YEAR($P$19),MONTH($P$19),1),Indices[[Fecha]:[Indice SIPM]],2,FALSE),IF($T$19="Dólar Oficial",1/VLOOKUP(DATE(YEAR($P$19),MONTH($P$19),DAY($P$19)),Tabla5[],2),IF($T$19="Dólar Informal",1/VLOOKUP(DATE(YEAR($P$19),MONTH($P$19),DAY($P$19)),Tabla3[],2)))))-I17),(SUMPRODUCT((TablaInventarios[Kg. Totales 
Inicio período])*(TablaInventarios[$/Kg. 
Stock])*(TablaInventarios[[Actividad ]]=Actividad)))*IF($S$23=FALSE,0,IF($T$19="SIPM",VLOOKUP(DATE(YEAR($P$19),MONTH($P$19),1),Indices[[Fecha]:[Indice SIPM]],2,FALSE),IF($T$19="Dólar Oficial",1/VLOOKUP(DATE(YEAR($P$19),MONTH($P$19),DAY($P$19)),Tabla5[],2),IF($T$19="Dólar Informal",1/VLOOKUP(DATE(YEAR($P$19),MONTH($P$19),DAY($P$19)),Tabla3[],2)))))-SUMPRODUCT((TablaInventarios[IP en Valores Actualizados])*(TablaInventarios[[Actividad ]]=Actividad))))</f>
        <v>0</v>
      </c>
      <c r="V41" s="110"/>
      <c r="AL41" s="22"/>
      <c r="AM41" s="22"/>
    </row>
    <row r="42" spans="1:39" ht="15.75" thickTop="1" x14ac:dyDescent="0.2">
      <c r="A42" s="113"/>
      <c r="B42" s="113"/>
      <c r="C42" s="113"/>
      <c r="D42" s="113"/>
      <c r="E42" s="113"/>
      <c r="F42" s="113"/>
      <c r="G42" s="118"/>
      <c r="H42" s="44" t="s">
        <v>106</v>
      </c>
      <c r="J42" s="22"/>
      <c r="K42" s="21">
        <f>IF(J44=0,0,IF($S$23=TRUE,M42/J44,L42/J44))</f>
        <v>0</v>
      </c>
      <c r="L42" s="21" cm="1">
        <f t="array" ref="L42">SUMPRODUCT(("Res. por Tenencia"=TablaMovimientos[Movimiento])*("ANC"=TablaMovimientos[Activo])*(TablaMovimientos[Total $ corr-tes])*(TablaMovimientos[Fecha]&gt;$N$19)*(TablaMovimientos[Fecha]&lt;=$P$19)*IF($J$19="*",1,(TablaMovimientos[Actividad]=$J$19)))</f>
        <v>0</v>
      </c>
      <c r="M42" s="52" cm="1">
        <f t="array" ref="M42">+SUMPRODUCT(("Res. por Tenencia"=TablaMovimientos[Movimiento])*("ANC"=TablaMovimientos[Activo])*(TablaMovimientos[Valores Actualizados])*(TablaMovimientos[Fecha]&gt;$N$19)*(TablaMovimientos[Fecha]&lt;=$P$19)*IF($J$19="*",1,(TablaMovimientos[Actividad]=$J$19)))</f>
        <v>0</v>
      </c>
      <c r="N42" s="27"/>
      <c r="O42" s="22"/>
      <c r="P42" s="22"/>
      <c r="Q42" s="22"/>
      <c r="R42" s="22"/>
      <c r="S42" s="21"/>
      <c r="T42" s="119"/>
      <c r="V42" s="110"/>
      <c r="AL42" s="22"/>
      <c r="AM42" s="22"/>
    </row>
    <row r="43" spans="1:39" x14ac:dyDescent="0.2">
      <c r="H43" s="43" t="s">
        <v>32</v>
      </c>
      <c r="I43" s="2"/>
      <c r="J43" s="2"/>
      <c r="K43" s="11">
        <f>IF(J44=0,0,IF($S$23=TRUE,M43/J44,""))</f>
        <v>0</v>
      </c>
      <c r="L43" s="11"/>
      <c r="M43" s="57">
        <f>+SUM(T25:T38)-H17*VLOOKUP(DATE(YEAR(DATE(YEAR($N19),MONTH($N19),DAY($N19))-1),MONTH(DATE(YEAR($N19),MONTH($N19),DAY($N19))-1),1),Indices[[Fecha]:[Coef. SIPM]],2,FALSE)-SUM('Planilla de datos'!M40:M42)</f>
        <v>0</v>
      </c>
      <c r="N43" s="28"/>
      <c r="O43" s="2"/>
      <c r="P43" s="2"/>
      <c r="Q43" s="2"/>
      <c r="R43" s="2"/>
      <c r="S43" s="2"/>
      <c r="T43" s="11"/>
      <c r="V43" s="110"/>
      <c r="AL43" s="22"/>
      <c r="AM43" s="22"/>
    </row>
    <row r="44" spans="1:39" ht="15.75" x14ac:dyDescent="0.25">
      <c r="H44" s="48" t="s">
        <v>61</v>
      </c>
      <c r="I44" s="2"/>
      <c r="J44" s="49">
        <f>+SUM(J40:J41)</f>
        <v>0</v>
      </c>
      <c r="K44" s="223">
        <f>IF(J44=0,0,IF($S$23=TRUE,M44/J44,L44/J44))</f>
        <v>0</v>
      </c>
      <c r="L44" s="49">
        <f>+SUM(L40:L43)</f>
        <v>0</v>
      </c>
      <c r="M44" s="109">
        <f>+SUM(M40:M43)</f>
        <v>0</v>
      </c>
      <c r="N44" s="48" t="s">
        <v>61</v>
      </c>
      <c r="O44" s="2"/>
      <c r="P44" s="2"/>
      <c r="Q44" s="49">
        <f>+SUM(Q40:Q41)</f>
        <v>0</v>
      </c>
      <c r="R44" s="224">
        <f>IF(Q44=0,0,IF($S$23=TRUE,T44/Q44,S44/Q44))</f>
        <v>0</v>
      </c>
      <c r="S44" s="49">
        <f>+SUM(S40:S43)</f>
        <v>0</v>
      </c>
      <c r="T44" s="49">
        <f>+T40+T41</f>
        <v>0</v>
      </c>
      <c r="V44" s="110"/>
      <c r="AL44" s="22"/>
      <c r="AM44" s="22"/>
    </row>
    <row r="45" spans="1:39" x14ac:dyDescent="0.2">
      <c r="M45" s="22"/>
      <c r="T45" s="22"/>
      <c r="AL45" s="22"/>
      <c r="AM45" s="22"/>
    </row>
    <row r="46" spans="1:39" x14ac:dyDescent="0.2">
      <c r="I46" s="137" t="s">
        <v>107</v>
      </c>
      <c r="J46" s="138"/>
      <c r="K46" s="140">
        <f>IF(J19="*",'SIPM (Actualización en $)'!K4,HLOOKUP(J19,'SIPM (Actualización en $)'!D3:K4,2,FALSE))</f>
        <v>0</v>
      </c>
      <c r="L46" s="138" t="s">
        <v>108</v>
      </c>
      <c r="M46" s="139"/>
      <c r="V46" s="110"/>
      <c r="AL46" s="22"/>
      <c r="AM46" s="22"/>
    </row>
    <row r="47" spans="1:39" x14ac:dyDescent="0.2">
      <c r="I47" s="137" t="s">
        <v>111</v>
      </c>
      <c r="J47" s="138"/>
      <c r="K47" s="141" t="str">
        <f>IF(K46=0,"",J44/K46)</f>
        <v/>
      </c>
      <c r="L47" s="138" t="s">
        <v>112</v>
      </c>
      <c r="M47" s="139"/>
      <c r="V47" s="110"/>
      <c r="AL47" s="22"/>
      <c r="AM47" s="22"/>
    </row>
    <row r="48" spans="1:39" x14ac:dyDescent="0.2">
      <c r="G48" s="120" t="b" cm="1">
        <f t="array" ref="G48">IF(N19=0,0,SUMPRODUCT((TablaMovimientos[Fecha]=P19)*(TablaMovimientos[Movimiento]=H25))=ROWS(TablaInventarios[Categoria]))</f>
        <v>0</v>
      </c>
      <c r="H48" s="213" t="str" cm="1">
        <f t="array" ref="H48">IF(N19=0,"",IF(SUMPRODUCT((TablaMovimientos[Fecha]=P19)*(TablaMovimientos[Movimiento]=H25))=ROWS(TablaInventarios[Categoria])=TRUE,"Existe ajuste de kilos producidos en todas las categorías, a la fecha de cierre del período analizado.","ATENCION: NO EXISTE AJUSTE DE KILOS PRODUCIDOS EN TODAS LAS CATEGORÍAS, A LA FECHA DE CIERRE DEL PERÍODO ANALIZADO. LA PRODUCCION PUEDE NO ESTAR INCLUYENDOLOS"))</f>
        <v>ATENCION: NO EXISTE AJUSTE DE KILOS PRODUCIDOS EN TODAS LAS CATEGORÍAS, A LA FECHA DE CIERRE DEL PERÍODO ANALIZADO. LA PRODUCCION PUEDE NO ESTAR INCLUYENDOLOS</v>
      </c>
      <c r="L48" s="22"/>
      <c r="M48" s="22"/>
      <c r="T48" s="22"/>
      <c r="V48" s="110"/>
      <c r="AL48" s="22"/>
      <c r="AM48" s="22"/>
    </row>
    <row r="49" spans="7:39" x14ac:dyDescent="0.2">
      <c r="G49" s="120" t="b" cm="1">
        <f t="array" ref="G49">IF(N19=0,0,SUMPRODUCT((TablaMovimientos[Fecha]=P19)*(TablaMovimientos[Movimiento]="Res. por Tenencia"))=ROWS(TablaInventarios[Categoria]))</f>
        <v>0</v>
      </c>
      <c r="H49" s="213" t="str" cm="1">
        <f t="array" ref="H49">(IF(N19=0,"",IF(SUMPRODUCT((TablaMovimientos[Fecha]=P19)*(TablaMovimientos[Movimiento]="Res. por Tenencia"))=ROWS(TablaInventarios[Categoria])=TRUE,"Existe ajuste por tenencia en todas las categorías, a la fecha de cierre del período analizado.","ATENCION: NO EXISTE AJUSTE POR TENENCIA EN TODAS LAS CATEGORÍAS, A LA FECHA DE CIERRE DEL PERÍODO ANALIZADO. EL INGRESO PUEDE NO ESTAR INCLUYENDOLO")))</f>
        <v>ATENCION: NO EXISTE AJUSTE POR TENENCIA EN TODAS LAS CATEGORÍAS, A LA FECHA DE CIERRE DEL PERÍODO ANALIZADO. EL INGRESO PUEDE NO ESTAR INCLUYENDOLO</v>
      </c>
      <c r="L49" s="22"/>
      <c r="M49" s="22"/>
      <c r="N49" s="22"/>
      <c r="O49" s="22"/>
      <c r="P49" s="22"/>
      <c r="Q49" s="22"/>
      <c r="R49" s="22"/>
      <c r="S49" s="22"/>
      <c r="T49" s="22"/>
      <c r="V49" s="110"/>
      <c r="AL49" s="22"/>
      <c r="AM49" s="22"/>
    </row>
    <row r="50" spans="7:39" x14ac:dyDescent="0.2">
      <c r="V50" s="110"/>
      <c r="AL50" s="22"/>
      <c r="AM50" s="22"/>
    </row>
    <row r="51" spans="7:39" x14ac:dyDescent="0.2">
      <c r="K51" s="146"/>
      <c r="L51" s="110"/>
      <c r="M51" s="110"/>
      <c r="O51" s="22"/>
      <c r="R51" s="146"/>
      <c r="S51" s="110"/>
      <c r="T51" s="75"/>
      <c r="V51" s="110"/>
      <c r="AL51" s="22"/>
      <c r="AM51" s="22"/>
    </row>
    <row r="52" spans="7:39" x14ac:dyDescent="0.2">
      <c r="K52" s="146"/>
      <c r="L52" s="110"/>
      <c r="R52" s="146"/>
      <c r="S52" s="110"/>
      <c r="V52" s="110"/>
      <c r="AL52" s="22"/>
      <c r="AM52" s="22"/>
    </row>
    <row r="53" spans="7:39" x14ac:dyDescent="0.2">
      <c r="I53" s="22"/>
      <c r="K53" s="146"/>
      <c r="L53" s="110"/>
      <c r="M53" s="225"/>
      <c r="O53" s="22"/>
      <c r="R53" s="146"/>
      <c r="S53" s="110"/>
      <c r="V53" s="110"/>
      <c r="AL53" s="22"/>
      <c r="AM53" s="22"/>
    </row>
    <row r="54" spans="7:39" x14ac:dyDescent="0.2">
      <c r="K54" s="146"/>
      <c r="L54" s="110"/>
      <c r="R54" s="146"/>
      <c r="S54" s="110"/>
      <c r="V54" s="110"/>
      <c r="AL54" s="22"/>
      <c r="AM54" s="22"/>
    </row>
    <row r="55" spans="7:39" x14ac:dyDescent="0.2">
      <c r="R55" s="146"/>
      <c r="S55" s="110"/>
      <c r="V55" s="110"/>
      <c r="AL55" s="22"/>
      <c r="AM55" s="22"/>
    </row>
    <row r="56" spans="7:39" x14ac:dyDescent="0.2">
      <c r="K56" s="146"/>
      <c r="L56" s="110"/>
      <c r="R56" s="146"/>
      <c r="S56" s="110"/>
      <c r="V56" s="110"/>
      <c r="AK56" s="22"/>
      <c r="AL56" s="22"/>
      <c r="AM56" s="22"/>
    </row>
    <row r="57" spans="7:39" x14ac:dyDescent="0.2">
      <c r="K57" s="146"/>
      <c r="L57" s="146"/>
      <c r="R57" s="146"/>
      <c r="S57" s="110"/>
      <c r="V57" s="110"/>
      <c r="AL57" s="22"/>
      <c r="AM57" s="22"/>
    </row>
    <row r="58" spans="7:39" x14ac:dyDescent="0.2">
      <c r="K58" s="146"/>
      <c r="L58" s="146"/>
      <c r="R58" s="146"/>
      <c r="S58" s="110"/>
      <c r="V58" s="110"/>
      <c r="AL58" s="22"/>
      <c r="AM58" s="22"/>
    </row>
    <row r="59" spans="7:39" x14ac:dyDescent="0.2">
      <c r="L59" s="146"/>
      <c r="R59" s="146"/>
      <c r="S59" s="110"/>
      <c r="V59" s="110"/>
      <c r="AL59" s="22"/>
      <c r="AM59" s="22"/>
    </row>
    <row r="60" spans="7:39" x14ac:dyDescent="0.2">
      <c r="K60" s="146"/>
      <c r="L60" s="146"/>
      <c r="R60" s="146"/>
      <c r="S60" s="110"/>
      <c r="V60" s="110"/>
      <c r="AL60" s="22"/>
      <c r="AM60" s="22"/>
    </row>
    <row r="61" spans="7:39" x14ac:dyDescent="0.2">
      <c r="R61" s="146"/>
      <c r="S61" s="110"/>
      <c r="V61" s="110"/>
      <c r="AL61" s="22"/>
      <c r="AM61" s="22"/>
    </row>
    <row r="62" spans="7:39" x14ac:dyDescent="0.2">
      <c r="R62" s="146"/>
      <c r="S62" s="110"/>
      <c r="V62" s="110"/>
      <c r="AL62" s="22"/>
      <c r="AM62" s="22"/>
    </row>
    <row r="63" spans="7:39" x14ac:dyDescent="0.2">
      <c r="R63" s="146"/>
      <c r="S63" s="110"/>
      <c r="V63" s="110"/>
      <c r="AL63" s="22"/>
      <c r="AM63" s="22"/>
    </row>
    <row r="64" spans="7:39" x14ac:dyDescent="0.2">
      <c r="R64" s="146"/>
      <c r="S64" s="110"/>
      <c r="V64" s="110"/>
      <c r="AL64" s="22"/>
      <c r="AM64" s="22"/>
    </row>
    <row r="65" spans="18:39" x14ac:dyDescent="0.2">
      <c r="R65" s="146"/>
      <c r="S65" s="110"/>
      <c r="AL65" s="22"/>
      <c r="AM65" s="22"/>
    </row>
    <row r="66" spans="18:39" x14ac:dyDescent="0.2">
      <c r="R66" s="146"/>
      <c r="S66" s="110"/>
      <c r="AL66" s="22"/>
      <c r="AM66" s="22"/>
    </row>
    <row r="67" spans="18:39" x14ac:dyDescent="0.2">
      <c r="R67" s="146"/>
      <c r="S67" s="110"/>
      <c r="AL67" s="22"/>
      <c r="AM67" s="22"/>
    </row>
    <row r="68" spans="18:39" x14ac:dyDescent="0.2">
      <c r="R68" s="146"/>
      <c r="S68" s="110"/>
      <c r="AL68" s="22"/>
      <c r="AM68" s="22"/>
    </row>
    <row r="69" spans="18:39" x14ac:dyDescent="0.2">
      <c r="R69" s="146"/>
      <c r="S69" s="110"/>
      <c r="AL69" s="22"/>
      <c r="AM69" s="22"/>
    </row>
    <row r="70" spans="18:39" x14ac:dyDescent="0.2">
      <c r="R70" s="146"/>
      <c r="S70" s="110"/>
      <c r="AL70" s="22"/>
      <c r="AM70" s="22"/>
    </row>
    <row r="71" spans="18:39" x14ac:dyDescent="0.2">
      <c r="AL71" s="22"/>
      <c r="AM71" s="22"/>
    </row>
    <row r="72" spans="18:39" x14ac:dyDescent="0.2">
      <c r="AL72" s="22"/>
      <c r="AM72" s="22"/>
    </row>
    <row r="73" spans="18:39" x14ac:dyDescent="0.2">
      <c r="AL73" s="22"/>
      <c r="AM73" s="22"/>
    </row>
    <row r="74" spans="18:39" x14ac:dyDescent="0.2">
      <c r="AL74" s="22"/>
      <c r="AM74" s="22"/>
    </row>
    <row r="75" spans="18:39" x14ac:dyDescent="0.2">
      <c r="AL75" s="22"/>
      <c r="AM75" s="22"/>
    </row>
    <row r="76" spans="18:39" x14ac:dyDescent="0.2">
      <c r="AL76" s="22"/>
      <c r="AM76" s="22"/>
    </row>
    <row r="126" spans="38:38" x14ac:dyDescent="0.2">
      <c r="AL126" s="1" t="e">
        <f>-#REF!/SUM(#REF!)</f>
        <v>#REF!</v>
      </c>
    </row>
    <row r="128" spans="38:38" x14ac:dyDescent="0.2">
      <c r="AL128" s="22"/>
    </row>
  </sheetData>
  <mergeCells count="24">
    <mergeCell ref="AE1:AI1"/>
    <mergeCell ref="P19:Q20"/>
    <mergeCell ref="A39:F41"/>
    <mergeCell ref="G36:G38"/>
    <mergeCell ref="G39:G41"/>
    <mergeCell ref="A33:F35"/>
    <mergeCell ref="A36:F38"/>
    <mergeCell ref="T21:T22"/>
    <mergeCell ref="A29:F32"/>
    <mergeCell ref="A21:F22"/>
    <mergeCell ref="A23:F25"/>
    <mergeCell ref="A26:F28"/>
    <mergeCell ref="H21:M23"/>
    <mergeCell ref="N21:R23"/>
    <mergeCell ref="Q1:S1"/>
    <mergeCell ref="T1:U1"/>
    <mergeCell ref="R19:S20"/>
    <mergeCell ref="T19:T20"/>
    <mergeCell ref="J1:P1"/>
    <mergeCell ref="A1:I1"/>
    <mergeCell ref="J19:K20"/>
    <mergeCell ref="H19:I20"/>
    <mergeCell ref="L19:M20"/>
    <mergeCell ref="N19:O20"/>
  </mergeCells>
  <phoneticPr fontId="30" type="noConversion"/>
  <conditionalFormatting sqref="G36">
    <cfRule type="cellIs" dxfId="177" priority="313" operator="equal">
      <formula>"Ajuste Kilos Producidos Pendiente"</formula>
    </cfRule>
    <cfRule type="cellIs" dxfId="176" priority="314" operator="equal">
      <formula>"Ajuste Kilos Producidos Realizado"</formula>
    </cfRule>
  </conditionalFormatting>
  <conditionalFormatting sqref="G39">
    <cfRule type="cellIs" dxfId="175" priority="311" operator="equal">
      <formula>"Ajuste por Tenencia Pendiente"</formula>
    </cfRule>
    <cfRule type="cellIs" dxfId="174" priority="312" operator="equal">
      <formula>"Ajuste por Tenencia Realizado"</formula>
    </cfRule>
  </conditionalFormatting>
  <conditionalFormatting sqref="T43:T44">
    <cfRule type="expression" dxfId="173" priority="325">
      <formula>$S$23=FALSE</formula>
    </cfRule>
  </conditionalFormatting>
  <conditionalFormatting sqref="T25:T28 T30:T34 T36 T19:T20 R19">
    <cfRule type="expression" dxfId="172" priority="129">
      <formula>$S$23=FALSE</formula>
    </cfRule>
  </conditionalFormatting>
  <conditionalFormatting sqref="T40 T24">
    <cfRule type="expression" dxfId="171" priority="330">
      <formula>$S$23=FALSE</formula>
    </cfRule>
  </conditionalFormatting>
  <conditionalFormatting sqref="T30 T38:T39">
    <cfRule type="expression" dxfId="170" priority="332">
      <formula>$S$23=FALSE</formula>
    </cfRule>
  </conditionalFormatting>
  <conditionalFormatting sqref="U39">
    <cfRule type="expression" dxfId="169" priority="333">
      <formula>$S$23=FALSE</formula>
    </cfRule>
  </conditionalFormatting>
  <conditionalFormatting sqref="U22:U39">
    <cfRule type="expression" dxfId="168" priority="334">
      <formula>$S$23=TRUE</formula>
    </cfRule>
  </conditionalFormatting>
  <conditionalFormatting sqref="M35 M38:M44 M31:M33 M24:M28">
    <cfRule type="expression" dxfId="167" priority="284">
      <formula>$S$23=FALSE</formula>
    </cfRule>
  </conditionalFormatting>
  <conditionalFormatting sqref="M25 M40 M44">
    <cfRule type="expression" dxfId="166" priority="283">
      <formula>$S$23=FALSE</formula>
    </cfRule>
  </conditionalFormatting>
  <conditionalFormatting sqref="T23">
    <cfRule type="expression" dxfId="165" priority="134" stopIfTrue="1">
      <formula>S23=FALSE</formula>
    </cfRule>
    <cfRule type="expression" dxfId="164" priority="135">
      <formula>$S$23=TRUE</formula>
    </cfRule>
    <cfRule type="expression" dxfId="163" priority="281">
      <formula>$T$44=0</formula>
    </cfRule>
  </conditionalFormatting>
  <conditionalFormatting sqref="M34">
    <cfRule type="expression" dxfId="162" priority="280">
      <formula>$S$23=FALSE</formula>
    </cfRule>
  </conditionalFormatting>
  <conditionalFormatting sqref="T36">
    <cfRule type="expression" dxfId="161" priority="277">
      <formula>$S$23=FALSE</formula>
    </cfRule>
  </conditionalFormatting>
  <conditionalFormatting sqref="M31:M35 M38:M39">
    <cfRule type="expression" dxfId="160" priority="276">
      <formula>$S$23=FALSE</formula>
    </cfRule>
  </conditionalFormatting>
  <conditionalFormatting sqref="AJ3:AJ15 AJ20">
    <cfRule type="expression" dxfId="159" priority="275">
      <formula>$S$23=FALSE</formula>
    </cfRule>
  </conditionalFormatting>
  <conditionalFormatting sqref="U40:U42">
    <cfRule type="expression" dxfId="158" priority="273">
      <formula>$S$23=TRUE</formula>
    </cfRule>
  </conditionalFormatting>
  <conditionalFormatting sqref="T21">
    <cfRule type="expression" dxfId="157" priority="270">
      <formula>$S$23=FALSE</formula>
    </cfRule>
    <cfRule type="expression" dxfId="156" priority="282">
      <formula>$S$23=TRUE</formula>
    </cfRule>
  </conditionalFormatting>
  <conditionalFormatting sqref="S21">
    <cfRule type="expression" dxfId="155" priority="269">
      <formula>$S$23=TRUE</formula>
    </cfRule>
  </conditionalFormatting>
  <conditionalFormatting sqref="T37">
    <cfRule type="expression" dxfId="154" priority="257">
      <formula>$S$23=FALSE</formula>
    </cfRule>
  </conditionalFormatting>
  <conditionalFormatting sqref="T36">
    <cfRule type="expression" dxfId="153" priority="200">
      <formula>$S$23=FALSE</formula>
    </cfRule>
  </conditionalFormatting>
  <conditionalFormatting sqref="T42">
    <cfRule type="expression" dxfId="152" priority="186">
      <formula>$S$23=FALSE</formula>
    </cfRule>
  </conditionalFormatting>
  <conditionalFormatting sqref="T29">
    <cfRule type="expression" dxfId="151" priority="178">
      <formula>$S$23=FALSE</formula>
    </cfRule>
  </conditionalFormatting>
  <conditionalFormatting sqref="T35">
    <cfRule type="expression" dxfId="150" priority="177">
      <formula>$S$23=FALSE</formula>
    </cfRule>
  </conditionalFormatting>
  <conditionalFormatting sqref="M36">
    <cfRule type="expression" dxfId="149" priority="174">
      <formula>$S$23=FALSE</formula>
    </cfRule>
  </conditionalFormatting>
  <conditionalFormatting sqref="M36">
    <cfRule type="expression" dxfId="148" priority="173">
      <formula>$S$23=FALSE</formula>
    </cfRule>
  </conditionalFormatting>
  <conditionalFormatting sqref="M37">
    <cfRule type="expression" dxfId="147" priority="172">
      <formula>$S$23=FALSE</formula>
    </cfRule>
  </conditionalFormatting>
  <conditionalFormatting sqref="M37">
    <cfRule type="expression" dxfId="146" priority="171">
      <formula>$S$23=FALSE</formula>
    </cfRule>
  </conditionalFormatting>
  <conditionalFormatting sqref="U43">
    <cfRule type="expression" dxfId="145" priority="170">
      <formula>$S$23=TRUE</formula>
    </cfRule>
  </conditionalFormatting>
  <conditionalFormatting sqref="U44">
    <cfRule type="expression" dxfId="144" priority="169">
      <formula>$S$23=TRUE</formula>
    </cfRule>
  </conditionalFormatting>
  <conditionalFormatting sqref="Z20:AA20 B3:B15">
    <cfRule type="cellIs" dxfId="143" priority="351" operator="equal">
      <formula>$J$19</formula>
    </cfRule>
  </conditionalFormatting>
  <conditionalFormatting sqref="T17:U17 A17:P17">
    <cfRule type="expression" dxfId="142" priority="355">
      <formula>$B$17=$J$19</formula>
    </cfRule>
  </conditionalFormatting>
  <conditionalFormatting sqref="W20 W3:W15">
    <cfRule type="cellIs" dxfId="141" priority="160" operator="equal">
      <formula>"FECHA ???"</formula>
    </cfRule>
  </conditionalFormatting>
  <conditionalFormatting sqref="H48:T48">
    <cfRule type="expression" dxfId="140" priority="356">
      <formula>$G$48=FALSE</formula>
    </cfRule>
  </conditionalFormatting>
  <conditionalFormatting sqref="H49:T49">
    <cfRule type="expression" dxfId="139" priority="357">
      <formula>$G$49=FALSE</formula>
    </cfRule>
  </conditionalFormatting>
  <conditionalFormatting sqref="J28">
    <cfRule type="cellIs" dxfId="138" priority="149" operator="notEqual">
      <formula>0</formula>
    </cfRule>
  </conditionalFormatting>
  <conditionalFormatting sqref="K24">
    <cfRule type="expression" dxfId="137" priority="145">
      <formula>S23=FALSE</formula>
    </cfRule>
    <cfRule type="expression" dxfId="136" priority="147">
      <formula>S23=TRUE</formula>
    </cfRule>
  </conditionalFormatting>
  <conditionalFormatting sqref="M24">
    <cfRule type="expression" dxfId="135" priority="146" stopIfTrue="1">
      <formula>S23=TRUE</formula>
    </cfRule>
  </conditionalFormatting>
  <conditionalFormatting sqref="L24">
    <cfRule type="expression" dxfId="134" priority="144">
      <formula>S23=FALSE</formula>
    </cfRule>
  </conditionalFormatting>
  <conditionalFormatting sqref="R24">
    <cfRule type="expression" dxfId="133" priority="142">
      <formula>S23=FALSE</formula>
    </cfRule>
    <cfRule type="expression" dxfId="132" priority="143">
      <formula>S23=TRUE</formula>
    </cfRule>
  </conditionalFormatting>
  <conditionalFormatting sqref="T24">
    <cfRule type="expression" dxfId="131" priority="140">
      <formula>S23=TRUE</formula>
    </cfRule>
  </conditionalFormatting>
  <conditionalFormatting sqref="K44">
    <cfRule type="expression" dxfId="130" priority="138">
      <formula>S23=FALSE</formula>
    </cfRule>
    <cfRule type="expression" dxfId="129" priority="139">
      <formula>S23=TRUE</formula>
    </cfRule>
  </conditionalFormatting>
  <conditionalFormatting sqref="R44">
    <cfRule type="expression" dxfId="128" priority="136">
      <formula>S23=FALSE</formula>
    </cfRule>
    <cfRule type="expression" dxfId="127" priority="137">
      <formula>S23=TRUE</formula>
    </cfRule>
  </conditionalFormatting>
  <conditionalFormatting sqref="T19">
    <cfRule type="cellIs" dxfId="126" priority="130" operator="equal">
      <formula>"SIPM"</formula>
    </cfRule>
    <cfRule type="containsText" dxfId="125" priority="131" operator="containsText" text="Dólar Oficial">
      <formula>NOT(ISERROR(SEARCH("Dólar Oficial",T19)))</formula>
    </cfRule>
    <cfRule type="containsText" dxfId="124" priority="326" operator="containsText" text="Dólar informal">
      <formula>NOT(ISERROR(SEARCH("Dólar informal",T19)))</formula>
    </cfRule>
  </conditionalFormatting>
  <conditionalFormatting sqref="AJ2">
    <cfRule type="expression" dxfId="123" priority="127">
      <formula>$S$23=FALSE</formula>
    </cfRule>
  </conditionalFormatting>
  <conditionalFormatting sqref="AJ19">
    <cfRule type="expression" dxfId="122" priority="126">
      <formula>$S$23=FALSE</formula>
    </cfRule>
  </conditionalFormatting>
  <conditionalFormatting sqref="T41">
    <cfRule type="expression" dxfId="121" priority="9">
      <formula>$S$23=FALSE</formula>
    </cfRule>
  </conditionalFormatting>
  <conditionalFormatting sqref="M29">
    <cfRule type="expression" dxfId="120" priority="7">
      <formula>$S$23=FALSE</formula>
    </cfRule>
  </conditionalFormatting>
  <conditionalFormatting sqref="J29">
    <cfRule type="cellIs" dxfId="119" priority="3" stopIfTrue="1" operator="equal">
      <formula>""</formula>
    </cfRule>
    <cfRule type="cellIs" dxfId="118" priority="6" operator="notEqual">
      <formula>0</formula>
    </cfRule>
  </conditionalFormatting>
  <conditionalFormatting sqref="M30">
    <cfRule type="expression" dxfId="117" priority="5">
      <formula>$S$23=FALSE</formula>
    </cfRule>
  </conditionalFormatting>
  <conditionalFormatting sqref="M30">
    <cfRule type="expression" dxfId="116" priority="4">
      <formula>$S$23=FALSE</formula>
    </cfRule>
  </conditionalFormatting>
  <conditionalFormatting sqref="M26">
    <cfRule type="expression" dxfId="115" priority="2">
      <formula>$S$23=FALSE</formula>
    </cfRule>
  </conditionalFormatting>
  <conditionalFormatting sqref="M27">
    <cfRule type="expression" dxfId="114" priority="1">
      <formula>$S$23=FALSE</formula>
    </cfRule>
  </conditionalFormatting>
  <conditionalFormatting sqref="S24">
    <cfRule type="expression" dxfId="113" priority="358">
      <formula>#REF!=FALSE</formula>
    </cfRule>
  </conditionalFormatting>
  <dataValidations count="2">
    <dataValidation type="list" allowBlank="1" showInputMessage="1" showErrorMessage="1" sqref="T19" xr:uid="{48C9E5F3-C6AE-4999-BFED-91F47328BD95}">
      <formula1>"SIPM, Dólar Oficial, Dólar Informal"</formula1>
    </dataValidation>
    <dataValidation type="list" allowBlank="1" showInputMessage="1" showErrorMessage="1" sqref="Y20" xr:uid="{E2096F64-BA0D-4963-9088-0EDA069C5DEF}">
      <formula1>$A$3:$A$16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18</xdr:col>
                    <xdr:colOff>28575</xdr:colOff>
                    <xdr:row>20</xdr:row>
                    <xdr:rowOff>28575</xdr:rowOff>
                  </from>
                  <to>
                    <xdr:col>18</xdr:col>
                    <xdr:colOff>1457325</xdr:colOff>
                    <xdr:row>22</xdr:row>
                    <xdr:rowOff>142875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5">
        <x14:dataValidation type="list" allowBlank="1" showInputMessage="1" showErrorMessage="1" xr:uid="{9DC0EBE6-DBE6-4FB7-B226-D182081D4936}">
          <x14:formula1>
            <xm:f>'SIPM (Actualización en $)'!$A$6:$A$54</xm:f>
          </x14:formula1>
          <xm:sqref>T23</xm:sqref>
        </x14:dataValidation>
        <x14:dataValidation type="list" allowBlank="1" showInputMessage="1" showErrorMessage="1" xr:uid="{2BF11E29-C76A-45DD-85E5-B14DF653422E}">
          <x14:formula1>
            <xm:f>'Criterios de validación'!$D$2:$D$6</xm:f>
          </x14:formula1>
          <xm:sqref>J19 B3:B15</xm:sqref>
        </x14:dataValidation>
        <x14:dataValidation type="list" allowBlank="1" showInputMessage="1" showErrorMessage="1" xr:uid="{2C4D33CC-7804-4A6B-8260-1B47B130139C}">
          <x14:formula1>
            <xm:f>'Criterios de validación'!$D$2:$D$8</xm:f>
          </x14:formula1>
          <xm:sqref>Z3:Z15</xm:sqref>
        </x14:dataValidation>
        <x14:dataValidation type="list" allowBlank="1" showInputMessage="1" showErrorMessage="1" xr:uid="{A68B52C8-8B8D-4A9C-A1CF-2AD232281508}">
          <x14:formula1>
            <xm:f>'Criterios de validación'!$G$2:$G$3</xm:f>
          </x14:formula1>
          <xm:sqref>AA3:AA15</xm:sqref>
        </x14:dataValidation>
        <x14:dataValidation type="list" allowBlank="1" showInputMessage="1" showErrorMessage="1" xr:uid="{0C96A18F-5BC6-49C8-B75B-5CA908E98FCE}">
          <x14:formula1>
            <xm:f>'Criterios de validación'!$A$2:$A$19</xm:f>
          </x14:formula1>
          <xm:sqref>X20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A0D94-0659-4DFB-BF74-5E2F07FF1CA4}">
  <sheetPr>
    <tabColor rgb="FFFFC000"/>
  </sheetPr>
  <dimension ref="A1:G19"/>
  <sheetViews>
    <sheetView showGridLines="0" workbookViewId="0">
      <selection activeCell="A22" sqref="A22"/>
    </sheetView>
  </sheetViews>
  <sheetFormatPr baseColWidth="10" defaultRowHeight="15" x14ac:dyDescent="0.25"/>
  <cols>
    <col min="1" max="1" width="19.42578125" bestFit="1" customWidth="1"/>
    <col min="4" max="4" width="16.7109375" customWidth="1"/>
  </cols>
  <sheetData>
    <row r="1" spans="1:7" x14ac:dyDescent="0.25">
      <c r="A1" s="34" t="s">
        <v>24</v>
      </c>
      <c r="B1" s="34" t="s">
        <v>35</v>
      </c>
      <c r="D1" s="34" t="s">
        <v>68</v>
      </c>
      <c r="E1" s="126" t="s">
        <v>109</v>
      </c>
      <c r="G1" s="115" t="s">
        <v>100</v>
      </c>
    </row>
    <row r="2" spans="1:7" x14ac:dyDescent="0.25">
      <c r="A2" s="35" t="s">
        <v>9</v>
      </c>
      <c r="B2" s="38" t="s">
        <v>36</v>
      </c>
      <c r="D2" s="90" t="s">
        <v>140</v>
      </c>
      <c r="E2" s="124">
        <v>1</v>
      </c>
      <c r="G2" s="116" t="s">
        <v>103</v>
      </c>
    </row>
    <row r="3" spans="1:7" x14ac:dyDescent="0.25">
      <c r="A3" s="35" t="s">
        <v>25</v>
      </c>
      <c r="B3" s="39" t="s">
        <v>36</v>
      </c>
      <c r="D3" s="90" t="s">
        <v>69</v>
      </c>
      <c r="E3" s="125">
        <f t="shared" ref="E3:E6" si="0">1+E2</f>
        <v>2</v>
      </c>
      <c r="G3" s="117" t="s">
        <v>104</v>
      </c>
    </row>
    <row r="4" spans="1:7" x14ac:dyDescent="0.25">
      <c r="A4" s="35" t="s">
        <v>26</v>
      </c>
      <c r="B4" s="39" t="s">
        <v>36</v>
      </c>
      <c r="D4" s="90" t="s">
        <v>66</v>
      </c>
      <c r="E4" s="125">
        <f t="shared" si="0"/>
        <v>3</v>
      </c>
    </row>
    <row r="5" spans="1:7" x14ac:dyDescent="0.25">
      <c r="A5" s="35" t="s">
        <v>27</v>
      </c>
      <c r="B5" s="39" t="s">
        <v>36</v>
      </c>
      <c r="D5" s="90" t="s">
        <v>70</v>
      </c>
      <c r="E5" s="125">
        <f t="shared" si="0"/>
        <v>4</v>
      </c>
    </row>
    <row r="6" spans="1:7" x14ac:dyDescent="0.25">
      <c r="A6" s="35" t="s">
        <v>81</v>
      </c>
      <c r="B6" s="39" t="s">
        <v>36</v>
      </c>
      <c r="D6" s="90" t="s">
        <v>141</v>
      </c>
      <c r="E6" s="125">
        <f t="shared" si="0"/>
        <v>5</v>
      </c>
    </row>
    <row r="7" spans="1:7" x14ac:dyDescent="0.25">
      <c r="A7" s="37" t="s">
        <v>38</v>
      </c>
      <c r="B7" s="40" t="s">
        <v>36</v>
      </c>
      <c r="D7" s="102" t="s">
        <v>142</v>
      </c>
      <c r="E7" s="207">
        <f>1+E6</f>
        <v>6</v>
      </c>
    </row>
    <row r="8" spans="1:7" x14ac:dyDescent="0.25">
      <c r="A8" s="35" t="s">
        <v>28</v>
      </c>
      <c r="B8" s="39" t="s">
        <v>36</v>
      </c>
      <c r="D8" s="102" t="s">
        <v>87</v>
      </c>
      <c r="E8" s="207">
        <f>1+E7</f>
        <v>7</v>
      </c>
    </row>
    <row r="9" spans="1:7" x14ac:dyDescent="0.25">
      <c r="A9" s="36" t="s">
        <v>8</v>
      </c>
      <c r="B9" s="39" t="s">
        <v>36</v>
      </c>
    </row>
    <row r="10" spans="1:7" x14ac:dyDescent="0.25">
      <c r="A10" s="35" t="s">
        <v>30</v>
      </c>
      <c r="B10" s="39" t="s">
        <v>36</v>
      </c>
    </row>
    <row r="11" spans="1:7" x14ac:dyDescent="0.25">
      <c r="A11" s="35" t="s">
        <v>12</v>
      </c>
      <c r="B11" s="39" t="s">
        <v>37</v>
      </c>
    </row>
    <row r="12" spans="1:7" x14ac:dyDescent="0.25">
      <c r="A12" s="35" t="s">
        <v>29</v>
      </c>
      <c r="B12" s="39" t="s">
        <v>37</v>
      </c>
    </row>
    <row r="13" spans="1:7" x14ac:dyDescent="0.25">
      <c r="A13" s="35" t="s">
        <v>82</v>
      </c>
      <c r="B13" s="39" t="s">
        <v>37</v>
      </c>
    </row>
    <row r="14" spans="1:7" x14ac:dyDescent="0.25">
      <c r="A14" s="37" t="s">
        <v>39</v>
      </c>
      <c r="B14" s="40" t="s">
        <v>37</v>
      </c>
    </row>
    <row r="15" spans="1:7" x14ac:dyDescent="0.25">
      <c r="A15" s="36" t="s">
        <v>23</v>
      </c>
      <c r="B15" s="39" t="s">
        <v>37</v>
      </c>
    </row>
    <row r="16" spans="1:7" x14ac:dyDescent="0.25">
      <c r="A16" s="35" t="s">
        <v>31</v>
      </c>
      <c r="B16" s="39" t="s">
        <v>37</v>
      </c>
    </row>
    <row r="17" spans="1:2" x14ac:dyDescent="0.25">
      <c r="A17" s="37" t="s">
        <v>11</v>
      </c>
      <c r="B17" s="39"/>
    </row>
    <row r="18" spans="1:2" x14ac:dyDescent="0.25">
      <c r="A18" s="37" t="s">
        <v>33</v>
      </c>
      <c r="B18" s="40"/>
    </row>
    <row r="19" spans="1:2" x14ac:dyDescent="0.25">
      <c r="A19" s="73"/>
      <c r="B19" s="74"/>
    </row>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1CBFE-146A-4633-9D82-FB1C0E552E6F}">
  <sheetPr codeName="Hoja2">
    <tabColor rgb="FF7030A0"/>
  </sheetPr>
  <dimension ref="A1:T87"/>
  <sheetViews>
    <sheetView showGridLines="0" workbookViewId="0">
      <selection activeCell="B15" sqref="B15"/>
    </sheetView>
  </sheetViews>
  <sheetFormatPr baseColWidth="10" defaultRowHeight="15" x14ac:dyDescent="0.25"/>
  <cols>
    <col min="1" max="1" width="19.42578125" bestFit="1" customWidth="1"/>
    <col min="2" max="2" width="10.7109375" customWidth="1"/>
    <col min="3" max="3" width="12" bestFit="1" customWidth="1"/>
    <col min="4" max="4" width="13.28515625" bestFit="1" customWidth="1"/>
    <col min="5" max="6" width="12.140625" customWidth="1"/>
    <col min="7" max="7" width="12" customWidth="1"/>
    <col min="8" max="13" width="10.7109375" customWidth="1"/>
    <col min="15" max="15" width="20.28515625" bestFit="1" customWidth="1"/>
  </cols>
  <sheetData>
    <row r="1" spans="1:20" x14ac:dyDescent="0.25">
      <c r="A1" t="s">
        <v>129</v>
      </c>
    </row>
    <row r="3" spans="1:20" ht="15.75" thickBot="1" x14ac:dyDescent="0.3">
      <c r="D3" s="136" t="str">
        <f>+D5</f>
        <v>Cría</v>
      </c>
      <c r="E3" s="136" t="str">
        <f t="shared" ref="E3:K3" si="0">+E5</f>
        <v>Recría</v>
      </c>
      <c r="F3" s="136" t="str">
        <f t="shared" si="0"/>
        <v>Invernada</v>
      </c>
      <c r="G3" s="136" t="str">
        <f t="shared" si="0"/>
        <v>Feed-lot</v>
      </c>
      <c r="H3" s="136" t="str">
        <f t="shared" si="0"/>
        <v>Cabaña</v>
      </c>
      <c r="I3" s="136" t="str">
        <f t="shared" si="0"/>
        <v>Tambo</v>
      </c>
      <c r="J3" s="136" t="str">
        <f t="shared" si="0"/>
        <v>Guachera</v>
      </c>
      <c r="K3" s="136" t="str">
        <f t="shared" si="0"/>
        <v>*</v>
      </c>
    </row>
    <row r="4" spans="1:20" ht="15.75" thickBot="1" x14ac:dyDescent="0.3">
      <c r="A4" s="153" t="s">
        <v>123</v>
      </c>
      <c r="B4" s="152">
        <f>'Planilla de datos'!N19</f>
        <v>45108</v>
      </c>
      <c r="C4" s="145">
        <f>'Planilla de datos'!P19</f>
        <v>45473</v>
      </c>
      <c r="D4" s="134">
        <f>IF($L$4=0,0,SUMPRODUCT(Indices[Cría],Indices[Meses activos])/$L$4)</f>
        <v>0</v>
      </c>
      <c r="E4" s="134">
        <f>IF($L$4=0,0,SUMPRODUCT(Indices[Recría],Indices[Meses activos])/$L$4)</f>
        <v>0</v>
      </c>
      <c r="F4" s="134">
        <f>IF($L$4=0,0,SUMPRODUCT(Indices[Invernada],Indices[Meses activos])/$L$4)</f>
        <v>0</v>
      </c>
      <c r="G4" s="134">
        <f>IF($L$4=0,0,SUMPRODUCT(Indices[Feed-lot],Indices[Meses activos])/$L$4)</f>
        <v>0</v>
      </c>
      <c r="H4" s="134">
        <f>IF($L$4=0,0,SUMPRODUCT(Indices[Cabaña],Indices[Meses activos])/$L$4)</f>
        <v>0</v>
      </c>
      <c r="I4" s="134">
        <f>IF($L$4=0,0,SUMPRODUCT(Indices[Tambo],Indices[Meses activos])/$L$4)</f>
        <v>0</v>
      </c>
      <c r="J4" s="134">
        <f>IF($L$4=0,0,SUMPRODUCT(Indices[Guachera],Indices[Meses activos])/$L$4)</f>
        <v>0</v>
      </c>
      <c r="K4" s="135">
        <f>+SUM(D4:J4)</f>
        <v>0</v>
      </c>
      <c r="L4" s="133">
        <f>+SUM(Indices[Meses activos])</f>
        <v>13</v>
      </c>
    </row>
    <row r="5" spans="1:20" ht="30.75" thickBot="1" x14ac:dyDescent="0.3">
      <c r="A5" s="149" t="s">
        <v>4</v>
      </c>
      <c r="B5" s="150" t="s">
        <v>115</v>
      </c>
      <c r="C5" s="151" t="s">
        <v>114</v>
      </c>
      <c r="D5" s="121" t="s">
        <v>140</v>
      </c>
      <c r="E5" s="122" t="s">
        <v>69</v>
      </c>
      <c r="F5" s="122" t="s">
        <v>66</v>
      </c>
      <c r="G5" s="122" t="s">
        <v>70</v>
      </c>
      <c r="H5" s="122" t="s">
        <v>141</v>
      </c>
      <c r="I5" s="122" t="s">
        <v>142</v>
      </c>
      <c r="J5" s="122" t="s">
        <v>87</v>
      </c>
      <c r="K5" s="123" t="s">
        <v>67</v>
      </c>
      <c r="L5" s="131" t="s">
        <v>110</v>
      </c>
      <c r="Q5" s="154"/>
    </row>
    <row r="6" spans="1:20" x14ac:dyDescent="0.25">
      <c r="A6" s="33">
        <v>44348</v>
      </c>
      <c r="B6" s="130" t="str">
        <f>IF(C6=0,"",VLOOKUP('Planilla de datos'!$T$23,'SIPM (Actualización en $)'!$A$6:$C$54,3,FALSE)/C6)</f>
        <v/>
      </c>
      <c r="C6" s="305"/>
      <c r="D6" s="127" cm="1">
        <f t="array" ref="D6">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6" s="128" cm="1">
        <f t="array" ref="E6">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6" s="128" cm="1">
        <f t="array" ref="F6">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6" s="128" cm="1">
        <f t="array" ref="G6">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6" s="128" cm="1">
        <f t="array" ref="H6">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6" s="128" cm="1">
        <f t="array" ref="I6">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6" s="128" cm="1">
        <f t="array" ref="J6">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6" s="129">
        <f>+SUM(Indices[[#This Row],[Cría]:[Guachera]])</f>
        <v>0</v>
      </c>
      <c r="L6" s="132">
        <f>IF(DATE(YEAR(Indices[[#This Row],[Fecha]]),MONTH(Indices[[#This Row],[Fecha]]),1)&gt;=DATE(YEAR('Planilla de datos'!$N$19-1),MONTH('Planilla de datos'!$N$19-1),1),1,0)*IF(DATE(YEAR(Indices[[#This Row],[Fecha]]),MONTH(Indices[[#This Row],[Fecha]]),1)&lt;='Planilla de datos'!$P$19,1,0)</f>
        <v>0</v>
      </c>
      <c r="Q6" s="154"/>
      <c r="R6" s="154"/>
      <c r="T6" s="161"/>
    </row>
    <row r="7" spans="1:20" x14ac:dyDescent="0.25">
      <c r="A7" s="33">
        <v>44378</v>
      </c>
      <c r="B7" s="130" t="str">
        <f>IF(C7=0,"",VLOOKUP('Planilla de datos'!$T$23,'SIPM (Actualización en $)'!$A$6:$C$54,3,FALSE)/C7)</f>
        <v/>
      </c>
      <c r="C7" s="305"/>
      <c r="D7" s="127" cm="1">
        <f t="array" ref="D7">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7" s="128" cm="1">
        <f t="array" ref="E7">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7" s="128" cm="1">
        <f t="array" ref="F7">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7" s="128" cm="1">
        <f t="array" ref="G7">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7" s="128" cm="1">
        <f t="array" ref="H7">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7" s="128" cm="1">
        <f t="array" ref="I7">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7" s="128" cm="1">
        <f t="array" ref="J7">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7" s="129">
        <f>+SUM(Indices[[#This Row],[Cría]:[Guachera]])</f>
        <v>0</v>
      </c>
      <c r="L7" s="132">
        <f>IF(DATE(YEAR(Indices[[#This Row],[Fecha]]),MONTH(Indices[[#This Row],[Fecha]]),1)&gt;=DATE(YEAR('Planilla de datos'!$N$19-1),MONTH('Planilla de datos'!$N$19-1),1),1,0)*IF(DATE(YEAR(Indices[[#This Row],[Fecha]]),MONTH(Indices[[#This Row],[Fecha]]),1)&lt;='Planilla de datos'!$P$19,1,0)</f>
        <v>0</v>
      </c>
      <c r="Q7" s="154"/>
      <c r="R7" s="154"/>
      <c r="T7" s="158"/>
    </row>
    <row r="8" spans="1:20" x14ac:dyDescent="0.25">
      <c r="A8" s="33">
        <v>44409</v>
      </c>
      <c r="B8" s="130" t="str">
        <f>IF(C8=0,"",VLOOKUP('Planilla de datos'!$T$23,'SIPM (Actualización en $)'!$A$6:$C$54,3,FALSE)/C8)</f>
        <v/>
      </c>
      <c r="C8" s="305"/>
      <c r="D8" s="127" cm="1">
        <f t="array" ref="D8">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8" s="128" cm="1">
        <f t="array" ref="E8">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8" s="128" cm="1">
        <f t="array" ref="F8">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8" s="128" cm="1">
        <f t="array" ref="G8">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8" s="128" cm="1">
        <f t="array" ref="H8">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8" s="128" cm="1">
        <f t="array" ref="I8">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8" s="128" cm="1">
        <f t="array" ref="J8">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8" s="129">
        <f>+SUM(Indices[[#This Row],[Cría]:[Guachera]])</f>
        <v>0</v>
      </c>
      <c r="L8" s="132">
        <f>IF(DATE(YEAR(Indices[[#This Row],[Fecha]]),MONTH(Indices[[#This Row],[Fecha]]),1)&gt;=DATE(YEAR('Planilla de datos'!$N$19-1),MONTH('Planilla de datos'!$N$19-1),1),1,0)*IF(DATE(YEAR(Indices[[#This Row],[Fecha]]),MONTH(Indices[[#This Row],[Fecha]]),1)&lt;='Planilla de datos'!$P$19,1,0)</f>
        <v>0</v>
      </c>
      <c r="Q8" s="154"/>
      <c r="R8" s="154"/>
      <c r="T8" s="158"/>
    </row>
    <row r="9" spans="1:20" x14ac:dyDescent="0.25">
      <c r="A9" s="33">
        <v>44440</v>
      </c>
      <c r="B9" s="130" t="str">
        <f>IF(C9=0,"",VLOOKUP('Planilla de datos'!$T$23,'SIPM (Actualización en $)'!$A$6:$C$54,3,FALSE)/C9)</f>
        <v/>
      </c>
      <c r="C9" s="305"/>
      <c r="D9" s="127" cm="1">
        <f t="array" ref="D9">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9" s="128" cm="1">
        <f t="array" ref="E9">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9" s="128" cm="1">
        <f t="array" ref="F9">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9" s="128" cm="1">
        <f t="array" ref="G9">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9" s="128" cm="1">
        <f t="array" ref="H9">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9" s="128" cm="1">
        <f t="array" ref="I9">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9" s="128" cm="1">
        <f t="array" ref="J9">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9" s="129">
        <f>+SUM(Indices[[#This Row],[Cría]:[Guachera]])</f>
        <v>0</v>
      </c>
      <c r="L9" s="132">
        <f>IF(DATE(YEAR(Indices[[#This Row],[Fecha]]),MONTH(Indices[[#This Row],[Fecha]]),1)&gt;=DATE(YEAR('Planilla de datos'!$N$19-1),MONTH('Planilla de datos'!$N$19-1),1),1,0)*IF(DATE(YEAR(Indices[[#This Row],[Fecha]]),MONTH(Indices[[#This Row],[Fecha]]),1)&lt;='Planilla de datos'!$P$19,1,0)</f>
        <v>0</v>
      </c>
      <c r="Q9" s="154"/>
      <c r="R9" s="161"/>
      <c r="T9" s="158"/>
    </row>
    <row r="10" spans="1:20" x14ac:dyDescent="0.25">
      <c r="A10" s="33">
        <v>44470</v>
      </c>
      <c r="B10" s="130" t="str">
        <f>IF(C10=0,"",VLOOKUP('Planilla de datos'!$T$23,'SIPM (Actualización en $)'!$A$6:$C$54,3,FALSE)/C10)</f>
        <v/>
      </c>
      <c r="C10" s="305"/>
      <c r="D10" s="127" cm="1">
        <f t="array" ref="D10">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10" s="128" cm="1">
        <f t="array" ref="E10">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10" s="128" cm="1">
        <f t="array" ref="F10">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10" s="128" cm="1">
        <f t="array" ref="G10">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10" s="128" cm="1">
        <f t="array" ref="H10">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10" s="128" cm="1">
        <f t="array" ref="I10">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10" s="128" cm="1">
        <f t="array" ref="J10">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10" s="129">
        <f>+SUM(Indices[[#This Row],[Cría]:[Guachera]])</f>
        <v>0</v>
      </c>
      <c r="L10" s="132">
        <f>IF(DATE(YEAR(Indices[[#This Row],[Fecha]]),MONTH(Indices[[#This Row],[Fecha]]),1)&gt;=DATE(YEAR('Planilla de datos'!$N$19-1),MONTH('Planilla de datos'!$N$19-1),1),1,0)*IF(DATE(YEAR(Indices[[#This Row],[Fecha]]),MONTH(Indices[[#This Row],[Fecha]]),1)&lt;='Planilla de datos'!$P$19,1,0)</f>
        <v>0</v>
      </c>
      <c r="Q10" s="154"/>
      <c r="R10" s="161"/>
      <c r="T10" s="158"/>
    </row>
    <row r="11" spans="1:20" x14ac:dyDescent="0.25">
      <c r="A11" s="33">
        <v>44501</v>
      </c>
      <c r="B11" s="130" t="str">
        <f>IF(C11=0,"",VLOOKUP('Planilla de datos'!$T$23,'SIPM (Actualización en $)'!$A$6:$C$54,3,FALSE)/C11)</f>
        <v/>
      </c>
      <c r="C11" s="305"/>
      <c r="D11" s="127" cm="1">
        <f t="array" ref="D11">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11" s="128" cm="1">
        <f t="array" ref="E11">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11" s="128" cm="1">
        <f t="array" ref="F11">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11" s="128" cm="1">
        <f t="array" ref="G11">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11" s="128" cm="1">
        <f t="array" ref="H11">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11" s="128" cm="1">
        <f t="array" ref="I11">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11" s="128" cm="1">
        <f t="array" ref="J11">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11" s="129">
        <f>+SUM(Indices[[#This Row],[Cría]:[Guachera]])</f>
        <v>0</v>
      </c>
      <c r="L11" s="132">
        <f>IF(DATE(YEAR(Indices[[#This Row],[Fecha]]),MONTH(Indices[[#This Row],[Fecha]]),1)&gt;=DATE(YEAR('Planilla de datos'!$N$19-1),MONTH('Planilla de datos'!$N$19-1),1),1,0)*IF(DATE(YEAR(Indices[[#This Row],[Fecha]]),MONTH(Indices[[#This Row],[Fecha]]),1)&lt;='Planilla de datos'!$P$19,1,0)</f>
        <v>0</v>
      </c>
      <c r="Q11" s="154"/>
      <c r="R11" s="161"/>
      <c r="T11" s="158"/>
    </row>
    <row r="12" spans="1:20" x14ac:dyDescent="0.25">
      <c r="A12" s="33">
        <v>44531</v>
      </c>
      <c r="B12" s="130" t="str">
        <f>IF(C12=0,"",VLOOKUP('Planilla de datos'!$T$23,'SIPM (Actualización en $)'!$A$6:$C$54,3,FALSE)/C12)</f>
        <v/>
      </c>
      <c r="C12" s="305"/>
      <c r="D12" s="127" cm="1">
        <f t="array" ref="D12">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12" s="128" cm="1">
        <f t="array" ref="E12">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12" s="128" cm="1">
        <f t="array" ref="F12">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12" s="128" cm="1">
        <f t="array" ref="G12">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12" s="128" cm="1">
        <f t="array" ref="H12">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12" s="128" cm="1">
        <f t="array" ref="I12">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12" s="128" cm="1">
        <f t="array" ref="J12">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12" s="129">
        <f>+SUM(Indices[[#This Row],[Cría]:[Guachera]])</f>
        <v>0</v>
      </c>
      <c r="L12" s="132">
        <f>IF(DATE(YEAR(Indices[[#This Row],[Fecha]]),MONTH(Indices[[#This Row],[Fecha]]),1)&gt;=DATE(YEAR('Planilla de datos'!$N$19-1),MONTH('Planilla de datos'!$N$19-1),1),1,0)*IF(DATE(YEAR(Indices[[#This Row],[Fecha]]),MONTH(Indices[[#This Row],[Fecha]]),1)&lt;='Planilla de datos'!$P$19,1,0)</f>
        <v>0</v>
      </c>
      <c r="Q12" s="154"/>
      <c r="R12" s="161"/>
      <c r="T12" s="158"/>
    </row>
    <row r="13" spans="1:20" x14ac:dyDescent="0.25">
      <c r="A13" s="33">
        <v>44562</v>
      </c>
      <c r="B13" s="130" t="str">
        <f>IF(C13=0,"",VLOOKUP('Planilla de datos'!$T$23,'SIPM (Actualización en $)'!$A$6:$C$54,3,FALSE)/C13)</f>
        <v/>
      </c>
      <c r="C13" s="305"/>
      <c r="D13" s="127" cm="1">
        <f t="array" ref="D13">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13" s="128" cm="1">
        <f t="array" ref="E13">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13" s="128" cm="1">
        <f t="array" ref="F13">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13" s="128" cm="1">
        <f t="array" ref="G13">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13" s="128" cm="1">
        <f t="array" ref="H13">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13" s="128" cm="1">
        <f t="array" ref="I13">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13" s="128" cm="1">
        <f t="array" ref="J13">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13" s="129">
        <f>+SUM(Indices[[#This Row],[Cría]:[Guachera]])</f>
        <v>0</v>
      </c>
      <c r="L13" s="132">
        <f>IF(DATE(YEAR(Indices[[#This Row],[Fecha]]),MONTH(Indices[[#This Row],[Fecha]]),1)&gt;=DATE(YEAR('Planilla de datos'!$N$19-1),MONTH('Planilla de datos'!$N$19-1),1),1,0)*IF(DATE(YEAR(Indices[[#This Row],[Fecha]]),MONTH(Indices[[#This Row],[Fecha]]),1)&lt;='Planilla de datos'!$P$19,1,0)</f>
        <v>0</v>
      </c>
      <c r="Q13" s="154"/>
      <c r="R13" s="161"/>
      <c r="T13" s="158"/>
    </row>
    <row r="14" spans="1:20" x14ac:dyDescent="0.25">
      <c r="A14" s="33">
        <v>44593</v>
      </c>
      <c r="B14" s="130" t="str">
        <f>IF(C14=0,"",VLOOKUP('Planilla de datos'!$T$23,'SIPM (Actualización en $)'!$A$6:$C$54,3,FALSE)/C14)</f>
        <v/>
      </c>
      <c r="C14" s="305"/>
      <c r="D14" s="127" cm="1">
        <f t="array" ref="D14">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14" s="128" cm="1">
        <f t="array" ref="E14">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14" s="128" cm="1">
        <f t="array" ref="F14">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14" s="128" cm="1">
        <f t="array" ref="G14">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14" s="128" cm="1">
        <f t="array" ref="H14">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14" s="128" cm="1">
        <f t="array" ref="I14">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14" s="128" cm="1">
        <f t="array" ref="J14">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14" s="129">
        <f>+SUM(Indices[[#This Row],[Cría]:[Guachera]])</f>
        <v>0</v>
      </c>
      <c r="L14" s="132">
        <f>IF(DATE(YEAR(Indices[[#This Row],[Fecha]]),MONTH(Indices[[#This Row],[Fecha]]),1)&gt;=DATE(YEAR('Planilla de datos'!$N$19-1),MONTH('Planilla de datos'!$N$19-1),1),1,0)*IF(DATE(YEAR(Indices[[#This Row],[Fecha]]),MONTH(Indices[[#This Row],[Fecha]]),1)&lt;='Planilla de datos'!$P$19,1,0)</f>
        <v>0</v>
      </c>
      <c r="Q14" s="154"/>
      <c r="R14" s="161"/>
      <c r="T14" s="158"/>
    </row>
    <row r="15" spans="1:20" x14ac:dyDescent="0.25">
      <c r="A15" s="33">
        <v>44621</v>
      </c>
      <c r="B15" s="130" t="str">
        <f>IF(C15=0,"",VLOOKUP('Planilla de datos'!$T$23,'SIPM (Actualización en $)'!$A$6:$C$54,3,FALSE)/C15)</f>
        <v/>
      </c>
      <c r="C15" s="305"/>
      <c r="D15" s="127" cm="1">
        <f t="array" ref="D15">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15" s="128" cm="1">
        <f t="array" ref="E15">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15" s="128" cm="1">
        <f t="array" ref="F15">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15" s="128" cm="1">
        <f t="array" ref="G15">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15" s="128" cm="1">
        <f t="array" ref="H15">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15" s="128" cm="1">
        <f t="array" ref="I15">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15" s="128" cm="1">
        <f t="array" ref="J15">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15" s="129">
        <f>+SUM(Indices[[#This Row],[Cría]:[Guachera]])</f>
        <v>0</v>
      </c>
      <c r="L15" s="132">
        <f>IF(DATE(YEAR(Indices[[#This Row],[Fecha]]),MONTH(Indices[[#This Row],[Fecha]]),1)&gt;=DATE(YEAR('Planilla de datos'!$N$19-1),MONTH('Planilla de datos'!$N$19-1),1),1,0)*IF(DATE(YEAR(Indices[[#This Row],[Fecha]]),MONTH(Indices[[#This Row],[Fecha]]),1)&lt;='Planilla de datos'!$P$19,1,0)</f>
        <v>0</v>
      </c>
      <c r="Q15" s="154"/>
      <c r="R15" s="161"/>
      <c r="T15" s="158"/>
    </row>
    <row r="16" spans="1:20" x14ac:dyDescent="0.25">
      <c r="A16" s="33">
        <v>44652</v>
      </c>
      <c r="B16" s="130" t="str">
        <f>IF(C16=0,"",VLOOKUP('Planilla de datos'!$T$23,'SIPM (Actualización en $)'!$A$6:$C$54,3,FALSE)/C16)</f>
        <v/>
      </c>
      <c r="C16" s="305"/>
      <c r="D16" s="127" cm="1">
        <f t="array" ref="D16">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16" s="128" cm="1">
        <f t="array" ref="E16">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16" s="128" cm="1">
        <f t="array" ref="F16">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16" s="128" cm="1">
        <f t="array" ref="G16">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16" s="128" cm="1">
        <f t="array" ref="H16">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16" s="128" cm="1">
        <f t="array" ref="I16">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16" s="128" cm="1">
        <f t="array" ref="J16">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16" s="129">
        <f>+SUM(Indices[[#This Row],[Cría]:[Guachera]])</f>
        <v>0</v>
      </c>
      <c r="L16" s="132">
        <f>IF(DATE(YEAR(Indices[[#This Row],[Fecha]]),MONTH(Indices[[#This Row],[Fecha]]),1)&gt;=DATE(YEAR('Planilla de datos'!$N$19-1),MONTH('Planilla de datos'!$N$19-1),1),1,0)*IF(DATE(YEAR(Indices[[#This Row],[Fecha]]),MONTH(Indices[[#This Row],[Fecha]]),1)&lt;='Planilla de datos'!$P$19,1,0)</f>
        <v>0</v>
      </c>
      <c r="Q16" s="154"/>
      <c r="R16" s="161"/>
      <c r="T16" s="158"/>
    </row>
    <row r="17" spans="1:20" x14ac:dyDescent="0.25">
      <c r="A17" s="33">
        <v>44682</v>
      </c>
      <c r="B17" s="130" t="str">
        <f>IF(C17=0,"",VLOOKUP('Planilla de datos'!$T$23,'SIPM (Actualización en $)'!$A$6:$C$54,3,FALSE)/C17)</f>
        <v/>
      </c>
      <c r="C17" s="305"/>
      <c r="D17" s="127" cm="1">
        <f t="array" ref="D17">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17" s="128" cm="1">
        <f t="array" ref="E17">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17" s="128" cm="1">
        <f t="array" ref="F17">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17" s="128" cm="1">
        <f t="array" ref="G17">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17" s="128" cm="1">
        <f t="array" ref="H17">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17" s="128" cm="1">
        <f t="array" ref="I17">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17" s="128" cm="1">
        <f t="array" ref="J17">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17" s="129">
        <f>+SUM(Indices[[#This Row],[Cría]:[Guachera]])</f>
        <v>0</v>
      </c>
      <c r="L17" s="132">
        <f>IF(DATE(YEAR(Indices[[#This Row],[Fecha]]),MONTH(Indices[[#This Row],[Fecha]]),1)&gt;=DATE(YEAR('Planilla de datos'!$N$19-1),MONTH('Planilla de datos'!$N$19-1),1),1,0)*IF(DATE(YEAR(Indices[[#This Row],[Fecha]]),MONTH(Indices[[#This Row],[Fecha]]),1)&lt;='Planilla de datos'!$P$19,1,0)</f>
        <v>0</v>
      </c>
      <c r="Q17" s="154"/>
      <c r="R17" s="161"/>
      <c r="T17" s="158"/>
    </row>
    <row r="18" spans="1:20" x14ac:dyDescent="0.25">
      <c r="A18" s="33">
        <v>44713</v>
      </c>
      <c r="B18" s="130">
        <f>IF(C18=0,"",VLOOKUP('Planilla de datos'!$T$23,'SIPM (Actualización en $)'!$A$6:$C$54,3,FALSE)/C18)</f>
        <v>9.9145208219693277</v>
      </c>
      <c r="C18" s="305">
        <v>1214.824148470205</v>
      </c>
      <c r="D18" s="127" cm="1">
        <f t="array" ref="D18">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18" s="128" cm="1">
        <f t="array" ref="E18">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18" s="128" cm="1">
        <f t="array" ref="F18">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18" s="128" cm="1">
        <f t="array" ref="G18">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18" s="128" cm="1">
        <f t="array" ref="H18">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18" s="128" cm="1">
        <f t="array" ref="I18">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18" s="128" cm="1">
        <f t="array" ref="J18">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18" s="129">
        <f>+SUM(Indices[[#This Row],[Cría]:[Guachera]])</f>
        <v>0</v>
      </c>
      <c r="L18" s="132">
        <f>IF(DATE(YEAR(Indices[[#This Row],[Fecha]]),MONTH(Indices[[#This Row],[Fecha]]),1)&gt;=DATE(YEAR('Planilla de datos'!$N$19-1),MONTH('Planilla de datos'!$N$19-1),1),1,0)*IF(DATE(YEAR(Indices[[#This Row],[Fecha]]),MONTH(Indices[[#This Row],[Fecha]]),1)&lt;='Planilla de datos'!$P$19,1,0)</f>
        <v>0</v>
      </c>
      <c r="N18" s="193"/>
      <c r="Q18" s="154"/>
      <c r="R18" s="161"/>
      <c r="T18" s="158"/>
    </row>
    <row r="19" spans="1:20" x14ac:dyDescent="0.25">
      <c r="A19" s="33">
        <v>44743</v>
      </c>
      <c r="B19" s="130">
        <f>IF(C19=0,"",VLOOKUP('Planilla de datos'!$T$23,'SIPM (Actualización en $)'!$A$6:$C$54,3,FALSE)/C19)</f>
        <v>9.2589591914760661</v>
      </c>
      <c r="C19" s="305">
        <v>1300.837282675061</v>
      </c>
      <c r="D19" s="127" cm="1">
        <f t="array" ref="D19">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19" s="128" cm="1">
        <f t="array" ref="E19">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19" s="128" cm="1">
        <f t="array" ref="F19">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19" s="128" cm="1">
        <f t="array" ref="G19">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19" s="128" cm="1">
        <f t="array" ref="H19">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19" s="128" cm="1">
        <f t="array" ref="I19">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19" s="128" cm="1">
        <f t="array" ref="J19">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19" s="129">
        <f>+SUM(Indices[[#This Row],[Cría]:[Guachera]])</f>
        <v>0</v>
      </c>
      <c r="L19" s="132">
        <f>IF(DATE(YEAR(Indices[[#This Row],[Fecha]]),MONTH(Indices[[#This Row],[Fecha]]),1)&gt;=DATE(YEAR('Planilla de datos'!$N$19-1),MONTH('Planilla de datos'!$N$19-1),1),1,0)*IF(DATE(YEAR(Indices[[#This Row],[Fecha]]),MONTH(Indices[[#This Row],[Fecha]]),1)&lt;='Planilla de datos'!$P$19,1,0)</f>
        <v>0</v>
      </c>
      <c r="R19" s="161"/>
    </row>
    <row r="20" spans="1:20" x14ac:dyDescent="0.25">
      <c r="A20" s="33">
        <v>44774</v>
      </c>
      <c r="B20" s="130">
        <f>IF(C20=0,"",VLOOKUP('Planilla de datos'!$T$23,'SIPM (Actualización en $)'!$A$6:$C$54,3,FALSE)/C20)</f>
        <v>8.559138964364374</v>
      </c>
      <c r="C20" s="305">
        <v>1407.1975423211811</v>
      </c>
      <c r="D20" s="127" cm="1">
        <f t="array" ref="D20">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20" s="128" cm="1">
        <f t="array" ref="E20">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20" s="128" cm="1">
        <f t="array" ref="F20">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20" s="128" cm="1">
        <f t="array" ref="G20">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20" s="128" cm="1">
        <f t="array" ref="H20">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20" s="128" cm="1">
        <f t="array" ref="I20">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20" s="128" cm="1">
        <f t="array" ref="J20">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20" s="129">
        <f>+SUM(Indices[[#This Row],[Cría]:[Guachera]])</f>
        <v>0</v>
      </c>
      <c r="L20" s="132">
        <f>IF(DATE(YEAR(Indices[[#This Row],[Fecha]]),MONTH(Indices[[#This Row],[Fecha]]),1)&gt;=DATE(YEAR('Planilla de datos'!$N$19-1),MONTH('Planilla de datos'!$N$19-1),1),1,0)*IF(DATE(YEAR(Indices[[#This Row],[Fecha]]),MONTH(Indices[[#This Row],[Fecha]]),1)&lt;='Planilla de datos'!$P$19,1,0)</f>
        <v>0</v>
      </c>
      <c r="R20" s="161"/>
    </row>
    <row r="21" spans="1:20" x14ac:dyDescent="0.25">
      <c r="A21" s="33">
        <v>44805</v>
      </c>
      <c r="B21" s="130">
        <f>IF(C21=0,"",VLOOKUP('Planilla de datos'!$T$23,'SIPM (Actualización en $)'!$A$6:$C$54,3,FALSE)/C21)</f>
        <v>8.1143001986548988</v>
      </c>
      <c r="C21" s="305">
        <v>1484.3423363897232</v>
      </c>
      <c r="D21" s="127" cm="1">
        <f t="array" ref="D21">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21" s="128" cm="1">
        <f t="array" ref="E21">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21" s="128" cm="1">
        <f t="array" ref="F21">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21" s="128" cm="1">
        <f t="array" ref="G21">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21" s="128" cm="1">
        <f t="array" ref="H21">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21" s="128" cm="1">
        <f t="array" ref="I21">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21" s="128" cm="1">
        <f t="array" ref="J21">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21" s="129">
        <f>+SUM(Indices[[#This Row],[Cría]:[Guachera]])</f>
        <v>0</v>
      </c>
      <c r="L21" s="132">
        <f>IF(DATE(YEAR(Indices[[#This Row],[Fecha]]),MONTH(Indices[[#This Row],[Fecha]]),1)&gt;=DATE(YEAR('Planilla de datos'!$N$19-1),MONTH('Planilla de datos'!$N$19-1),1),1,0)*IF(DATE(YEAR(Indices[[#This Row],[Fecha]]),MONTH(Indices[[#This Row],[Fecha]]),1)&lt;='Planilla de datos'!$P$19,1,0)</f>
        <v>0</v>
      </c>
    </row>
    <row r="22" spans="1:20" x14ac:dyDescent="0.25">
      <c r="A22" s="33">
        <v>44835</v>
      </c>
      <c r="B22" s="130">
        <f>IF(C22=0,"",VLOOKUP('Planilla de datos'!$T$23,'SIPM (Actualización en $)'!$A$6:$C$54,3,FALSE)/C22)</f>
        <v>7.7444652641013709</v>
      </c>
      <c r="C22" s="305">
        <v>1555.2267205418964</v>
      </c>
      <c r="D22" s="127" cm="1">
        <f t="array" ref="D22">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22" s="128" cm="1">
        <f t="array" ref="E22">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22" s="128" cm="1">
        <f t="array" ref="F22">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22" s="128" cm="1">
        <f t="array" ref="G22">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22" s="128" cm="1">
        <f t="array" ref="H22">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22" s="128" cm="1">
        <f t="array" ref="I22">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22" s="128" cm="1">
        <f t="array" ref="J22">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22" s="129">
        <f>+SUM(Indices[[#This Row],[Cría]:[Guachera]])</f>
        <v>0</v>
      </c>
      <c r="L22" s="132">
        <f>IF(DATE(YEAR(Indices[[#This Row],[Fecha]]),MONTH(Indices[[#This Row],[Fecha]]),1)&gt;=DATE(YEAR('Planilla de datos'!$N$19-1),MONTH('Planilla de datos'!$N$19-1),1),1,0)*IF(DATE(YEAR(Indices[[#This Row],[Fecha]]),MONTH(Indices[[#This Row],[Fecha]]),1)&lt;='Planilla de datos'!$P$19,1,0)</f>
        <v>0</v>
      </c>
    </row>
    <row r="23" spans="1:20" x14ac:dyDescent="0.25">
      <c r="A23" s="33">
        <v>44866</v>
      </c>
      <c r="B23" s="130">
        <f>IF(C23=0,"",VLOOKUP('Planilla de datos'!$T$23,'SIPM (Actualización en $)'!$A$6:$C$54,3,FALSE)/C23)</f>
        <v>7.2858639395039679</v>
      </c>
      <c r="C23" s="305">
        <v>1653.1188909161824</v>
      </c>
      <c r="D23" s="127" cm="1">
        <f t="array" ref="D23">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23" s="128" cm="1">
        <f t="array" ref="E23">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23" s="128" cm="1">
        <f t="array" ref="F23">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23" s="128" cm="1">
        <f t="array" ref="G23">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23" s="128" cm="1">
        <f t="array" ref="H23">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23" s="128" cm="1">
        <f t="array" ref="I23">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23" s="128" cm="1">
        <f t="array" ref="J23">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23" s="129">
        <f>+SUM(Indices[[#This Row],[Cría]:[Guachera]])</f>
        <v>0</v>
      </c>
      <c r="L23" s="132">
        <f>IF(DATE(YEAR(Indices[[#This Row],[Fecha]]),MONTH(Indices[[#This Row],[Fecha]]),1)&gt;=DATE(YEAR('Planilla de datos'!$N$19-1),MONTH('Planilla de datos'!$N$19-1),1),1,0)*IF(DATE(YEAR(Indices[[#This Row],[Fecha]]),MONTH(Indices[[#This Row],[Fecha]]),1)&lt;='Planilla de datos'!$P$19,1,0)</f>
        <v>0</v>
      </c>
    </row>
    <row r="24" spans="1:20" x14ac:dyDescent="0.25">
      <c r="A24" s="33">
        <v>44896</v>
      </c>
      <c r="B24" s="130">
        <f>IF(C24=0,"",VLOOKUP('Planilla de datos'!$T$23,'SIPM (Actualización en $)'!$A$6:$C$54,3,FALSE)/C24)</f>
        <v>6.8645657945813978</v>
      </c>
      <c r="C24" s="305">
        <v>1754.575551529618</v>
      </c>
      <c r="D24" s="127" cm="1">
        <f t="array" ref="D24">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24" s="128" cm="1">
        <f t="array" ref="E24">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24" s="128" cm="1">
        <f t="array" ref="F24">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24" s="128" cm="1">
        <f t="array" ref="G24">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24" s="128" cm="1">
        <f t="array" ref="H24">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24" s="128" cm="1">
        <f t="array" ref="I24">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24" s="128" cm="1">
        <f t="array" ref="J24">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24" s="129">
        <f>+SUM(Indices[[#This Row],[Cría]:[Guachera]])</f>
        <v>0</v>
      </c>
      <c r="L24" s="132">
        <f>IF(DATE(YEAR(Indices[[#This Row],[Fecha]]),MONTH(Indices[[#This Row],[Fecha]]),1)&gt;=DATE(YEAR('Planilla de datos'!$N$19-1),MONTH('Planilla de datos'!$N$19-1),1),1,0)*IF(DATE(YEAR(Indices[[#This Row],[Fecha]]),MONTH(Indices[[#This Row],[Fecha]]),1)&lt;='Planilla de datos'!$P$19,1,0)</f>
        <v>0</v>
      </c>
    </row>
    <row r="25" spans="1:20" x14ac:dyDescent="0.25">
      <c r="A25" s="33">
        <v>44927</v>
      </c>
      <c r="B25" s="130">
        <f>IF(C25=0,"",VLOOKUP('Planilla de datos'!$T$23,'SIPM (Actualización en $)'!$A$6:$C$54,3,FALSE)/C25)</f>
        <v>6.446708945391129</v>
      </c>
      <c r="C25" s="305">
        <v>1868.3020153484315</v>
      </c>
      <c r="D25" s="127" cm="1">
        <f t="array" ref="D25">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25" s="128" cm="1">
        <f t="array" ref="E25">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25" s="128" cm="1">
        <f t="array" ref="F25">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25" s="128" cm="1">
        <f t="array" ref="G25">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25" s="128" cm="1">
        <f t="array" ref="H25">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25" s="128" cm="1">
        <f t="array" ref="I25">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25" s="128" cm="1">
        <f t="array" ref="J25">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25" s="129">
        <f>+SUM(Indices[[#This Row],[Cría]:[Guachera]])</f>
        <v>0</v>
      </c>
      <c r="L25" s="132">
        <f>IF(DATE(YEAR(Indices[[#This Row],[Fecha]]),MONTH(Indices[[#This Row],[Fecha]]),1)&gt;=DATE(YEAR('Planilla de datos'!$N$19-1),MONTH('Planilla de datos'!$N$19-1),1),1,0)*IF(DATE(YEAR(Indices[[#This Row],[Fecha]]),MONTH(Indices[[#This Row],[Fecha]]),1)&lt;='Planilla de datos'!$P$19,1,0)</f>
        <v>0</v>
      </c>
    </row>
    <row r="26" spans="1:20" x14ac:dyDescent="0.25">
      <c r="A26" s="33">
        <v>44958</v>
      </c>
      <c r="B26" s="130">
        <f>IF(C26=0,"",VLOOKUP('Planilla de datos'!$T$23,'SIPM (Actualización en $)'!$A$6:$C$54,3,FALSE)/C26)</f>
        <v>6.0233934204257622</v>
      </c>
      <c r="C26" s="305">
        <v>1999.6036244611848</v>
      </c>
      <c r="D26" s="127" cm="1">
        <f t="array" ref="D26">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26" s="128" cm="1">
        <f t="array" ref="E26">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26" s="128" cm="1">
        <f t="array" ref="F26">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26" s="128" cm="1">
        <f t="array" ref="G26">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26" s="128" cm="1">
        <f t="array" ref="H26">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26" s="128" cm="1">
        <f t="array" ref="I26">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26" s="128" cm="1">
        <f t="array" ref="J26">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26" s="129">
        <f>+SUM(Indices[[#This Row],[Cría]:[Guachera]])</f>
        <v>0</v>
      </c>
      <c r="L26" s="132">
        <f>IF(DATE(YEAR(Indices[[#This Row],[Fecha]]),MONTH(Indices[[#This Row],[Fecha]]),1)&gt;=DATE(YEAR('Planilla de datos'!$N$19-1),MONTH('Planilla de datos'!$N$19-1),1),1,0)*IF(DATE(YEAR(Indices[[#This Row],[Fecha]]),MONTH(Indices[[#This Row],[Fecha]]),1)&lt;='Planilla de datos'!$P$19,1,0)</f>
        <v>0</v>
      </c>
    </row>
    <row r="27" spans="1:20" x14ac:dyDescent="0.25">
      <c r="A27" s="33">
        <v>44986</v>
      </c>
      <c r="B27" s="130">
        <f>IF(C27=0,"",VLOOKUP('Planilla de datos'!$T$23,'SIPM (Actualización en $)'!$A$6:$C$54,3,FALSE)/C27)</f>
        <v>5.7333561121679733</v>
      </c>
      <c r="C27" s="305">
        <v>2100.7589759647108</v>
      </c>
      <c r="D27" s="127" cm="1">
        <f t="array" ref="D27">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27" s="128" cm="1">
        <f t="array" ref="E27">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27" s="128" cm="1">
        <f t="array" ref="F27">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27" s="128" cm="1">
        <f t="array" ref="G27">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27" s="128" cm="1">
        <f t="array" ref="H27">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27" s="128" cm="1">
        <f t="array" ref="I27">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27" s="128" cm="1">
        <f t="array" ref="J27">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27" s="129">
        <f>+SUM(Indices[[#This Row],[Cría]:[Guachera]])</f>
        <v>0</v>
      </c>
      <c r="L27" s="132">
        <f>IF(DATE(YEAR(Indices[[#This Row],[Fecha]]),MONTH(Indices[[#This Row],[Fecha]]),1)&gt;=DATE(YEAR('Planilla de datos'!$N$19-1),MONTH('Planilla de datos'!$N$19-1),1),1,0)*IF(DATE(YEAR(Indices[[#This Row],[Fecha]]),MONTH(Indices[[#This Row],[Fecha]]),1)&lt;='Planilla de datos'!$P$19,1,0)</f>
        <v>0</v>
      </c>
    </row>
    <row r="28" spans="1:20" x14ac:dyDescent="0.25">
      <c r="A28" s="33">
        <v>45017</v>
      </c>
      <c r="B28" s="130">
        <f>IF(C28=0,"",VLOOKUP('Planilla de datos'!$T$23,'SIPM (Actualización en $)'!$A$6:$C$54,3,FALSE)/C28)</f>
        <v>5.3616195754862614</v>
      </c>
      <c r="C28" s="305">
        <v>2246.4106498914862</v>
      </c>
      <c r="D28" s="127" cm="1">
        <f t="array" ref="D28">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28" s="128" cm="1">
        <f t="array" ref="E28">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28" s="128" cm="1">
        <f t="array" ref="F28">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28" s="128" cm="1">
        <f t="array" ref="G28">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28" s="128" cm="1">
        <f t="array" ref="H28">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28" s="128" cm="1">
        <f t="array" ref="I28">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28" s="128" cm="1">
        <f t="array" ref="J28">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28" s="129">
        <f>+SUM(Indices[[#This Row],[Cría]:[Guachera]])</f>
        <v>0</v>
      </c>
      <c r="L28" s="132">
        <f>IF(DATE(YEAR(Indices[[#This Row],[Fecha]]),MONTH(Indices[[#This Row],[Fecha]]),1)&gt;=DATE(YEAR('Planilla de datos'!$N$19-1),MONTH('Planilla de datos'!$N$19-1),1),1,0)*IF(DATE(YEAR(Indices[[#This Row],[Fecha]]),MONTH(Indices[[#This Row],[Fecha]]),1)&lt;='Planilla de datos'!$P$19,1,0)</f>
        <v>0</v>
      </c>
    </row>
    <row r="29" spans="1:20" x14ac:dyDescent="0.25">
      <c r="A29" s="33">
        <v>45047</v>
      </c>
      <c r="B29" s="130">
        <f>IF(C29=0,"",VLOOKUP('Planilla de datos'!$T$23,'SIPM (Actualización en $)'!$A$6:$C$54,3,FALSE)/C29)</f>
        <v>5.0069921810051836</v>
      </c>
      <c r="C29" s="305">
        <v>2405.5159024875934</v>
      </c>
      <c r="D29" s="127" cm="1">
        <f t="array" ref="D29">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29" s="128" cm="1">
        <f t="array" ref="E29">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29" s="128" cm="1">
        <f t="array" ref="F29">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29" s="128" cm="1">
        <f t="array" ref="G29">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29" s="128" cm="1">
        <f t="array" ref="H29">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29" s="128" cm="1">
        <f t="array" ref="I29">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29" s="128" cm="1">
        <f t="array" ref="J29">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29" s="129">
        <f>+SUM(Indices[[#This Row],[Cría]:[Guachera]])</f>
        <v>0</v>
      </c>
      <c r="L29" s="132">
        <f>IF(DATE(YEAR(Indices[[#This Row],[Fecha]]),MONTH(Indices[[#This Row],[Fecha]]),1)&gt;=DATE(YEAR('Planilla de datos'!$N$19-1),MONTH('Planilla de datos'!$N$19-1),1),1,0)*IF(DATE(YEAR(Indices[[#This Row],[Fecha]]),MONTH(Indices[[#This Row],[Fecha]]),1)&lt;='Planilla de datos'!$P$19,1,0)</f>
        <v>0</v>
      </c>
    </row>
    <row r="30" spans="1:20" x14ac:dyDescent="0.25">
      <c r="A30" s="33">
        <v>45078</v>
      </c>
      <c r="B30" s="130">
        <f>IF(C30=0,"",VLOOKUP('Planilla de datos'!$T$23,'SIPM (Actualización en $)'!$A$6:$C$54,3,FALSE)/C30)</f>
        <v>4.6581405458609204</v>
      </c>
      <c r="C30" s="305">
        <v>2585.6667905268096</v>
      </c>
      <c r="D30" s="127" cm="1">
        <f t="array" ref="D30">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30" s="128" cm="1">
        <f t="array" ref="E30">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30" s="128" cm="1">
        <f t="array" ref="F30">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30" s="128" cm="1">
        <f t="array" ref="G30">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30" s="128" cm="1">
        <f t="array" ref="H30">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30" s="128" cm="1">
        <f t="array" ref="I30">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30" s="128" cm="1">
        <f t="array" ref="J30">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30" s="129">
        <f>+SUM(Indices[[#This Row],[Cría]:[Guachera]])</f>
        <v>0</v>
      </c>
      <c r="L30" s="132">
        <f>IF(DATE(YEAR(Indices[[#This Row],[Fecha]]),MONTH(Indices[[#This Row],[Fecha]]),1)&gt;=DATE(YEAR('Planilla de datos'!$N$19-1),MONTH('Planilla de datos'!$N$19-1),1),1,0)*IF(DATE(YEAR(Indices[[#This Row],[Fecha]]),MONTH(Indices[[#This Row],[Fecha]]),1)&lt;='Planilla de datos'!$P$19,1,0)</f>
        <v>1</v>
      </c>
    </row>
    <row r="31" spans="1:20" x14ac:dyDescent="0.25">
      <c r="A31" s="33">
        <v>45108</v>
      </c>
      <c r="B31" s="130">
        <f>IF(C31=0,"",VLOOKUP('Planilla de datos'!$T$23,'SIPM (Actualización en $)'!$A$6:$C$54,3,FALSE)/C31)</f>
        <v>4.3527057260522</v>
      </c>
      <c r="C31" s="305">
        <v>2767.1062720711398</v>
      </c>
      <c r="D31" s="127" cm="1">
        <f t="array" ref="D31">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31" s="128" cm="1">
        <f t="array" ref="E31">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31" s="128" cm="1">
        <f t="array" ref="F31">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31" s="128" cm="1">
        <f t="array" ref="G31">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31" s="128" cm="1">
        <f t="array" ref="H31">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31" s="128" cm="1">
        <f t="array" ref="I31">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31" s="128" cm="1">
        <f t="array" ref="J31">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31" s="129">
        <f>+SUM(Indices[[#This Row],[Cría]:[Guachera]])</f>
        <v>0</v>
      </c>
      <c r="L31" s="132">
        <f>IF(DATE(YEAR(Indices[[#This Row],[Fecha]]),MONTH(Indices[[#This Row],[Fecha]]),1)&gt;=DATE(YEAR('Planilla de datos'!$N$19-1),MONTH('Planilla de datos'!$N$19-1),1),1,0)*IF(DATE(YEAR(Indices[[#This Row],[Fecha]]),MONTH(Indices[[#This Row],[Fecha]]),1)&lt;='Planilla de datos'!$P$19,1,0)</f>
        <v>1</v>
      </c>
    </row>
    <row r="32" spans="1:20" x14ac:dyDescent="0.25">
      <c r="A32" s="33">
        <v>45139</v>
      </c>
      <c r="B32" s="130">
        <f>IF(C32=0,"",VLOOKUP('Planilla de datos'!$T$23,'SIPM (Actualización en $)'!$A$6:$C$54,3,FALSE)/C32)</f>
        <v>3.6666353184871441</v>
      </c>
      <c r="C32" s="305">
        <v>3284.8642607873348</v>
      </c>
      <c r="D32" s="127" cm="1">
        <f t="array" ref="D32">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32" s="128" cm="1">
        <f t="array" ref="E32">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32" s="128" cm="1">
        <f t="array" ref="F32">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32" s="128" cm="1">
        <f t="array" ref="G32">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32" s="128" cm="1">
        <f t="array" ref="H32">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32" s="128" cm="1">
        <f t="array" ref="I32">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32" s="128" cm="1">
        <f t="array" ref="J32">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32" s="129">
        <f>+SUM(Indices[[#This Row],[Cría]:[Guachera]])</f>
        <v>0</v>
      </c>
      <c r="L32" s="132">
        <f>IF(DATE(YEAR(Indices[[#This Row],[Fecha]]),MONTH(Indices[[#This Row],[Fecha]]),1)&gt;=DATE(YEAR('Planilla de datos'!$N$19-1),MONTH('Planilla de datos'!$N$19-1),1),1,0)*IF(DATE(YEAR(Indices[[#This Row],[Fecha]]),MONTH(Indices[[#This Row],[Fecha]]),1)&lt;='Planilla de datos'!$P$19,1,0)</f>
        <v>1</v>
      </c>
    </row>
    <row r="33" spans="1:12" x14ac:dyDescent="0.25">
      <c r="A33" s="33">
        <v>45170</v>
      </c>
      <c r="B33" s="130">
        <f>IF(C33=0,"",VLOOKUP('Planilla de datos'!$T$23,'SIPM (Actualización en $)'!$A$6:$C$54,3,FALSE)/C33)</f>
        <v>3.3573365995604538</v>
      </c>
      <c r="C33" s="305">
        <v>3587.4863773313264</v>
      </c>
      <c r="D33" s="127" cm="1">
        <f t="array" ref="D33">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33" s="128" cm="1">
        <f t="array" ref="E33">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33" s="128" cm="1">
        <f t="array" ref="F33">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33" s="128" cm="1">
        <f t="array" ref="G33">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33" s="128" cm="1">
        <f t="array" ref="H33">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33" s="128" cm="1">
        <f t="array" ref="I33">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33" s="128" cm="1">
        <f t="array" ref="J33">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33" s="129">
        <f>+SUM(Indices[[#This Row],[Cría]:[Guachera]])</f>
        <v>0</v>
      </c>
      <c r="L33" s="132">
        <f>IF(DATE(YEAR(Indices[[#This Row],[Fecha]]),MONTH(Indices[[#This Row],[Fecha]]),1)&gt;=DATE(YEAR('Planilla de datos'!$N$19-1),MONTH('Planilla de datos'!$N$19-1),1),1,0)*IF(DATE(YEAR(Indices[[#This Row],[Fecha]]),MONTH(Indices[[#This Row],[Fecha]]),1)&lt;='Planilla de datos'!$P$19,1,0)</f>
        <v>1</v>
      </c>
    </row>
    <row r="34" spans="1:12" x14ac:dyDescent="0.25">
      <c r="A34" s="33">
        <v>45200</v>
      </c>
      <c r="B34" s="130">
        <f>IF(C34=0,"",VLOOKUP('Planilla de datos'!$T$23,'SIPM (Actualización en $)'!$A$6:$C$54,3,FALSE)/C34)</f>
        <v>3.1213758691040674</v>
      </c>
      <c r="C34" s="305">
        <v>3858.6827796859102</v>
      </c>
      <c r="D34" s="127" cm="1">
        <f t="array" ref="D34">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34" s="128" cm="1">
        <f t="array" ref="E34">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34" s="128" cm="1">
        <f t="array" ref="F34">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34" s="128" cm="1">
        <f t="array" ref="G34">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34" s="128" cm="1">
        <f t="array" ref="H34">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34" s="128" cm="1">
        <f t="array" ref="I34">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34" s="128" cm="1">
        <f t="array" ref="J34">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34" s="129">
        <f>+SUM(Indices[[#This Row],[Cría]:[Guachera]])</f>
        <v>0</v>
      </c>
      <c r="L34" s="132">
        <f>IF(DATE(YEAR(Indices[[#This Row],[Fecha]]),MONTH(Indices[[#This Row],[Fecha]]),1)&gt;=DATE(YEAR('Planilla de datos'!$N$19-1),MONTH('Planilla de datos'!$N$19-1),1),1,0)*IF(DATE(YEAR(Indices[[#This Row],[Fecha]]),MONTH(Indices[[#This Row],[Fecha]]),1)&lt;='Planilla de datos'!$P$19,1,0)</f>
        <v>1</v>
      </c>
    </row>
    <row r="35" spans="1:12" x14ac:dyDescent="0.25">
      <c r="A35" s="33">
        <v>45231</v>
      </c>
      <c r="B35" s="130">
        <f>IF(C35=0,"",VLOOKUP('Planilla de datos'!$T$23,'SIPM (Actualización en $)'!$A$6:$C$54,3,FALSE)/C35)</f>
        <v>2.8095036824992747</v>
      </c>
      <c r="C35" s="305">
        <v>4287.0202983057015</v>
      </c>
      <c r="D35" s="127" cm="1">
        <f t="array" ref="D35">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35" s="128" cm="1">
        <f t="array" ref="E35">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35" s="128" cm="1">
        <f t="array" ref="F35">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35" s="128" cm="1">
        <f t="array" ref="G35">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35" s="128" cm="1">
        <f t="array" ref="H35">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35" s="128" cm="1">
        <f t="array" ref="I35">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35" s="128" cm="1">
        <f t="array" ref="J35">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35" s="129">
        <f>+SUM(Indices[[#This Row],[Cría]:[Guachera]])</f>
        <v>0</v>
      </c>
      <c r="L35" s="132">
        <f>IF(DATE(YEAR(Indices[[#This Row],[Fecha]]),MONTH(Indices[[#This Row],[Fecha]]),1)&gt;=DATE(YEAR('Planilla de datos'!$N$19-1),MONTH('Planilla de datos'!$N$19-1),1),1,0)*IF(DATE(YEAR(Indices[[#This Row],[Fecha]]),MONTH(Indices[[#This Row],[Fecha]]),1)&lt;='Planilla de datos'!$P$19,1,0)</f>
        <v>1</v>
      </c>
    </row>
    <row r="36" spans="1:12" x14ac:dyDescent="0.25">
      <c r="A36" s="33">
        <v>45261</v>
      </c>
      <c r="B36" s="130">
        <f>IF(C36=0,"",VLOOKUP('Planilla de datos'!$T$23,'SIPM (Actualización en $)'!$A$6:$C$54,3,FALSE)/C36)</f>
        <v>1.8239778627452037</v>
      </c>
      <c r="C36" s="305">
        <v>6603.3692409574605</v>
      </c>
      <c r="D36" s="127" cm="1">
        <f t="array" ref="D36">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36" s="128" cm="1">
        <f t="array" ref="E36">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36" s="128" cm="1">
        <f t="array" ref="F36">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36" s="128" cm="1">
        <f t="array" ref="G36">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36" s="128" cm="1">
        <f t="array" ref="H36">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36" s="128" cm="1">
        <f t="array" ref="I36">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36" s="128" cm="1">
        <f t="array" ref="J36">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36" s="129">
        <f>+SUM(Indices[[#This Row],[Cría]:[Guachera]])</f>
        <v>0</v>
      </c>
      <c r="L36" s="132">
        <f>IF(DATE(YEAR(Indices[[#This Row],[Fecha]]),MONTH(Indices[[#This Row],[Fecha]]),1)&gt;=DATE(YEAR('Planilla de datos'!$N$19-1),MONTH('Planilla de datos'!$N$19-1),1),1,0)*IF(DATE(YEAR(Indices[[#This Row],[Fecha]]),MONTH(Indices[[#This Row],[Fecha]]),1)&lt;='Planilla de datos'!$P$19,1,0)</f>
        <v>1</v>
      </c>
    </row>
    <row r="37" spans="1:12" x14ac:dyDescent="0.25">
      <c r="A37" s="33">
        <v>45292</v>
      </c>
      <c r="B37" s="130">
        <f>IF(C37=0,"",VLOOKUP('Planilla de datos'!$T$23,'SIPM (Actualización en $)'!$A$6:$C$54,3,FALSE)/C37)</f>
        <v>1.5463632205336029</v>
      </c>
      <c r="C37" s="305">
        <v>7788.8552670587005</v>
      </c>
      <c r="D37" s="127" cm="1">
        <f t="array" ref="D37">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37" s="128" cm="1">
        <f t="array" ref="E37">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37" s="128" cm="1">
        <f t="array" ref="F37">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37" s="128" cm="1">
        <f t="array" ref="G37">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37" s="128" cm="1">
        <f t="array" ref="H37">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37" s="128" cm="1">
        <f t="array" ref="I37">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37" s="128" cm="1">
        <f t="array" ref="J37">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37" s="129">
        <f>+SUM(Indices[[#This Row],[Cría]:[Guachera]])</f>
        <v>0</v>
      </c>
      <c r="L37" s="132">
        <f>IF(DATE(YEAR(Indices[[#This Row],[Fecha]]),MONTH(Indices[[#This Row],[Fecha]]),1)&gt;=DATE(YEAR('Planilla de datos'!$N$19-1),MONTH('Planilla de datos'!$N$19-1),1),1,0)*IF(DATE(YEAR(Indices[[#This Row],[Fecha]]),MONTH(Indices[[#This Row],[Fecha]]),1)&lt;='Planilla de datos'!$P$19,1,0)</f>
        <v>1</v>
      </c>
    </row>
    <row r="38" spans="1:12" x14ac:dyDescent="0.25">
      <c r="A38" s="33">
        <v>45323</v>
      </c>
      <c r="B38" s="130">
        <f>IF(C38=0,"",VLOOKUP('Planilla de datos'!$T$23,'SIPM (Actualización en $)'!$A$6:$C$54,3,FALSE)/C38)</f>
        <v>1.4037949369794065</v>
      </c>
      <c r="C38" s="305">
        <v>8579.885136895673</v>
      </c>
      <c r="D38" s="127" cm="1">
        <f t="array" ref="D38">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38" s="128" cm="1">
        <f t="array" ref="E38">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38" s="128" cm="1">
        <f t="array" ref="F38">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38" s="128" cm="1">
        <f t="array" ref="G38">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38" s="128" cm="1">
        <f t="array" ref="H38">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38" s="128" cm="1">
        <f t="array" ref="I38">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38" s="128" cm="1">
        <f t="array" ref="J38">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38" s="129">
        <f>+SUM(Indices[[#This Row],[Cría]:[Guachera]])</f>
        <v>0</v>
      </c>
      <c r="L38" s="132">
        <f>IF(DATE(YEAR(Indices[[#This Row],[Fecha]]),MONTH(Indices[[#This Row],[Fecha]]),1)&gt;=DATE(YEAR('Planilla de datos'!$N$19-1),MONTH('Planilla de datos'!$N$19-1),1),1,0)*IF(DATE(YEAR(Indices[[#This Row],[Fecha]]),MONTH(Indices[[#This Row],[Fecha]]),1)&lt;='Planilla de datos'!$P$19,1,0)</f>
        <v>1</v>
      </c>
    </row>
    <row r="39" spans="1:12" x14ac:dyDescent="0.25">
      <c r="A39" s="33">
        <v>45352</v>
      </c>
      <c r="B39" s="130">
        <f>IF(C39=0,"",VLOOKUP('Planilla de datos'!$T$23,'SIPM (Actualización en $)'!$A$6:$C$54,3,FALSE)/C39)</f>
        <v>1.3316162976574732</v>
      </c>
      <c r="C39" s="305">
        <v>9044.9473592558443</v>
      </c>
      <c r="D39" s="127" cm="1">
        <f t="array" ref="D39">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39" s="128" cm="1">
        <f t="array" ref="E39">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39" s="128" cm="1">
        <f t="array" ref="F39">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39" s="128" cm="1">
        <f t="array" ref="G39">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39" s="128" cm="1">
        <f t="array" ref="H39">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39" s="128" cm="1">
        <f t="array" ref="I39">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39" s="128" cm="1">
        <f t="array" ref="J39">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39" s="129">
        <f>+SUM(Indices[[#This Row],[Cría]:[Guachera]])</f>
        <v>0</v>
      </c>
      <c r="L39" s="132">
        <f>IF(DATE(YEAR(Indices[[#This Row],[Fecha]]),MONTH(Indices[[#This Row],[Fecha]]),1)&gt;=DATE(YEAR('Planilla de datos'!$N$19-1),MONTH('Planilla de datos'!$N$19-1),1),1,0)*IF(DATE(YEAR(Indices[[#This Row],[Fecha]]),MONTH(Indices[[#This Row],[Fecha]]),1)&lt;='Planilla de datos'!$P$19,1,0)</f>
        <v>1</v>
      </c>
    </row>
    <row r="40" spans="1:12" x14ac:dyDescent="0.25">
      <c r="A40" s="33">
        <v>45383</v>
      </c>
      <c r="B40" s="130">
        <f>IF(C40=0,"",VLOOKUP('Planilla de datos'!$T$23,'SIPM (Actualización en $)'!$A$6:$C$54,3,FALSE)/C40)</f>
        <v>1.2872227668865059</v>
      </c>
      <c r="C40" s="305">
        <v>9356.8880421309059</v>
      </c>
      <c r="D40" s="127" cm="1">
        <f t="array" ref="D40">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40" s="128" cm="1">
        <f t="array" ref="E40">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40" s="128" cm="1">
        <f t="array" ref="F40">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40" s="128" cm="1">
        <f t="array" ref="G40">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40" s="128" cm="1">
        <f t="array" ref="H40">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40" s="128" cm="1">
        <f t="array" ref="I40">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40" s="128" cm="1">
        <f t="array" ref="J40">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40" s="129">
        <f>+SUM(Indices[[#This Row],[Cría]:[Guachera]])</f>
        <v>0</v>
      </c>
      <c r="L40" s="132">
        <f>IF(DATE(YEAR(Indices[[#This Row],[Fecha]]),MONTH(Indices[[#This Row],[Fecha]]),1)&gt;=DATE(YEAR('Planilla de datos'!$N$19-1),MONTH('Planilla de datos'!$N$19-1),1),1,0)*IF(DATE(YEAR(Indices[[#This Row],[Fecha]]),MONTH(Indices[[#This Row],[Fecha]]),1)&lt;='Planilla de datos'!$P$19,1,0)</f>
        <v>1</v>
      </c>
    </row>
    <row r="41" spans="1:12" x14ac:dyDescent="0.25">
      <c r="A41" s="33">
        <v>45413</v>
      </c>
      <c r="B41" s="130">
        <f>IF(C41=0,"",VLOOKUP('Planilla de datos'!$T$23,'SIPM (Actualización en $)'!$A$6:$C$54,3,FALSE)/C41)</f>
        <v>1.2438943493828127</v>
      </c>
      <c r="C41" s="305">
        <v>9682.8153621046004</v>
      </c>
      <c r="D41" s="127" cm="1">
        <f t="array" ref="D41">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41" s="128" cm="1">
        <f t="array" ref="E41">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41" s="128" cm="1">
        <f t="array" ref="F41">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41" s="128" cm="1">
        <f t="array" ref="G41">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41" s="128" cm="1">
        <f t="array" ref="H41">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41" s="128" cm="1">
        <f t="array" ref="I41">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41" s="128" cm="1">
        <f t="array" ref="J41">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41" s="129">
        <f>+SUM(Indices[[#This Row],[Cría]:[Guachera]])</f>
        <v>0</v>
      </c>
      <c r="L41" s="132">
        <f>IF(DATE(YEAR(Indices[[#This Row],[Fecha]]),MONTH(Indices[[#This Row],[Fecha]]),1)&gt;=DATE(YEAR('Planilla de datos'!$N$19-1),MONTH('Planilla de datos'!$N$19-1),1),1,0)*IF(DATE(YEAR(Indices[[#This Row],[Fecha]]),MONTH(Indices[[#This Row],[Fecha]]),1)&lt;='Planilla de datos'!$P$19,1,0)</f>
        <v>1</v>
      </c>
    </row>
    <row r="42" spans="1:12" x14ac:dyDescent="0.25">
      <c r="A42" s="33">
        <v>45444</v>
      </c>
      <c r="B42" s="130">
        <f>IF(C42=0,"",VLOOKUP('Planilla de datos'!$T$23,'SIPM (Actualización en $)'!$A$6:$C$54,3,FALSE)/C42)</f>
        <v>1.2117020722625531</v>
      </c>
      <c r="C42" s="305">
        <v>9940.066614352716</v>
      </c>
      <c r="D42" s="127" cm="1">
        <f t="array" ref="D42">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42" s="128" cm="1">
        <f t="array" ref="E42">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42" s="128" cm="1">
        <f t="array" ref="F42">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42" s="128" cm="1">
        <f t="array" ref="G42">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42" s="128" cm="1">
        <f t="array" ref="H42">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42" s="128" cm="1">
        <f t="array" ref="I42">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42" s="128" cm="1">
        <f t="array" ref="J42">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42" s="129">
        <f>+SUM(Indices[[#This Row],[Cría]:[Guachera]])</f>
        <v>0</v>
      </c>
      <c r="L42" s="132">
        <f>IF(DATE(YEAR(Indices[[#This Row],[Fecha]]),MONTH(Indices[[#This Row],[Fecha]]),1)&gt;=DATE(YEAR('Planilla de datos'!$N$19-1),MONTH('Planilla de datos'!$N$19-1),1),1,0)*IF(DATE(YEAR(Indices[[#This Row],[Fecha]]),MONTH(Indices[[#This Row],[Fecha]]),1)&lt;='Planilla de datos'!$P$19,1,0)</f>
        <v>1</v>
      </c>
    </row>
    <row r="43" spans="1:12" x14ac:dyDescent="0.25">
      <c r="A43" s="33">
        <v>45474</v>
      </c>
      <c r="B43" s="130">
        <f>IF(C43=0,"",VLOOKUP('Planilla de datos'!$T$23,'SIPM (Actualización en $)'!$A$6:$C$54,3,FALSE)/C43)</f>
        <v>1.17546645460803</v>
      </c>
      <c r="C43" s="306">
        <v>10246.484931852285</v>
      </c>
      <c r="D43" s="127">
        <f t="array" ref="D43">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43" s="128">
        <f t="array" ref="E43">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43" s="128">
        <f t="array" ref="F43">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43" s="128">
        <f t="array" ref="G43">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43" s="128">
        <f t="array" ref="H43">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43" s="128">
        <f t="array" ref="I43">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43" s="128">
        <f t="array" ref="J43">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43" s="129">
        <f>+SUM(Indices[[#This Row],[Cría]:[Guachera]])</f>
        <v>0</v>
      </c>
      <c r="L43" s="132">
        <f>IF(DATE(YEAR(Indices[[#This Row],[Fecha]]),MONTH(Indices[[#This Row],[Fecha]]),1)&gt;=DATE(YEAR('Planilla de datos'!$N$19-1),MONTH('Planilla de datos'!$N$19-1),1),1,0)*IF(DATE(YEAR(Indices[[#This Row],[Fecha]]),MONTH(Indices[[#This Row],[Fecha]]),1)&lt;='Planilla de datos'!$P$19,1,0)</f>
        <v>0</v>
      </c>
    </row>
    <row r="44" spans="1:12" x14ac:dyDescent="0.25">
      <c r="A44" s="33">
        <v>45505</v>
      </c>
      <c r="B44" s="130">
        <f>IF(C44=0,"",VLOOKUP('Planilla de datos'!$T$23,'SIPM (Actualización en $)'!$A$6:$C$54,3,FALSE)/C44)</f>
        <v>1.1516232914828866</v>
      </c>
      <c r="C44" s="306">
        <v>10458.627751033107</v>
      </c>
      <c r="D44" s="127">
        <f t="array" ref="D44">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44" s="128">
        <f t="array" ref="E44">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44" s="128">
        <f t="array" ref="F44">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44" s="128">
        <f t="array" ref="G44">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44" s="128">
        <f t="array" ref="H44">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44" s="128">
        <f t="array" ref="I44">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44" s="128">
        <f t="array" ref="J44">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44" s="129">
        <f>+SUM(Indices[[#This Row],[Cría]:[Guachera]])</f>
        <v>0</v>
      </c>
      <c r="L44" s="132">
        <f>IF(DATE(YEAR(Indices[[#This Row],[Fecha]]),MONTH(Indices[[#This Row],[Fecha]]),1)&gt;=DATE(YEAR('Planilla de datos'!$N$19-1),MONTH('Planilla de datos'!$N$19-1),1),1,0)*IF(DATE(YEAR(Indices[[#This Row],[Fecha]]),MONTH(Indices[[#This Row],[Fecha]]),1)&lt;='Planilla de datos'!$P$19,1,0)</f>
        <v>0</v>
      </c>
    </row>
    <row r="45" spans="1:12" x14ac:dyDescent="0.25">
      <c r="A45" s="33">
        <v>45536</v>
      </c>
      <c r="B45" s="130">
        <f>IF(C45=0,"",VLOOKUP('Planilla de datos'!$T$23,'SIPM (Actualización en $)'!$A$6:$C$54,3,FALSE)/C45)</f>
        <v>1.1293089815616619</v>
      </c>
      <c r="C45" s="306">
        <v>10665.282497251941</v>
      </c>
      <c r="D45" s="127">
        <f t="array" ref="D45">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45" s="128">
        <f t="array" ref="E45">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45" s="128">
        <f t="array" ref="F45">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45" s="128">
        <f t="array" ref="G45">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45" s="128">
        <f t="array" ref="H45">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45" s="128">
        <f t="array" ref="I45">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45" s="128">
        <f t="array" ref="J45">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45" s="129">
        <f>+SUM(Indices[[#This Row],[Cría]:[Guachera]])</f>
        <v>0</v>
      </c>
      <c r="L45" s="132">
        <f>IF(DATE(YEAR(Indices[[#This Row],[Fecha]]),MONTH(Indices[[#This Row],[Fecha]]),1)&gt;=DATE(YEAR('Planilla de datos'!$N$19-1),MONTH('Planilla de datos'!$N$19-1),1),1,0)*IF(DATE(YEAR(Indices[[#This Row],[Fecha]]),MONTH(Indices[[#This Row],[Fecha]]),1)&lt;='Planilla de datos'!$P$19,1,0)</f>
        <v>0</v>
      </c>
    </row>
    <row r="46" spans="1:12" x14ac:dyDescent="0.25">
      <c r="A46" s="33">
        <v>45566</v>
      </c>
      <c r="B46" s="130">
        <f>IF(C46=0,"",VLOOKUP('Planilla de datos'!$T$23,'SIPM (Actualización en $)'!$A$6:$C$54,3,FALSE)/C46)</f>
        <v>1.1161027019766283</v>
      </c>
      <c r="C46" s="306">
        <v>10791.479398543041</v>
      </c>
      <c r="D46" s="127">
        <f t="array" ref="D46">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46" s="128">
        <f t="array" ref="E46">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46" s="128">
        <f t="array" ref="F46">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46" s="128">
        <f t="array" ref="G46">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46" s="128">
        <f t="array" ref="H46">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46" s="128">
        <f t="array" ref="I46">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46" s="128">
        <f t="array" ref="J46">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46" s="129">
        <f>+SUM(Indices[[#This Row],[Cría]:[Guachera]])</f>
        <v>0</v>
      </c>
      <c r="L46" s="132">
        <f>IF(DATE(YEAR(Indices[[#This Row],[Fecha]]),MONTH(Indices[[#This Row],[Fecha]]),1)&gt;=DATE(YEAR('Planilla de datos'!$N$19-1),MONTH('Planilla de datos'!$N$19-1),1),1,0)*IF(DATE(YEAR(Indices[[#This Row],[Fecha]]),MONTH(Indices[[#This Row],[Fecha]]),1)&lt;='Planilla de datos'!$P$19,1,0)</f>
        <v>0</v>
      </c>
    </row>
    <row r="47" spans="1:12" x14ac:dyDescent="0.25">
      <c r="A47" s="33">
        <v>45597</v>
      </c>
      <c r="B47" s="130">
        <f>IF(C47=0,"",VLOOKUP('Planilla de datos'!$T$23,'SIPM (Actualización en $)'!$A$6:$C$54,3,FALSE)/C47)</f>
        <v>1.1008274353027987</v>
      </c>
      <c r="C47" s="306">
        <v>10941.223782023582</v>
      </c>
      <c r="D47" s="127">
        <f t="array" ref="D47">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47" s="128">
        <f t="array" ref="E47">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47" s="128">
        <f t="array" ref="F47">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47" s="128">
        <f t="array" ref="G47">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47" s="128">
        <f t="array" ref="H47">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47" s="128">
        <f t="array" ref="I47">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47" s="128">
        <f t="array" ref="J47">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47" s="129">
        <f>+SUM(Indices[[#This Row],[Cría]:[Guachera]])</f>
        <v>0</v>
      </c>
      <c r="L47" s="132">
        <f>IF(DATE(YEAR(Indices[[#This Row],[Fecha]]),MONTH(Indices[[#This Row],[Fecha]]),1)&gt;=DATE(YEAR('Planilla de datos'!$N$19-1),MONTH('Planilla de datos'!$N$19-1),1),1,0)*IF(DATE(YEAR(Indices[[#This Row],[Fecha]]),MONTH(Indices[[#This Row],[Fecha]]),1)&lt;='Planilla de datos'!$P$19,1,0)</f>
        <v>0</v>
      </c>
    </row>
    <row r="48" spans="1:12" x14ac:dyDescent="0.25">
      <c r="A48" s="33">
        <v>45627</v>
      </c>
      <c r="B48" s="130">
        <f>IF(C48=0,"",VLOOKUP('Planilla de datos'!$T$23,'SIPM (Actualización en $)'!$A$6:$C$54,3,FALSE)/C48)</f>
        <v>1.0915671125699979</v>
      </c>
      <c r="C48" s="306">
        <v>11034.043785618949</v>
      </c>
      <c r="D48" s="127">
        <f t="array" ref="D48">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48" s="128">
        <f t="array" ref="E48">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48" s="128">
        <f t="array" ref="F48">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48" s="128">
        <f t="array" ref="G48">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48" s="128">
        <f t="array" ref="H48">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48" s="128">
        <f t="array" ref="I48">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48" s="128">
        <f t="array" ref="J48">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48" s="129">
        <f>+SUM(Indices[[#This Row],[Cría]:[Guachera]])</f>
        <v>0</v>
      </c>
      <c r="L48" s="132">
        <f>IF(DATE(YEAR(Indices[[#This Row],[Fecha]]),MONTH(Indices[[#This Row],[Fecha]]),1)&gt;=DATE(YEAR('Planilla de datos'!$N$19-1),MONTH('Planilla de datos'!$N$19-1),1),1,0)*IF(DATE(YEAR(Indices[[#This Row],[Fecha]]),MONTH(Indices[[#This Row],[Fecha]]),1)&lt;='Planilla de datos'!$P$19,1,0)</f>
        <v>0</v>
      </c>
    </row>
    <row r="49" spans="1:14" x14ac:dyDescent="0.25">
      <c r="A49" s="33">
        <v>45658</v>
      </c>
      <c r="B49" s="130">
        <f>IF(C49=0,"",VLOOKUP('Planilla de datos'!$T$23,'SIPM (Actualización en $)'!$A$6:$C$54,3,FALSE)/C49)</f>
        <v>1.0753638022647338</v>
      </c>
      <c r="C49" s="306">
        <v>11200.301971921785</v>
      </c>
      <c r="D49" s="127">
        <f t="array" ref="D49">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49" s="128">
        <f t="array" ref="E49">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49" s="128">
        <f t="array" ref="F49">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49" s="128">
        <f t="array" ref="G49">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49" s="128">
        <f t="array" ref="H49">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49" s="128">
        <f t="array" ref="I49">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49" s="128">
        <f t="array" ref="J49">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49" s="129">
        <f>+SUM(Indices[[#This Row],[Cría]:[Guachera]])</f>
        <v>0</v>
      </c>
      <c r="L49" s="132">
        <f>IF(DATE(YEAR(Indices[[#This Row],[Fecha]]),MONTH(Indices[[#This Row],[Fecha]]),1)&gt;=DATE(YEAR('Planilla de datos'!$N$19-1),MONTH('Planilla de datos'!$N$19-1),1),1,0)*IF(DATE(YEAR(Indices[[#This Row],[Fecha]]),MONTH(Indices[[#This Row],[Fecha]]),1)&lt;='Planilla de datos'!$P$19,1,0)</f>
        <v>0</v>
      </c>
    </row>
    <row r="50" spans="1:14" x14ac:dyDescent="0.25">
      <c r="A50" s="33">
        <v>45689</v>
      </c>
      <c r="B50" s="130">
        <f>IF(C50=0,"",VLOOKUP('Planilla de datos'!$T$23,'SIPM (Actualización en $)'!$A$6:$C$54,3,FALSE)/C50)</f>
        <v>1.0580064859817802</v>
      </c>
      <c r="C50" s="306">
        <v>11384.050546592229</v>
      </c>
      <c r="D50" s="127">
        <f t="array" ref="D50">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50" s="128">
        <f t="array" ref="E50">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50" s="128">
        <f t="array" ref="F50">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50" s="128">
        <f t="array" ref="G50">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50" s="128">
        <f t="array" ref="H50">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50" s="128">
        <f t="array" ref="I50">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50" s="128">
        <f t="array" ref="J50">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50" s="129">
        <f>+SUM(Indices[[#This Row],[Cría]:[Guachera]])</f>
        <v>0</v>
      </c>
      <c r="L50" s="132">
        <f>IF(DATE(YEAR(Indices[[#This Row],[Fecha]]),MONTH(Indices[[#This Row],[Fecha]]),1)&gt;=DATE(YEAR('Planilla de datos'!$N$19-1),MONTH('Planilla de datos'!$N$19-1),1),1,0)*IF(DATE(YEAR(Indices[[#This Row],[Fecha]]),MONTH(Indices[[#This Row],[Fecha]]),1)&lt;='Planilla de datos'!$P$19,1,0)</f>
        <v>0</v>
      </c>
    </row>
    <row r="51" spans="1:14" x14ac:dyDescent="0.25">
      <c r="A51" s="33">
        <v>45717</v>
      </c>
      <c r="B51" s="130">
        <f>IF(C51=0,"",VLOOKUP('Planilla de datos'!$T$23,'SIPM (Actualización en $)'!$A$6:$C$54,3,FALSE)/C51)</f>
        <v>1.0425494579161441</v>
      </c>
      <c r="C51" s="306">
        <v>11552.832552532756</v>
      </c>
      <c r="D51" s="127">
        <f t="array" ref="D51">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51" s="128">
        <f t="array" ref="E51">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51" s="128">
        <f t="array" ref="F51">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51" s="128">
        <f t="array" ref="G51">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51" s="128">
        <f t="array" ref="H51">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51" s="128">
        <f t="array" ref="I51">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51" s="128">
        <f t="array" ref="J51">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51" s="129">
        <f>+SUM(Indices[[#This Row],[Cría]:[Guachera]])</f>
        <v>0</v>
      </c>
      <c r="L51" s="132">
        <f>IF(DATE(YEAR(Indices[[#This Row],[Fecha]]),MONTH(Indices[[#This Row],[Fecha]]),1)&gt;=DATE(YEAR('Planilla de datos'!$N$19-1),MONTH('Planilla de datos'!$N$19-1),1),1,0)*IF(DATE(YEAR(Indices[[#This Row],[Fecha]]),MONTH(Indices[[#This Row],[Fecha]]),1)&lt;='Planilla de datos'!$P$19,1,0)</f>
        <v>0</v>
      </c>
    </row>
    <row r="52" spans="1:14" x14ac:dyDescent="0.25">
      <c r="A52" s="33">
        <v>45748</v>
      </c>
      <c r="B52" s="130">
        <f>IF(C52=0,"",VLOOKUP('Planilla de datos'!$T$23,'SIPM (Actualización en $)'!$A$6:$C$54,3,FALSE)/C52)</f>
        <v>1.0138169741989473</v>
      </c>
      <c r="C52" s="306">
        <v>11880.250204486576</v>
      </c>
      <c r="D52" s="127">
        <f t="array" ref="D52">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52" s="128">
        <f t="array" ref="E52">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52" s="128">
        <f t="array" ref="F52">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52" s="128">
        <f t="array" ref="G52">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52" s="128">
        <f t="array" ref="H52">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52" s="128">
        <f t="array" ref="I52">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52" s="128">
        <f t="array" ref="J52">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52" s="129">
        <f>+SUM(Indices[[#This Row],[Cría]:[Guachera]])</f>
        <v>0</v>
      </c>
      <c r="L52" s="132">
        <f>IF(DATE(YEAR(Indices[[#This Row],[Fecha]]),MONTH(Indices[[#This Row],[Fecha]]),1)&gt;=DATE(YEAR('Planilla de datos'!$N$19-1),MONTH('Planilla de datos'!$N$19-1),1),1,0)*IF(DATE(YEAR(Indices[[#This Row],[Fecha]]),MONTH(Indices[[#This Row],[Fecha]]),1)&lt;='Planilla de datos'!$P$19,1,0)</f>
        <v>0</v>
      </c>
    </row>
    <row r="53" spans="1:14" x14ac:dyDescent="0.25">
      <c r="A53" s="33">
        <v>45778</v>
      </c>
      <c r="B53" s="130">
        <f>IF(C53=0,"",VLOOKUP('Planilla de datos'!$T$23,'SIPM (Actualización en $)'!$A$6:$C$54,3,FALSE)/C53)</f>
        <v>1.01645830783421</v>
      </c>
      <c r="C53" s="306">
        <v>11849.378594486843</v>
      </c>
      <c r="D53" s="127">
        <f t="array" ref="D53">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53" s="128">
        <f t="array" ref="E53">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53" s="128">
        <f t="array" ref="F53">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53" s="128">
        <f t="array" ref="G53">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53" s="128">
        <f t="array" ref="H53">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53" s="128">
        <f t="array" ref="I53">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53" s="128">
        <f t="array" ref="J53">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53" s="129">
        <f>+SUM(Indices[[#This Row],[Cría]:[Guachera]])</f>
        <v>0</v>
      </c>
      <c r="L53" s="132">
        <f>IF(DATE(YEAR(Indices[[#This Row],[Fecha]]),MONTH(Indices[[#This Row],[Fecha]]),1)&gt;=DATE(YEAR('Planilla de datos'!$N$19-1),MONTH('Planilla de datos'!$N$19-1),1),1,0)*IF(DATE(YEAR(Indices[[#This Row],[Fecha]]),MONTH(Indices[[#This Row],[Fecha]]),1)&lt;='Planilla de datos'!$P$19,1,0)</f>
        <v>0</v>
      </c>
    </row>
    <row r="54" spans="1:14" x14ac:dyDescent="0.25">
      <c r="A54" s="33">
        <v>45809</v>
      </c>
      <c r="B54" s="130">
        <f>IF(C54=0,"",VLOOKUP('Planilla de datos'!$T$23,'SIPM (Actualización en $)'!$A$6:$C$54,3,FALSE)/C54)</f>
        <v>1</v>
      </c>
      <c r="C54" s="306">
        <v>12044.399315039007</v>
      </c>
      <c r="D54" s="127">
        <f t="array" ref="D54">IF(Indices[[#This Row],[Meses activos]]=0,0,(SUMPRODUCT((TablaInventarios[Cab.])*(TablaInventarios[Actividad]=Indices[[#Headers],[Cría]]))+SUMPRODUCT((TablaMovimientos[Cab.])*(TablaMovimientos[Fecha]&lt;=Indices[[#This Row],[Fecha]])*(TablaMovimientos[Actividad]=Indices[[#Headers],[Cría]])))-(SUMPRODUCT((TablaInventarios[Cab.])*(TablaInventarios[Actividad]=Indices[[#Headers],[Cría]])*(TablaInventarios[Categoría]="Terneros al pie"))+SUMPRODUCT((TablaMovimientos[Cab.])*(TablaMovimientos[Fecha]&lt;=Indices[[#This Row],[Fecha]])*(TablaMovimientos[Actividad]=Indices[[#Headers],[Cría]])*(TablaMovimientos[Categoría]="Terneros al pie"))))</f>
        <v>0</v>
      </c>
      <c r="E54" s="128">
        <f t="array" ref="E54">IF(Indices[[#This Row],[Meses activos]]=0,0,(SUMPRODUCT((TablaInventarios[Cab.])*(TablaInventarios[Actividad]=Indices[[#Headers],[Recría]]))+SUMPRODUCT((TablaMovimientos[Cab.])*(TablaMovimientos[Fecha]&lt;=Indices[[#This Row],[Fecha]])*(TablaMovimientos[Actividad]=Indices[[#Headers],[Recría]])))-(SUMPRODUCT((TablaInventarios[Cab.])*(TablaInventarios[Actividad]=Indices[[#Headers],[Recría]])*(TablaInventarios[Categoría]="Terneros al pie"))+SUMPRODUCT((TablaMovimientos[Cab.])*(TablaMovimientos[Fecha]&lt;=Indices[[#This Row],[Fecha]])*(TablaMovimientos[Actividad]=Indices[[#Headers],[Recría]])*(TablaMovimientos[Categoría]="Terneros al pie"))))</f>
        <v>0</v>
      </c>
      <c r="F54" s="128">
        <f t="array" ref="F54">IF(Indices[[#This Row],[Meses activos]]=0,0,(SUMPRODUCT((TablaInventarios[Cab.])*(TablaInventarios[Actividad]=Indices[[#Headers],[Invernada]]))+SUMPRODUCT((TablaMovimientos[Cab.])*(TablaMovimientos[Fecha]&lt;=Indices[[#This Row],[Fecha]])*(TablaMovimientos[Actividad]=Indices[[#Headers],[Invernada]])))-(SUMPRODUCT((TablaInventarios[Cab.])*(TablaInventarios[Actividad]=Indices[[#Headers],[Invernada]])*(TablaInventarios[Categoría]="Terneros al pie"))+SUMPRODUCT((TablaMovimientos[Cab.])*(TablaMovimientos[Fecha]&lt;=Indices[[#This Row],[Fecha]])*(TablaMovimientos[Actividad]=Indices[[#Headers],[Invernada]])*(TablaMovimientos[Categoría]="Terneros al pie"))))</f>
        <v>0</v>
      </c>
      <c r="G54" s="128">
        <f t="array" ref="G54">IF(Indices[[#This Row],[Meses activos]]=0,0,(SUMPRODUCT((TablaInventarios[Cab.])*(TablaInventarios[Actividad]=Indices[[#Headers],[Feed-lot]]))+SUMPRODUCT((TablaMovimientos[Cab.])*(TablaMovimientos[Fecha]&lt;=Indices[[#This Row],[Fecha]])*(TablaMovimientos[Actividad]=Indices[[#Headers],[Feed-lot]])))-(SUMPRODUCT((TablaInventarios[Cab.])*(TablaInventarios[Actividad]=Indices[[#Headers],[Feed-lot]])*(TablaInventarios[Categoría]="Terneros al pie"))+SUMPRODUCT((TablaMovimientos[Cab.])*(TablaMovimientos[Fecha]&lt;=Indices[[#This Row],[Fecha]])*(TablaMovimientos[Actividad]=Indices[[#Headers],[Feed-lot]])*(TablaMovimientos[Categoría]="Terneros al pie"))))</f>
        <v>0</v>
      </c>
      <c r="H54" s="128">
        <f t="array" ref="H54">IF(Indices[[#This Row],[Meses activos]]=0,0,(SUMPRODUCT((TablaInventarios[Cab.])*(TablaInventarios[Actividad]=Indices[[#Headers],[Cabaña]]))+SUMPRODUCT((TablaMovimientos[Cab.])*(TablaMovimientos[Fecha]&lt;=Indices[[#This Row],[Fecha]])*(TablaMovimientos[Actividad]=Indices[[#Headers],[Cabaña]])))-(SUMPRODUCT((TablaInventarios[Cab.])*(TablaInventarios[Actividad]=Indices[[#Headers],[Cabaña]])*(TablaInventarios[Categoría]="Terneros al pie"))+SUMPRODUCT((TablaMovimientos[Cab.])*(TablaMovimientos[Fecha]&lt;=Indices[[#This Row],[Fecha]])*(TablaMovimientos[Actividad]=Indices[[#Headers],[Cabaña]])*(TablaMovimientos[Categoría]="Terneros al pie"))))</f>
        <v>0</v>
      </c>
      <c r="I54" s="128">
        <f t="array" ref="I54">IF(Indices[[#This Row],[Meses activos]]=0,0,(SUMPRODUCT((TablaInventarios[Cab.])*(TablaInventarios[Actividad]=Indices[[#Headers],[Tambo]]))+SUMPRODUCT((TablaMovimientos[Cab.])*(TablaMovimientos[Fecha]&lt;=Indices[[#This Row],[Fecha]])*(TablaMovimientos[Actividad]=Indices[[#Headers],[Tambo]])))-(SUMPRODUCT((TablaInventarios[Cab.])*(TablaInventarios[Actividad]=Indices[[#Headers],[Tambo]])*(TablaInventarios[Categoría]="Terneros al pie"))+SUMPRODUCT((TablaMovimientos[Cab.])*(TablaMovimientos[Fecha]&lt;=Indices[[#This Row],[Fecha]])*(TablaMovimientos[Actividad]=Indices[[#Headers],[Tambo]])*(TablaMovimientos[Categoría]="Terneros al pie"))))</f>
        <v>0</v>
      </c>
      <c r="J54" s="128">
        <f t="array" ref="J54">IF(Indices[[#This Row],[Meses activos]]=0,0,(SUMPRODUCT((TablaInventarios[Cab.])*(TablaInventarios[Actividad]=Indices[[#Headers],[Guachera]]))+SUMPRODUCT((TablaMovimientos[Cab.])*(TablaMovimientos[Fecha]&lt;=Indices[[#This Row],[Fecha]])*(TablaMovimientos[Actividad]=Indices[[#Headers],[Guachera]])))-(SUMPRODUCT((TablaInventarios[Cab.])*(TablaInventarios[Actividad]=Indices[[#Headers],[Guachera]])*(TablaInventarios[Categoría]="Terneros al pie"))+SUMPRODUCT((TablaMovimientos[Cab.])*(TablaMovimientos[Fecha]&lt;=Indices[[#This Row],[Fecha]])*(TablaMovimientos[Actividad]=Indices[[#Headers],[Guachera]])*(TablaMovimientos[Categoría]="Terneros al pie"))))</f>
        <v>0</v>
      </c>
      <c r="K54" s="129">
        <f>+SUM(Indices[[#This Row],[Cría]:[Guachera]])</f>
        <v>0</v>
      </c>
      <c r="L54" s="132">
        <f>IF(DATE(YEAR(Indices[[#This Row],[Fecha]]),MONTH(Indices[[#This Row],[Fecha]]),1)&gt;=DATE(YEAR('Planilla de datos'!$N$19-1),MONTH('Planilla de datos'!$N$19-1),1),1,0)*IF(DATE(YEAR(Indices[[#This Row],[Fecha]]),MONTH(Indices[[#This Row],[Fecha]]),1)&lt;='Planilla de datos'!$P$19,1,0)</f>
        <v>0</v>
      </c>
    </row>
    <row r="62" spans="1:14" x14ac:dyDescent="0.25">
      <c r="C62" s="194"/>
      <c r="D62" s="194"/>
      <c r="E62" s="194"/>
      <c r="F62" s="194"/>
      <c r="G62" s="194"/>
      <c r="H62" s="194"/>
      <c r="I62" s="194"/>
      <c r="J62" s="194"/>
      <c r="K62" s="194"/>
      <c r="L62" s="194"/>
      <c r="M62" s="194"/>
      <c r="N62" s="194"/>
    </row>
    <row r="75" spans="3:13" x14ac:dyDescent="0.25">
      <c r="C75" s="161">
        <v>809.37168740717391</v>
      </c>
      <c r="D75" s="161">
        <v>831.99366997019149</v>
      </c>
      <c r="E75" s="161">
        <v>855.68247177400372</v>
      </c>
      <c r="F75" s="161">
        <v>880.88864612376449</v>
      </c>
      <c r="G75" s="161">
        <v>900.78036666067555</v>
      </c>
      <c r="H75" s="161">
        <v>934.33619002336945</v>
      </c>
      <c r="I75" s="161">
        <v>978.60325697028588</v>
      </c>
      <c r="J75" s="161">
        <v>1040.5419938330967</v>
      </c>
      <c r="K75" s="161">
        <v>1101.9533166314045</v>
      </c>
      <c r="L75" s="161">
        <v>1158.9222798841117</v>
      </c>
      <c r="M75" s="161">
        <v>1214.824148470205</v>
      </c>
    </row>
    <row r="77" spans="3:13" x14ac:dyDescent="0.25">
      <c r="C77">
        <v>809.37168740717391</v>
      </c>
    </row>
    <row r="78" spans="3:13" x14ac:dyDescent="0.25">
      <c r="C78">
        <v>831.99366997019149</v>
      </c>
    </row>
    <row r="79" spans="3:13" x14ac:dyDescent="0.25">
      <c r="C79">
        <v>855.68247177400372</v>
      </c>
    </row>
    <row r="80" spans="3:13" x14ac:dyDescent="0.25">
      <c r="C80">
        <v>880.88864612376449</v>
      </c>
    </row>
    <row r="81" spans="3:3" x14ac:dyDescent="0.25">
      <c r="C81">
        <v>900.78036666067555</v>
      </c>
    </row>
    <row r="82" spans="3:3" x14ac:dyDescent="0.25">
      <c r="C82">
        <v>934.33619002336945</v>
      </c>
    </row>
    <row r="83" spans="3:3" x14ac:dyDescent="0.25">
      <c r="C83">
        <v>978.60325697028588</v>
      </c>
    </row>
    <row r="84" spans="3:3" x14ac:dyDescent="0.25">
      <c r="C84">
        <v>1040.5419938330967</v>
      </c>
    </row>
    <row r="85" spans="3:3" x14ac:dyDescent="0.25">
      <c r="C85">
        <v>1101.9533166314045</v>
      </c>
    </row>
    <row r="86" spans="3:3" x14ac:dyDescent="0.25">
      <c r="C86">
        <v>1158.9222798841117</v>
      </c>
    </row>
    <row r="87" spans="3:3" x14ac:dyDescent="0.25">
      <c r="C87">
        <v>1214.824148470205</v>
      </c>
    </row>
  </sheetData>
  <sortState xmlns:xlrd2="http://schemas.microsoft.com/office/spreadsheetml/2017/richdata2" ref="A5:A24">
    <sortCondition ref="A5:A24"/>
  </sortState>
  <conditionalFormatting sqref="N69:R70">
    <cfRule type="expression" priority="1">
      <formula>$L$4=13</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ED530-3BFA-4425-8004-E81D1325DBF7}">
  <sheetPr>
    <tabColor rgb="FF009900"/>
  </sheetPr>
  <dimension ref="A1:O937"/>
  <sheetViews>
    <sheetView showGridLines="0" workbookViewId="0">
      <pane ySplit="4" topLeftCell="A922" activePane="bottomLeft" state="frozen"/>
      <selection pane="bottomLeft" activeCell="A937" sqref="A937"/>
    </sheetView>
  </sheetViews>
  <sheetFormatPr baseColWidth="10" defaultRowHeight="15" x14ac:dyDescent="0.25"/>
  <cols>
    <col min="1" max="3" width="12.7109375" customWidth="1"/>
    <col min="6" max="6" width="12.42578125" bestFit="1" customWidth="1"/>
    <col min="10" max="10" width="11.28515625" bestFit="1" customWidth="1"/>
    <col min="11" max="11" width="13" bestFit="1" customWidth="1"/>
    <col min="13" max="13" width="11.28515625" bestFit="1" customWidth="1"/>
  </cols>
  <sheetData>
    <row r="1" spans="1:12" ht="23.25" x14ac:dyDescent="0.35">
      <c r="A1" s="165" t="s">
        <v>127</v>
      </c>
      <c r="F1" s="165" t="s">
        <v>126</v>
      </c>
      <c r="K1" s="165" t="s">
        <v>138</v>
      </c>
    </row>
    <row r="2" spans="1:12" x14ac:dyDescent="0.25">
      <c r="A2" s="71" t="s">
        <v>135</v>
      </c>
      <c r="F2" s="71" t="s">
        <v>136</v>
      </c>
      <c r="K2" s="71" t="s">
        <v>139</v>
      </c>
    </row>
    <row r="4" spans="1:12" ht="15.75" thickBot="1" x14ac:dyDescent="0.3">
      <c r="A4" s="166" t="s">
        <v>4</v>
      </c>
      <c r="B4" s="168" t="s">
        <v>12</v>
      </c>
      <c r="C4" s="169" t="s">
        <v>9</v>
      </c>
      <c r="F4" s="162" t="s">
        <v>4</v>
      </c>
      <c r="G4" s="170" t="s">
        <v>12</v>
      </c>
      <c r="H4" s="170" t="s">
        <v>9</v>
      </c>
      <c r="K4" s="188" t="s">
        <v>4</v>
      </c>
      <c r="L4" s="189" t="s">
        <v>137</v>
      </c>
    </row>
    <row r="5" spans="1:12" ht="15.75" thickBot="1" x14ac:dyDescent="0.3">
      <c r="A5" s="173">
        <v>43462</v>
      </c>
      <c r="B5" s="163">
        <v>36.83</v>
      </c>
      <c r="C5" s="163">
        <v>38.83</v>
      </c>
      <c r="F5" s="172">
        <v>43462</v>
      </c>
      <c r="G5" s="164">
        <v>38.5</v>
      </c>
      <c r="H5" s="164">
        <v>40.5</v>
      </c>
      <c r="K5" s="185">
        <v>43462</v>
      </c>
    </row>
    <row r="6" spans="1:12" ht="15.75" thickBot="1" x14ac:dyDescent="0.3">
      <c r="A6" s="172">
        <v>43467</v>
      </c>
      <c r="B6" s="164">
        <v>36.770000000000003</v>
      </c>
      <c r="C6" s="164">
        <v>38.770000000000003</v>
      </c>
      <c r="F6" s="173">
        <v>43467</v>
      </c>
      <c r="G6" s="163">
        <v>38.5</v>
      </c>
      <c r="H6" s="163">
        <v>40.5</v>
      </c>
      <c r="K6" s="186">
        <v>43467</v>
      </c>
    </row>
    <row r="7" spans="1:12" ht="15.75" thickBot="1" x14ac:dyDescent="0.3">
      <c r="A7" s="173">
        <v>43468</v>
      </c>
      <c r="B7" s="163">
        <v>36.51</v>
      </c>
      <c r="C7" s="163">
        <v>38.51</v>
      </c>
      <c r="F7" s="172">
        <v>43468</v>
      </c>
      <c r="G7" s="164">
        <v>38.25</v>
      </c>
      <c r="H7" s="164">
        <v>40.25</v>
      </c>
      <c r="K7" s="185">
        <v>43468</v>
      </c>
    </row>
    <row r="8" spans="1:12" ht="15.75" thickBot="1" x14ac:dyDescent="0.3">
      <c r="A8" s="172">
        <v>43469</v>
      </c>
      <c r="B8" s="164">
        <v>36.42</v>
      </c>
      <c r="C8" s="164">
        <v>38.42</v>
      </c>
      <c r="F8" s="173">
        <v>43469</v>
      </c>
      <c r="G8" s="163">
        <v>38</v>
      </c>
      <c r="H8" s="163">
        <v>40</v>
      </c>
      <c r="K8" s="186">
        <v>43469</v>
      </c>
    </row>
    <row r="9" spans="1:12" ht="15.75" thickBot="1" x14ac:dyDescent="0.3">
      <c r="A9" s="173">
        <v>43472</v>
      </c>
      <c r="B9" s="163">
        <v>36.409999999999997</v>
      </c>
      <c r="C9" s="163">
        <v>38.409999999999997</v>
      </c>
      <c r="F9" s="172">
        <v>43472</v>
      </c>
      <c r="G9" s="164">
        <v>37.5</v>
      </c>
      <c r="H9" s="164">
        <v>39.5</v>
      </c>
      <c r="K9" s="185">
        <v>43472</v>
      </c>
    </row>
    <row r="10" spans="1:12" ht="15.75" thickBot="1" x14ac:dyDescent="0.3">
      <c r="A10" s="172">
        <v>43473</v>
      </c>
      <c r="B10" s="164">
        <v>36.61</v>
      </c>
      <c r="C10" s="164">
        <v>38.61</v>
      </c>
      <c r="F10" s="173">
        <v>43473</v>
      </c>
      <c r="G10" s="163">
        <v>37.25</v>
      </c>
      <c r="H10" s="163">
        <v>39.25</v>
      </c>
      <c r="K10" s="186">
        <v>43473</v>
      </c>
    </row>
    <row r="11" spans="1:12" ht="15.75" thickBot="1" x14ac:dyDescent="0.3">
      <c r="A11" s="173">
        <v>43474</v>
      </c>
      <c r="B11" s="163">
        <v>36.49</v>
      </c>
      <c r="C11" s="163">
        <v>38.49</v>
      </c>
      <c r="F11" s="172">
        <v>43474</v>
      </c>
      <c r="G11" s="164">
        <v>37.75</v>
      </c>
      <c r="H11" s="164">
        <v>39.75</v>
      </c>
      <c r="K11" s="185">
        <v>43474</v>
      </c>
    </row>
    <row r="12" spans="1:12" ht="15.75" thickBot="1" x14ac:dyDescent="0.3">
      <c r="A12" s="172">
        <v>43475</v>
      </c>
      <c r="B12" s="164">
        <v>36.18</v>
      </c>
      <c r="C12" s="164">
        <v>38.18</v>
      </c>
      <c r="F12" s="173">
        <v>43475</v>
      </c>
      <c r="G12" s="163">
        <v>37.25</v>
      </c>
      <c r="H12" s="163">
        <v>39.25</v>
      </c>
      <c r="K12" s="186">
        <v>43475</v>
      </c>
    </row>
    <row r="13" spans="1:12" ht="15.75" thickBot="1" x14ac:dyDescent="0.3">
      <c r="A13" s="173">
        <v>43476</v>
      </c>
      <c r="B13" s="163">
        <v>36.03</v>
      </c>
      <c r="C13" s="163">
        <v>38.03</v>
      </c>
      <c r="F13" s="172">
        <v>43476</v>
      </c>
      <c r="G13" s="164">
        <v>37.25</v>
      </c>
      <c r="H13" s="164">
        <v>39.25</v>
      </c>
      <c r="K13" s="185">
        <v>43476</v>
      </c>
    </row>
    <row r="14" spans="1:12" ht="15.75" thickBot="1" x14ac:dyDescent="0.3">
      <c r="A14" s="172">
        <v>43479</v>
      </c>
      <c r="B14" s="164">
        <v>36.06</v>
      </c>
      <c r="C14" s="164">
        <v>38.06</v>
      </c>
      <c r="F14" s="173">
        <v>43479</v>
      </c>
      <c r="G14" s="163">
        <v>37.25</v>
      </c>
      <c r="H14" s="163">
        <v>39</v>
      </c>
      <c r="K14" s="186">
        <v>43479</v>
      </c>
    </row>
    <row r="15" spans="1:12" ht="15.75" thickBot="1" x14ac:dyDescent="0.3">
      <c r="A15" s="173">
        <v>43480</v>
      </c>
      <c r="B15" s="163">
        <v>36.200000000000003</v>
      </c>
      <c r="C15" s="163">
        <v>38.200000000000003</v>
      </c>
      <c r="F15" s="172">
        <v>43480</v>
      </c>
      <c r="G15" s="164">
        <v>37.25</v>
      </c>
      <c r="H15" s="164">
        <v>39.25</v>
      </c>
      <c r="K15" s="185">
        <v>43480</v>
      </c>
    </row>
    <row r="16" spans="1:12" ht="15.75" thickBot="1" x14ac:dyDescent="0.3">
      <c r="A16" s="172">
        <v>43481</v>
      </c>
      <c r="B16" s="164">
        <v>36.479999999999997</v>
      </c>
      <c r="C16" s="164">
        <v>38.479999999999997</v>
      </c>
      <c r="F16" s="173">
        <v>43481</v>
      </c>
      <c r="G16" s="163">
        <v>37.25</v>
      </c>
      <c r="H16" s="163">
        <v>39.25</v>
      </c>
      <c r="K16" s="186">
        <v>43481</v>
      </c>
    </row>
    <row r="17" spans="1:11" ht="15.75" thickBot="1" x14ac:dyDescent="0.3">
      <c r="A17" s="173">
        <v>43482</v>
      </c>
      <c r="B17" s="163">
        <v>36.75</v>
      </c>
      <c r="C17" s="163">
        <v>38.75</v>
      </c>
      <c r="F17" s="172">
        <v>43482</v>
      </c>
      <c r="G17" s="164">
        <v>37</v>
      </c>
      <c r="H17" s="164">
        <v>39</v>
      </c>
      <c r="K17" s="185">
        <v>43482</v>
      </c>
    </row>
    <row r="18" spans="1:11" ht="15.75" thickBot="1" x14ac:dyDescent="0.3">
      <c r="A18" s="172">
        <v>43483</v>
      </c>
      <c r="B18" s="164">
        <v>36.630000000000003</v>
      </c>
      <c r="C18" s="164">
        <v>38.630000000000003</v>
      </c>
      <c r="F18" s="173">
        <v>43483</v>
      </c>
      <c r="G18" s="163">
        <v>37</v>
      </c>
      <c r="H18" s="163">
        <v>39</v>
      </c>
      <c r="K18" s="186">
        <v>43483</v>
      </c>
    </row>
    <row r="19" spans="1:11" ht="15.75" thickBot="1" x14ac:dyDescent="0.3">
      <c r="A19" s="173">
        <v>43486</v>
      </c>
      <c r="B19" s="163">
        <v>36.729999999999997</v>
      </c>
      <c r="C19" s="163">
        <v>38.729999999999997</v>
      </c>
      <c r="F19" s="172">
        <v>43486</v>
      </c>
      <c r="G19" s="164">
        <v>36.75</v>
      </c>
      <c r="H19" s="164">
        <v>38.75</v>
      </c>
      <c r="K19" s="185">
        <v>43486</v>
      </c>
    </row>
    <row r="20" spans="1:11" ht="15.75" thickBot="1" x14ac:dyDescent="0.3">
      <c r="A20" s="172">
        <v>43487</v>
      </c>
      <c r="B20" s="164">
        <v>36.53</v>
      </c>
      <c r="C20" s="164">
        <v>38.53</v>
      </c>
      <c r="F20" s="173">
        <v>43487</v>
      </c>
      <c r="G20" s="163">
        <v>36.75</v>
      </c>
      <c r="H20" s="163">
        <v>38.75</v>
      </c>
      <c r="K20" s="186">
        <v>43487</v>
      </c>
    </row>
    <row r="21" spans="1:11" ht="15.75" thickBot="1" x14ac:dyDescent="0.3">
      <c r="A21" s="173">
        <v>43488</v>
      </c>
      <c r="B21" s="163">
        <v>36.58</v>
      </c>
      <c r="C21" s="163">
        <v>38.58</v>
      </c>
      <c r="F21" s="172">
        <v>43488</v>
      </c>
      <c r="G21" s="164">
        <v>37</v>
      </c>
      <c r="H21" s="164">
        <v>39</v>
      </c>
      <c r="K21" s="185">
        <v>43488</v>
      </c>
    </row>
    <row r="22" spans="1:11" ht="15.75" thickBot="1" x14ac:dyDescent="0.3">
      <c r="A22" s="172">
        <v>43489</v>
      </c>
      <c r="B22" s="164">
        <v>36.479999999999997</v>
      </c>
      <c r="C22" s="164">
        <v>38.479999999999997</v>
      </c>
      <c r="F22" s="173">
        <v>43489</v>
      </c>
      <c r="G22" s="163">
        <v>36.5</v>
      </c>
      <c r="H22" s="163">
        <v>38.5</v>
      </c>
      <c r="K22" s="186">
        <v>43489</v>
      </c>
    </row>
    <row r="23" spans="1:11" ht="15.75" thickBot="1" x14ac:dyDescent="0.3">
      <c r="A23" s="173">
        <v>43490</v>
      </c>
      <c r="B23" s="163">
        <v>36.03</v>
      </c>
      <c r="C23" s="163">
        <v>38.03</v>
      </c>
      <c r="F23" s="172">
        <v>43490</v>
      </c>
      <c r="G23" s="164">
        <v>36.25</v>
      </c>
      <c r="H23" s="164">
        <v>38.25</v>
      </c>
      <c r="K23" s="185">
        <v>43490</v>
      </c>
    </row>
    <row r="24" spans="1:11" ht="15.75" thickBot="1" x14ac:dyDescent="0.3">
      <c r="A24" s="172">
        <v>43493</v>
      </c>
      <c r="B24" s="164">
        <v>36.15</v>
      </c>
      <c r="C24" s="164">
        <v>38.15</v>
      </c>
      <c r="F24" s="173">
        <v>43493</v>
      </c>
      <c r="G24" s="163">
        <v>36.25</v>
      </c>
      <c r="H24" s="163">
        <v>38.25</v>
      </c>
      <c r="K24" s="186">
        <v>43493</v>
      </c>
    </row>
    <row r="25" spans="1:11" ht="15.75" thickBot="1" x14ac:dyDescent="0.3">
      <c r="A25" s="173">
        <v>43494</v>
      </c>
      <c r="B25" s="163">
        <v>36.6</v>
      </c>
      <c r="C25" s="163">
        <v>38.6</v>
      </c>
      <c r="F25" s="172">
        <v>43494</v>
      </c>
      <c r="G25" s="164">
        <v>36.5</v>
      </c>
      <c r="H25" s="164">
        <v>38.5</v>
      </c>
      <c r="K25" s="185">
        <v>43494</v>
      </c>
    </row>
    <row r="26" spans="1:11" ht="15.75" thickBot="1" x14ac:dyDescent="0.3">
      <c r="A26" s="172">
        <v>43495</v>
      </c>
      <c r="B26" s="164">
        <v>36.65</v>
      </c>
      <c r="C26" s="164">
        <v>38.65</v>
      </c>
      <c r="F26" s="173">
        <v>43495</v>
      </c>
      <c r="G26" s="163">
        <v>36.25</v>
      </c>
      <c r="H26" s="163">
        <v>38.25</v>
      </c>
      <c r="K26" s="186">
        <v>43495</v>
      </c>
    </row>
    <row r="27" spans="1:11" ht="15.75" thickBot="1" x14ac:dyDescent="0.3">
      <c r="A27" s="173">
        <v>43496</v>
      </c>
      <c r="B27" s="163">
        <v>36.31</v>
      </c>
      <c r="C27" s="163">
        <v>38.31</v>
      </c>
      <c r="F27" s="172">
        <v>43496</v>
      </c>
      <c r="G27" s="164">
        <v>35.5</v>
      </c>
      <c r="H27" s="164">
        <v>37.5</v>
      </c>
      <c r="K27" s="185">
        <v>43496</v>
      </c>
    </row>
    <row r="28" spans="1:11" ht="15.75" thickBot="1" x14ac:dyDescent="0.3">
      <c r="A28" s="172">
        <v>43497</v>
      </c>
      <c r="B28" s="164">
        <v>36.31</v>
      </c>
      <c r="C28" s="164">
        <v>38.31</v>
      </c>
      <c r="F28" s="173">
        <v>43497</v>
      </c>
      <c r="G28" s="163">
        <v>35.75</v>
      </c>
      <c r="H28" s="163">
        <v>37.75</v>
      </c>
      <c r="K28" s="186">
        <v>43497</v>
      </c>
    </row>
    <row r="29" spans="1:11" ht="15.75" thickBot="1" x14ac:dyDescent="0.3">
      <c r="A29" s="173">
        <v>43500</v>
      </c>
      <c r="B29" s="163">
        <v>36.29</v>
      </c>
      <c r="C29" s="163">
        <v>38.29</v>
      </c>
      <c r="F29" s="172">
        <v>43500</v>
      </c>
      <c r="G29" s="164">
        <v>35.5</v>
      </c>
      <c r="H29" s="164">
        <v>37.5</v>
      </c>
      <c r="K29" s="185">
        <v>43500</v>
      </c>
    </row>
    <row r="30" spans="1:11" ht="15.75" thickBot="1" x14ac:dyDescent="0.3">
      <c r="A30" s="172">
        <v>43501</v>
      </c>
      <c r="B30" s="164">
        <v>36.28</v>
      </c>
      <c r="C30" s="164">
        <v>38.28</v>
      </c>
      <c r="F30" s="173">
        <v>43501</v>
      </c>
      <c r="G30" s="163">
        <v>35.299999999999997</v>
      </c>
      <c r="H30" s="163">
        <v>37.299999999999997</v>
      </c>
      <c r="K30" s="186">
        <v>43501</v>
      </c>
    </row>
    <row r="31" spans="1:11" ht="15.75" thickBot="1" x14ac:dyDescent="0.3">
      <c r="A31" s="173">
        <v>43502</v>
      </c>
      <c r="B31" s="163">
        <v>36.590000000000003</v>
      </c>
      <c r="C31" s="163">
        <v>38.590000000000003</v>
      </c>
      <c r="F31" s="172">
        <v>43502</v>
      </c>
      <c r="G31" s="164">
        <v>35.25</v>
      </c>
      <c r="H31" s="164">
        <v>37.25</v>
      </c>
      <c r="K31" s="185">
        <v>43502</v>
      </c>
    </row>
    <row r="32" spans="1:11" ht="15.75" thickBot="1" x14ac:dyDescent="0.3">
      <c r="A32" s="172">
        <v>43503</v>
      </c>
      <c r="B32" s="164">
        <v>36.92</v>
      </c>
      <c r="C32" s="164">
        <v>38.92</v>
      </c>
      <c r="F32" s="173">
        <v>43503</v>
      </c>
      <c r="G32" s="163">
        <v>36.75</v>
      </c>
      <c r="H32" s="163">
        <v>37.75</v>
      </c>
      <c r="K32" s="186">
        <v>43503</v>
      </c>
    </row>
    <row r="33" spans="1:11" ht="15.75" thickBot="1" x14ac:dyDescent="0.3">
      <c r="A33" s="173">
        <v>43504</v>
      </c>
      <c r="B33" s="163">
        <v>36.92</v>
      </c>
      <c r="C33" s="163">
        <v>38.92</v>
      </c>
      <c r="F33" s="172">
        <v>43504</v>
      </c>
      <c r="G33" s="164">
        <v>36.5</v>
      </c>
      <c r="H33" s="164">
        <v>37.5</v>
      </c>
      <c r="K33" s="185">
        <v>43504</v>
      </c>
    </row>
    <row r="34" spans="1:11" ht="15.75" thickBot="1" x14ac:dyDescent="0.3">
      <c r="A34" s="172">
        <v>43507</v>
      </c>
      <c r="B34" s="164">
        <v>37.090000000000003</v>
      </c>
      <c r="C34" s="164">
        <v>39.090000000000003</v>
      </c>
      <c r="F34" s="173">
        <v>43507</v>
      </c>
      <c r="G34" s="163">
        <v>37</v>
      </c>
      <c r="H34" s="163">
        <v>38</v>
      </c>
      <c r="K34" s="186">
        <v>43507</v>
      </c>
    </row>
    <row r="35" spans="1:11" ht="15.75" thickBot="1" x14ac:dyDescent="0.3">
      <c r="A35" s="173">
        <v>43508</v>
      </c>
      <c r="B35" s="163">
        <v>36.950000000000003</v>
      </c>
      <c r="C35" s="163">
        <v>38.950000000000003</v>
      </c>
      <c r="F35" s="172">
        <v>43508</v>
      </c>
      <c r="G35" s="164">
        <v>37</v>
      </c>
      <c r="H35" s="164">
        <v>38</v>
      </c>
      <c r="K35" s="185">
        <v>43508</v>
      </c>
    </row>
    <row r="36" spans="1:11" ht="15.75" thickBot="1" x14ac:dyDescent="0.3">
      <c r="A36" s="172">
        <v>43509</v>
      </c>
      <c r="B36" s="164">
        <v>37.21</v>
      </c>
      <c r="C36" s="164">
        <v>39.21</v>
      </c>
      <c r="F36" s="173">
        <v>43509</v>
      </c>
      <c r="G36" s="163">
        <v>37.25</v>
      </c>
      <c r="H36" s="163">
        <v>38.25</v>
      </c>
      <c r="K36" s="186">
        <v>43509</v>
      </c>
    </row>
    <row r="37" spans="1:11" ht="15.75" thickBot="1" x14ac:dyDescent="0.3">
      <c r="A37" s="173">
        <v>43510</v>
      </c>
      <c r="B37" s="163">
        <v>37.32</v>
      </c>
      <c r="C37" s="163">
        <v>39.32</v>
      </c>
      <c r="F37" s="172">
        <v>43510</v>
      </c>
      <c r="G37" s="164">
        <v>37.5</v>
      </c>
      <c r="H37" s="164">
        <v>38.5</v>
      </c>
      <c r="K37" s="185">
        <v>43510</v>
      </c>
    </row>
    <row r="38" spans="1:11" ht="15.75" thickBot="1" x14ac:dyDescent="0.3">
      <c r="A38" s="172">
        <v>43511</v>
      </c>
      <c r="B38" s="164">
        <v>37.53</v>
      </c>
      <c r="C38" s="164">
        <v>39.53</v>
      </c>
      <c r="F38" s="173">
        <v>43511</v>
      </c>
      <c r="G38" s="163">
        <v>37.75</v>
      </c>
      <c r="H38" s="163">
        <v>38.75</v>
      </c>
      <c r="K38" s="186">
        <v>43511</v>
      </c>
    </row>
    <row r="39" spans="1:11" ht="15.75" thickBot="1" x14ac:dyDescent="0.3">
      <c r="A39" s="173">
        <v>43514</v>
      </c>
      <c r="B39" s="163">
        <v>37.79</v>
      </c>
      <c r="C39" s="163">
        <v>39.79</v>
      </c>
      <c r="F39" s="172">
        <v>43514</v>
      </c>
      <c r="G39" s="164">
        <v>37.75</v>
      </c>
      <c r="H39" s="164">
        <v>38.75</v>
      </c>
      <c r="K39" s="185">
        <v>43514</v>
      </c>
    </row>
    <row r="40" spans="1:11" ht="15.75" thickBot="1" x14ac:dyDescent="0.3">
      <c r="A40" s="172">
        <v>43515</v>
      </c>
      <c r="B40" s="164">
        <v>38.32</v>
      </c>
      <c r="C40" s="164">
        <v>40.32</v>
      </c>
      <c r="F40" s="173">
        <v>43515</v>
      </c>
      <c r="G40" s="163">
        <v>38</v>
      </c>
      <c r="H40" s="163">
        <v>39</v>
      </c>
      <c r="K40" s="186">
        <v>43515</v>
      </c>
    </row>
    <row r="41" spans="1:11" ht="15.75" thickBot="1" x14ac:dyDescent="0.3">
      <c r="A41" s="173">
        <v>43516</v>
      </c>
      <c r="B41" s="163">
        <v>38.76</v>
      </c>
      <c r="C41" s="163">
        <v>40.76</v>
      </c>
      <c r="F41" s="172">
        <v>43516</v>
      </c>
      <c r="G41" s="164">
        <v>38.75</v>
      </c>
      <c r="H41" s="164">
        <v>39.75</v>
      </c>
      <c r="K41" s="185">
        <v>43516</v>
      </c>
    </row>
    <row r="42" spans="1:11" ht="15.75" thickBot="1" x14ac:dyDescent="0.3">
      <c r="A42" s="172">
        <v>43517</v>
      </c>
      <c r="B42" s="164">
        <v>38.56</v>
      </c>
      <c r="C42" s="164">
        <v>40.56</v>
      </c>
      <c r="F42" s="173">
        <v>43517</v>
      </c>
      <c r="G42" s="163">
        <v>38.25</v>
      </c>
      <c r="H42" s="163">
        <v>39.25</v>
      </c>
      <c r="K42" s="186">
        <v>43517</v>
      </c>
    </row>
    <row r="43" spans="1:11" ht="15.75" thickBot="1" x14ac:dyDescent="0.3">
      <c r="A43" s="173">
        <v>43518</v>
      </c>
      <c r="B43" s="163">
        <v>39.21</v>
      </c>
      <c r="C43" s="163">
        <v>40.21</v>
      </c>
      <c r="F43" s="172">
        <v>43518</v>
      </c>
      <c r="G43" s="164">
        <v>38.75</v>
      </c>
      <c r="H43" s="164">
        <v>38.75</v>
      </c>
      <c r="K43" s="185">
        <v>43518</v>
      </c>
    </row>
    <row r="44" spans="1:11" ht="15.75" thickBot="1" x14ac:dyDescent="0.3">
      <c r="A44" s="172">
        <v>43521</v>
      </c>
      <c r="B44" s="164">
        <v>38</v>
      </c>
      <c r="C44" s="164">
        <v>40</v>
      </c>
      <c r="F44" s="173">
        <v>43521</v>
      </c>
      <c r="G44" s="163">
        <v>36.75</v>
      </c>
      <c r="H44" s="163">
        <v>38.75</v>
      </c>
      <c r="K44" s="186">
        <v>43521</v>
      </c>
    </row>
    <row r="45" spans="1:11" ht="15.75" thickBot="1" x14ac:dyDescent="0.3">
      <c r="A45" s="173">
        <v>43522</v>
      </c>
      <c r="B45" s="163">
        <v>38</v>
      </c>
      <c r="C45" s="163">
        <v>40</v>
      </c>
      <c r="F45" s="172">
        <v>43522</v>
      </c>
      <c r="G45" s="164">
        <v>37.25</v>
      </c>
      <c r="H45" s="164">
        <v>39.25</v>
      </c>
      <c r="K45" s="185">
        <v>43522</v>
      </c>
    </row>
    <row r="46" spans="1:11" ht="15.75" thickBot="1" x14ac:dyDescent="0.3">
      <c r="A46" s="172">
        <v>43523</v>
      </c>
      <c r="B46" s="164">
        <v>37.83</v>
      </c>
      <c r="C46" s="164">
        <v>39.83</v>
      </c>
      <c r="F46" s="173">
        <v>43523</v>
      </c>
      <c r="G46" s="163">
        <v>38</v>
      </c>
      <c r="H46" s="163">
        <v>39</v>
      </c>
      <c r="K46" s="186">
        <v>43523</v>
      </c>
    </row>
    <row r="47" spans="1:11" ht="15.75" thickBot="1" x14ac:dyDescent="0.3">
      <c r="A47" s="173">
        <v>43524</v>
      </c>
      <c r="B47" s="163">
        <v>38.14</v>
      </c>
      <c r="C47" s="163">
        <v>40.14</v>
      </c>
      <c r="F47" s="172">
        <v>43524</v>
      </c>
      <c r="G47" s="164">
        <v>38</v>
      </c>
      <c r="H47" s="164">
        <v>39</v>
      </c>
      <c r="K47" s="185">
        <v>43524</v>
      </c>
    </row>
    <row r="48" spans="1:11" ht="15.75" thickBot="1" x14ac:dyDescent="0.3">
      <c r="A48" s="172">
        <v>43525</v>
      </c>
      <c r="B48" s="164">
        <v>38.840000000000003</v>
      </c>
      <c r="C48" s="164">
        <v>40.840000000000003</v>
      </c>
      <c r="F48" s="173">
        <v>43525</v>
      </c>
      <c r="G48" s="163">
        <v>37</v>
      </c>
      <c r="H48" s="163">
        <v>39</v>
      </c>
      <c r="K48" s="186">
        <v>43525</v>
      </c>
    </row>
    <row r="49" spans="1:11" ht="15.75" thickBot="1" x14ac:dyDescent="0.3">
      <c r="A49" s="173">
        <v>43530</v>
      </c>
      <c r="B49" s="163">
        <v>39.72</v>
      </c>
      <c r="C49" s="163">
        <v>41.72</v>
      </c>
      <c r="F49" s="172">
        <v>43530</v>
      </c>
      <c r="G49" s="164">
        <v>38.5</v>
      </c>
      <c r="H49" s="164">
        <v>40.5</v>
      </c>
      <c r="K49" s="185">
        <v>43530</v>
      </c>
    </row>
    <row r="50" spans="1:11" ht="15.75" thickBot="1" x14ac:dyDescent="0.3">
      <c r="A50" s="172">
        <v>43531</v>
      </c>
      <c r="B50" s="164">
        <v>41.5</v>
      </c>
      <c r="C50" s="164">
        <v>43.5</v>
      </c>
      <c r="F50" s="173">
        <v>43531</v>
      </c>
      <c r="G50" s="163">
        <v>41.5</v>
      </c>
      <c r="H50" s="163">
        <v>42.5</v>
      </c>
      <c r="K50" s="186">
        <v>43531</v>
      </c>
    </row>
    <row r="51" spans="1:11" ht="15.75" thickBot="1" x14ac:dyDescent="0.3">
      <c r="A51" s="173">
        <v>43532</v>
      </c>
      <c r="B51" s="163">
        <v>40.270000000000003</v>
      </c>
      <c r="C51" s="163">
        <v>42.27</v>
      </c>
      <c r="F51" s="172">
        <v>43532</v>
      </c>
      <c r="G51" s="164">
        <v>40</v>
      </c>
      <c r="H51" s="164">
        <v>41</v>
      </c>
      <c r="K51" s="185">
        <v>43532</v>
      </c>
    </row>
    <row r="52" spans="1:11" ht="15.75" thickBot="1" x14ac:dyDescent="0.3">
      <c r="A52" s="172">
        <v>43535</v>
      </c>
      <c r="B52" s="164">
        <v>40.26</v>
      </c>
      <c r="C52" s="164">
        <v>42.26</v>
      </c>
      <c r="F52" s="173">
        <v>43535</v>
      </c>
      <c r="G52" s="163">
        <v>40</v>
      </c>
      <c r="H52" s="163">
        <v>41</v>
      </c>
      <c r="K52" s="186">
        <v>43535</v>
      </c>
    </row>
    <row r="53" spans="1:11" ht="15.75" thickBot="1" x14ac:dyDescent="0.3">
      <c r="A53" s="173">
        <v>43536</v>
      </c>
      <c r="B53" s="163">
        <v>40.520000000000003</v>
      </c>
      <c r="C53" s="163">
        <v>42.52</v>
      </c>
      <c r="F53" s="172">
        <v>43536</v>
      </c>
      <c r="G53" s="164">
        <v>40.25</v>
      </c>
      <c r="H53" s="164">
        <v>41.25</v>
      </c>
      <c r="K53" s="185">
        <v>43536</v>
      </c>
    </row>
    <row r="54" spans="1:11" ht="15.75" thickBot="1" x14ac:dyDescent="0.3">
      <c r="A54" s="172">
        <v>43537</v>
      </c>
      <c r="B54" s="164">
        <v>40.299999999999997</v>
      </c>
      <c r="C54" s="164">
        <v>42.3</v>
      </c>
      <c r="F54" s="173">
        <v>43537</v>
      </c>
      <c r="G54" s="163">
        <v>40.5</v>
      </c>
      <c r="H54" s="163">
        <v>41.5</v>
      </c>
      <c r="K54" s="186">
        <v>43537</v>
      </c>
    </row>
    <row r="55" spans="1:11" ht="15.75" thickBot="1" x14ac:dyDescent="0.3">
      <c r="A55" s="173">
        <v>43538</v>
      </c>
      <c r="B55" s="163">
        <v>39.76</v>
      </c>
      <c r="C55" s="163">
        <v>41.76</v>
      </c>
      <c r="F55" s="172">
        <v>43538</v>
      </c>
      <c r="G55" s="164">
        <v>40</v>
      </c>
      <c r="H55" s="164">
        <v>41</v>
      </c>
      <c r="K55" s="185">
        <v>43538</v>
      </c>
    </row>
    <row r="56" spans="1:11" ht="15.75" thickBot="1" x14ac:dyDescent="0.3">
      <c r="A56" s="172">
        <v>43539</v>
      </c>
      <c r="B56" s="164">
        <v>39.130000000000003</v>
      </c>
      <c r="C56" s="164">
        <v>41.13</v>
      </c>
      <c r="F56" s="173">
        <v>43539</v>
      </c>
      <c r="G56" s="163">
        <v>39</v>
      </c>
      <c r="H56" s="163">
        <v>41</v>
      </c>
      <c r="K56" s="186">
        <v>43539</v>
      </c>
    </row>
    <row r="57" spans="1:11" ht="15.75" thickBot="1" x14ac:dyDescent="0.3">
      <c r="A57" s="173">
        <v>43542</v>
      </c>
      <c r="B57" s="163">
        <v>39.020000000000003</v>
      </c>
      <c r="C57" s="163">
        <v>41.02</v>
      </c>
      <c r="F57" s="172">
        <v>43542</v>
      </c>
      <c r="G57" s="164">
        <v>40</v>
      </c>
      <c r="H57" s="164">
        <v>41</v>
      </c>
      <c r="K57" s="185">
        <v>43542</v>
      </c>
    </row>
    <row r="58" spans="1:11" ht="15.75" thickBot="1" x14ac:dyDescent="0.3">
      <c r="A58" s="172">
        <v>43543</v>
      </c>
      <c r="B58" s="164">
        <v>39.590000000000003</v>
      </c>
      <c r="C58" s="164">
        <v>41.59</v>
      </c>
      <c r="F58" s="173">
        <v>43543</v>
      </c>
      <c r="G58" s="163">
        <v>40.25</v>
      </c>
      <c r="H58" s="163">
        <v>41.25</v>
      </c>
      <c r="K58" s="186">
        <v>43543</v>
      </c>
    </row>
    <row r="59" spans="1:11" ht="15.75" thickBot="1" x14ac:dyDescent="0.3">
      <c r="A59" s="173">
        <v>43544</v>
      </c>
      <c r="B59" s="163">
        <v>39.950000000000003</v>
      </c>
      <c r="C59" s="163">
        <v>41.95</v>
      </c>
      <c r="F59" s="172">
        <v>43544</v>
      </c>
      <c r="G59" s="164">
        <v>40.25</v>
      </c>
      <c r="H59" s="164">
        <v>41.25</v>
      </c>
      <c r="K59" s="185">
        <v>43544</v>
      </c>
    </row>
    <row r="60" spans="1:11" ht="15.75" thickBot="1" x14ac:dyDescent="0.3">
      <c r="A60" s="172">
        <v>43545</v>
      </c>
      <c r="B60" s="164">
        <v>40.020000000000003</v>
      </c>
      <c r="C60" s="164">
        <v>42.02</v>
      </c>
      <c r="F60" s="173">
        <v>43545</v>
      </c>
      <c r="G60" s="163">
        <v>39.25</v>
      </c>
      <c r="H60" s="163">
        <v>41.25</v>
      </c>
      <c r="K60" s="186">
        <v>43545</v>
      </c>
    </row>
    <row r="61" spans="1:11" ht="15.75" thickBot="1" x14ac:dyDescent="0.3">
      <c r="A61" s="173">
        <v>43546</v>
      </c>
      <c r="B61" s="163">
        <v>40.86</v>
      </c>
      <c r="C61" s="163">
        <v>42.86</v>
      </c>
      <c r="F61" s="172">
        <v>43546</v>
      </c>
      <c r="G61" s="164">
        <v>39.75</v>
      </c>
      <c r="H61" s="164">
        <v>41.75</v>
      </c>
      <c r="K61" s="185">
        <v>43546</v>
      </c>
    </row>
    <row r="62" spans="1:11" ht="15.75" thickBot="1" x14ac:dyDescent="0.3">
      <c r="A62" s="172">
        <v>43549</v>
      </c>
      <c r="B62" s="164">
        <v>41.01</v>
      </c>
      <c r="C62" s="164">
        <v>43.01</v>
      </c>
      <c r="F62" s="173">
        <v>43549</v>
      </c>
      <c r="G62" s="163">
        <v>40.9</v>
      </c>
      <c r="H62" s="163">
        <v>41.9</v>
      </c>
      <c r="K62" s="186">
        <v>43549</v>
      </c>
    </row>
    <row r="63" spans="1:11" ht="15.75" thickBot="1" x14ac:dyDescent="0.3">
      <c r="A63" s="173">
        <v>43550</v>
      </c>
      <c r="B63" s="163">
        <v>41.67</v>
      </c>
      <c r="C63" s="163">
        <v>43.67</v>
      </c>
      <c r="F63" s="172">
        <v>43550</v>
      </c>
      <c r="G63" s="164">
        <v>41.55</v>
      </c>
      <c r="H63" s="164">
        <v>42.55</v>
      </c>
      <c r="K63" s="185">
        <v>43550</v>
      </c>
    </row>
    <row r="64" spans="1:11" ht="15.75" thickBot="1" x14ac:dyDescent="0.3">
      <c r="A64" s="172">
        <v>43551</v>
      </c>
      <c r="B64" s="164">
        <v>42.92</v>
      </c>
      <c r="C64" s="164">
        <v>44.92</v>
      </c>
      <c r="F64" s="173">
        <v>43551</v>
      </c>
      <c r="G64" s="163">
        <v>43</v>
      </c>
      <c r="H64" s="163">
        <v>44</v>
      </c>
      <c r="K64" s="186">
        <v>43551</v>
      </c>
    </row>
    <row r="65" spans="1:11" ht="15.75" thickBot="1" x14ac:dyDescent="0.3">
      <c r="A65" s="173">
        <v>43552</v>
      </c>
      <c r="B65" s="163">
        <v>42.69</v>
      </c>
      <c r="C65" s="163">
        <v>44.69</v>
      </c>
      <c r="F65" s="172">
        <v>43552</v>
      </c>
      <c r="G65" s="164">
        <v>41.8</v>
      </c>
      <c r="H65" s="164">
        <v>43.8</v>
      </c>
      <c r="K65" s="185">
        <v>43552</v>
      </c>
    </row>
    <row r="66" spans="1:11" ht="15.75" thickBot="1" x14ac:dyDescent="0.3">
      <c r="A66" s="172">
        <v>43553</v>
      </c>
      <c r="B66" s="164">
        <v>42.4</v>
      </c>
      <c r="C66" s="164">
        <v>44.4</v>
      </c>
      <c r="F66" s="173">
        <v>43553</v>
      </c>
      <c r="G66" s="163">
        <v>42.65</v>
      </c>
      <c r="H66" s="163">
        <v>43.65</v>
      </c>
      <c r="K66" s="186">
        <v>43553</v>
      </c>
    </row>
    <row r="67" spans="1:11" ht="15.75" thickBot="1" x14ac:dyDescent="0.3">
      <c r="A67" s="173">
        <v>43556</v>
      </c>
      <c r="B67" s="163">
        <v>41.86</v>
      </c>
      <c r="C67" s="163">
        <v>43.86</v>
      </c>
      <c r="F67" s="172">
        <v>43556</v>
      </c>
      <c r="G67" s="164">
        <v>42.5</v>
      </c>
      <c r="H67" s="164">
        <v>43.5</v>
      </c>
      <c r="K67" s="185">
        <v>43556</v>
      </c>
    </row>
    <row r="68" spans="1:11" ht="15.75" thickBot="1" x14ac:dyDescent="0.3">
      <c r="A68" s="172">
        <v>43558</v>
      </c>
      <c r="B68" s="164">
        <v>41.84</v>
      </c>
      <c r="C68" s="164">
        <v>43.84</v>
      </c>
      <c r="F68" s="173">
        <v>43558</v>
      </c>
      <c r="G68" s="163">
        <v>42.5</v>
      </c>
      <c r="H68" s="163">
        <v>43.5</v>
      </c>
      <c r="K68" s="186">
        <v>43558</v>
      </c>
    </row>
    <row r="69" spans="1:11" ht="15.75" thickBot="1" x14ac:dyDescent="0.3">
      <c r="A69" s="173">
        <v>43559</v>
      </c>
      <c r="B69" s="163">
        <v>42.29</v>
      </c>
      <c r="C69" s="163">
        <v>44.29</v>
      </c>
      <c r="F69" s="172">
        <v>43559</v>
      </c>
      <c r="G69" s="164">
        <v>42.65</v>
      </c>
      <c r="H69" s="164">
        <v>43.65</v>
      </c>
      <c r="K69" s="185">
        <v>43559</v>
      </c>
    </row>
    <row r="70" spans="1:11" ht="15.75" thickBot="1" x14ac:dyDescent="0.3">
      <c r="A70" s="172">
        <v>43560</v>
      </c>
      <c r="B70" s="164">
        <v>42.96</v>
      </c>
      <c r="C70" s="164">
        <v>44.96</v>
      </c>
      <c r="F70" s="173">
        <v>43560</v>
      </c>
      <c r="G70" s="163">
        <v>43</v>
      </c>
      <c r="H70" s="163">
        <v>44</v>
      </c>
      <c r="K70" s="186">
        <v>43560</v>
      </c>
    </row>
    <row r="71" spans="1:11" ht="15.75" thickBot="1" x14ac:dyDescent="0.3">
      <c r="A71" s="173">
        <v>43563</v>
      </c>
      <c r="B71" s="163">
        <v>42.83</v>
      </c>
      <c r="C71" s="163">
        <v>44.83</v>
      </c>
      <c r="F71" s="172">
        <v>43563</v>
      </c>
      <c r="G71" s="164">
        <v>43</v>
      </c>
      <c r="H71" s="164">
        <v>44</v>
      </c>
      <c r="K71" s="185">
        <v>43563</v>
      </c>
    </row>
    <row r="72" spans="1:11" ht="15.75" thickBot="1" x14ac:dyDescent="0.3">
      <c r="A72" s="172">
        <v>43564</v>
      </c>
      <c r="B72" s="164">
        <v>42.52</v>
      </c>
      <c r="C72" s="164">
        <v>44.52</v>
      </c>
      <c r="F72" s="173">
        <v>43564</v>
      </c>
      <c r="G72" s="163">
        <v>43</v>
      </c>
      <c r="H72" s="163">
        <v>44</v>
      </c>
      <c r="K72" s="186">
        <v>43564</v>
      </c>
    </row>
    <row r="73" spans="1:11" ht="15.75" thickBot="1" x14ac:dyDescent="0.3">
      <c r="A73" s="173">
        <v>43565</v>
      </c>
      <c r="B73" s="163">
        <v>42.22</v>
      </c>
      <c r="C73" s="163">
        <v>44.22</v>
      </c>
      <c r="F73" s="172">
        <v>43565</v>
      </c>
      <c r="G73" s="164">
        <v>43</v>
      </c>
      <c r="H73" s="164">
        <v>44</v>
      </c>
      <c r="K73" s="185">
        <v>43565</v>
      </c>
    </row>
    <row r="74" spans="1:11" ht="15.75" thickBot="1" x14ac:dyDescent="0.3">
      <c r="A74" s="172">
        <v>43566</v>
      </c>
      <c r="B74" s="164">
        <v>41.9</v>
      </c>
      <c r="C74" s="164">
        <v>43.9</v>
      </c>
      <c r="F74" s="173">
        <v>43566</v>
      </c>
      <c r="G74" s="163">
        <v>43</v>
      </c>
      <c r="H74" s="163">
        <v>44</v>
      </c>
      <c r="K74" s="186">
        <v>43566</v>
      </c>
    </row>
    <row r="75" spans="1:11" ht="15.75" thickBot="1" x14ac:dyDescent="0.3">
      <c r="A75" s="173">
        <v>43567</v>
      </c>
      <c r="B75" s="163">
        <v>41.29</v>
      </c>
      <c r="C75" s="163">
        <v>43.29</v>
      </c>
      <c r="F75" s="172">
        <v>43567</v>
      </c>
      <c r="G75" s="164">
        <v>42.65</v>
      </c>
      <c r="H75" s="164">
        <v>43.65</v>
      </c>
      <c r="K75" s="185">
        <v>43567</v>
      </c>
    </row>
    <row r="76" spans="1:11" ht="15.75" thickBot="1" x14ac:dyDescent="0.3">
      <c r="A76" s="172">
        <v>43570</v>
      </c>
      <c r="B76" s="164">
        <v>40.65</v>
      </c>
      <c r="C76" s="164">
        <v>42.65</v>
      </c>
      <c r="F76" s="173">
        <v>43570</v>
      </c>
      <c r="G76" s="163">
        <v>42.5</v>
      </c>
      <c r="H76" s="163">
        <v>43.5</v>
      </c>
      <c r="K76" s="186">
        <v>43570</v>
      </c>
    </row>
    <row r="77" spans="1:11" ht="15.75" thickBot="1" x14ac:dyDescent="0.3">
      <c r="A77" s="173">
        <v>43571</v>
      </c>
      <c r="B77" s="163">
        <v>41.38</v>
      </c>
      <c r="C77" s="163">
        <v>43.38</v>
      </c>
      <c r="F77" s="172">
        <v>43571</v>
      </c>
      <c r="G77" s="164">
        <v>42.8</v>
      </c>
      <c r="H77" s="164">
        <v>43.8</v>
      </c>
      <c r="K77" s="185">
        <v>43571</v>
      </c>
    </row>
    <row r="78" spans="1:11" ht="15.75" thickBot="1" x14ac:dyDescent="0.3">
      <c r="A78" s="172">
        <v>43572</v>
      </c>
      <c r="B78" s="164">
        <v>40.98</v>
      </c>
      <c r="C78" s="164">
        <v>42.98</v>
      </c>
      <c r="F78" s="173">
        <v>43572</v>
      </c>
      <c r="G78" s="163">
        <v>41.4</v>
      </c>
      <c r="H78" s="163">
        <v>43.45</v>
      </c>
      <c r="K78" s="186">
        <v>43572</v>
      </c>
    </row>
    <row r="79" spans="1:11" ht="15.75" thickBot="1" x14ac:dyDescent="0.3">
      <c r="A79" s="173">
        <v>43577</v>
      </c>
      <c r="B79" s="163">
        <v>41.69</v>
      </c>
      <c r="C79" s="163">
        <v>43.69</v>
      </c>
      <c r="F79" s="172">
        <v>43577</v>
      </c>
      <c r="G79" s="164">
        <v>43.35</v>
      </c>
      <c r="H79" s="164">
        <v>44.35</v>
      </c>
      <c r="K79" s="185">
        <v>43577</v>
      </c>
    </row>
    <row r="80" spans="1:11" ht="15.75" thickBot="1" x14ac:dyDescent="0.3">
      <c r="A80" s="172">
        <v>43578</v>
      </c>
      <c r="B80" s="164">
        <v>41.52</v>
      </c>
      <c r="C80" s="164">
        <v>43.52</v>
      </c>
      <c r="F80" s="173">
        <v>43578</v>
      </c>
      <c r="G80" s="163">
        <v>43.15</v>
      </c>
      <c r="H80" s="163">
        <v>44.15</v>
      </c>
      <c r="K80" s="186">
        <v>43578</v>
      </c>
    </row>
    <row r="81" spans="1:11" ht="15.75" thickBot="1" x14ac:dyDescent="0.3">
      <c r="A81" s="173">
        <v>43579</v>
      </c>
      <c r="B81" s="163">
        <v>42.92</v>
      </c>
      <c r="C81" s="163">
        <v>44.92</v>
      </c>
      <c r="F81" s="172">
        <v>43579</v>
      </c>
      <c r="G81" s="164">
        <v>43.5</v>
      </c>
      <c r="H81" s="164">
        <v>44.5</v>
      </c>
      <c r="K81" s="185">
        <v>43579</v>
      </c>
    </row>
    <row r="82" spans="1:11" ht="15.75" thickBot="1" x14ac:dyDescent="0.3">
      <c r="A82" s="172">
        <v>43580</v>
      </c>
      <c r="B82" s="164">
        <v>44.13</v>
      </c>
      <c r="C82" s="164">
        <v>46.13</v>
      </c>
      <c r="F82" s="173">
        <v>43580</v>
      </c>
      <c r="G82" s="163">
        <v>45</v>
      </c>
      <c r="H82" s="163">
        <v>46</v>
      </c>
      <c r="K82" s="186">
        <v>43580</v>
      </c>
    </row>
    <row r="83" spans="1:11" ht="15.75" thickBot="1" x14ac:dyDescent="0.3">
      <c r="A83" s="173">
        <v>43581</v>
      </c>
      <c r="B83" s="163">
        <v>44.9</v>
      </c>
      <c r="C83" s="163">
        <v>46.9</v>
      </c>
      <c r="F83" s="172">
        <v>43581</v>
      </c>
      <c r="G83" s="164">
        <v>45.1</v>
      </c>
      <c r="H83" s="164">
        <v>46.1</v>
      </c>
      <c r="K83" s="185">
        <v>43581</v>
      </c>
    </row>
    <row r="84" spans="1:11" ht="15.75" thickBot="1" x14ac:dyDescent="0.3">
      <c r="A84" s="172">
        <v>43584</v>
      </c>
      <c r="B84" s="164">
        <v>43.6</v>
      </c>
      <c r="C84" s="164">
        <v>45.6</v>
      </c>
      <c r="F84" s="173">
        <v>43584</v>
      </c>
      <c r="G84" s="163">
        <v>44.07</v>
      </c>
      <c r="H84" s="163">
        <v>45.07</v>
      </c>
      <c r="K84" s="186">
        <v>43584</v>
      </c>
    </row>
    <row r="85" spans="1:11" ht="15.75" thickBot="1" x14ac:dyDescent="0.3">
      <c r="A85" s="173">
        <v>43585</v>
      </c>
      <c r="B85" s="163">
        <v>43.16</v>
      </c>
      <c r="C85" s="163">
        <v>45.36</v>
      </c>
      <c r="F85" s="172">
        <v>43585</v>
      </c>
      <c r="G85" s="164">
        <v>45</v>
      </c>
      <c r="H85" s="164">
        <v>46</v>
      </c>
      <c r="K85" s="185">
        <v>43585</v>
      </c>
    </row>
    <row r="86" spans="1:11" ht="15.75" thickBot="1" x14ac:dyDescent="0.3">
      <c r="A86" s="172">
        <v>43587</v>
      </c>
      <c r="B86" s="164">
        <v>43.75</v>
      </c>
      <c r="C86" s="164">
        <v>45.95</v>
      </c>
      <c r="F86" s="173">
        <v>43587</v>
      </c>
      <c r="G86" s="163">
        <v>45.25</v>
      </c>
      <c r="H86" s="163">
        <v>46.25</v>
      </c>
      <c r="K86" s="186">
        <v>43587</v>
      </c>
    </row>
    <row r="87" spans="1:11" ht="15.75" thickBot="1" x14ac:dyDescent="0.3">
      <c r="A87" s="173">
        <v>43588</v>
      </c>
      <c r="B87" s="163">
        <v>43.35</v>
      </c>
      <c r="C87" s="163">
        <v>45.55</v>
      </c>
      <c r="F87" s="172">
        <v>43588</v>
      </c>
      <c r="G87" s="164">
        <v>44.55</v>
      </c>
      <c r="H87" s="164">
        <v>45.75</v>
      </c>
      <c r="K87" s="185">
        <v>43588</v>
      </c>
    </row>
    <row r="88" spans="1:11" ht="15.75" thickBot="1" x14ac:dyDescent="0.3">
      <c r="A88" s="172">
        <v>43591</v>
      </c>
      <c r="B88" s="164">
        <v>43.66</v>
      </c>
      <c r="C88" s="164">
        <v>45.86</v>
      </c>
      <c r="F88" s="173">
        <v>43591</v>
      </c>
      <c r="G88" s="163">
        <v>45.5</v>
      </c>
      <c r="H88" s="163">
        <v>46.5</v>
      </c>
      <c r="K88" s="186">
        <v>43591</v>
      </c>
    </row>
    <row r="89" spans="1:11" ht="15.75" thickBot="1" x14ac:dyDescent="0.3">
      <c r="A89" s="173">
        <v>43592</v>
      </c>
      <c r="B89" s="163">
        <v>44.16</v>
      </c>
      <c r="C89" s="163">
        <v>46.36</v>
      </c>
      <c r="F89" s="172">
        <v>43592</v>
      </c>
      <c r="G89" s="164">
        <v>45</v>
      </c>
      <c r="H89" s="164">
        <v>46</v>
      </c>
      <c r="K89" s="185">
        <v>43592</v>
      </c>
    </row>
    <row r="90" spans="1:11" ht="15.75" thickBot="1" x14ac:dyDescent="0.3">
      <c r="A90" s="172">
        <v>43593</v>
      </c>
      <c r="B90" s="164">
        <v>44.13</v>
      </c>
      <c r="C90" s="164">
        <v>46.33</v>
      </c>
      <c r="F90" s="173">
        <v>43593</v>
      </c>
      <c r="G90" s="163">
        <v>45</v>
      </c>
      <c r="H90" s="163">
        <v>46</v>
      </c>
      <c r="K90" s="186">
        <v>43593</v>
      </c>
    </row>
    <row r="91" spans="1:11" ht="15.75" thickBot="1" x14ac:dyDescent="0.3">
      <c r="A91" s="173">
        <v>43594</v>
      </c>
      <c r="B91" s="163">
        <v>44.3</v>
      </c>
      <c r="C91" s="163">
        <v>46.5</v>
      </c>
      <c r="F91" s="172">
        <v>43594</v>
      </c>
      <c r="G91" s="164">
        <v>45</v>
      </c>
      <c r="H91" s="164">
        <v>46</v>
      </c>
      <c r="K91" s="185">
        <v>43594</v>
      </c>
    </row>
    <row r="92" spans="1:11" ht="15.75" thickBot="1" x14ac:dyDescent="0.3">
      <c r="A92" s="172">
        <v>43595</v>
      </c>
      <c r="B92" s="164">
        <v>43.85</v>
      </c>
      <c r="C92" s="164">
        <v>46.05</v>
      </c>
      <c r="F92" s="173">
        <v>43595</v>
      </c>
      <c r="G92" s="163">
        <v>44.5</v>
      </c>
      <c r="H92" s="163">
        <v>46</v>
      </c>
      <c r="K92" s="186">
        <v>43595</v>
      </c>
    </row>
    <row r="93" spans="1:11" ht="15.75" thickBot="1" x14ac:dyDescent="0.3">
      <c r="A93" s="173">
        <v>43598</v>
      </c>
      <c r="B93" s="163">
        <v>44.2</v>
      </c>
      <c r="C93" s="163">
        <v>46.4</v>
      </c>
      <c r="F93" s="172">
        <v>43598</v>
      </c>
      <c r="G93" s="164">
        <v>44.5</v>
      </c>
      <c r="H93" s="164">
        <v>46</v>
      </c>
      <c r="K93" s="185">
        <v>43598</v>
      </c>
    </row>
    <row r="94" spans="1:11" ht="15.75" thickBot="1" x14ac:dyDescent="0.3">
      <c r="A94" s="172">
        <v>43599</v>
      </c>
      <c r="B94" s="164">
        <v>43.96</v>
      </c>
      <c r="C94" s="164">
        <v>46.16</v>
      </c>
      <c r="F94" s="173">
        <v>43599</v>
      </c>
      <c r="G94" s="163">
        <v>44.5</v>
      </c>
      <c r="H94" s="163">
        <v>46</v>
      </c>
      <c r="K94" s="186">
        <v>43599</v>
      </c>
    </row>
    <row r="95" spans="1:11" ht="15.75" thickBot="1" x14ac:dyDescent="0.3">
      <c r="A95" s="173">
        <v>43600</v>
      </c>
      <c r="B95" s="163">
        <v>43.96</v>
      </c>
      <c r="C95" s="163">
        <v>46.16</v>
      </c>
      <c r="F95" s="172">
        <v>43600</v>
      </c>
      <c r="G95" s="164">
        <v>44.5</v>
      </c>
      <c r="H95" s="164">
        <v>46</v>
      </c>
      <c r="K95" s="185">
        <v>43600</v>
      </c>
    </row>
    <row r="96" spans="1:11" ht="15.75" thickBot="1" x14ac:dyDescent="0.3">
      <c r="A96" s="172">
        <v>43601</v>
      </c>
      <c r="B96" s="164">
        <v>43.76</v>
      </c>
      <c r="C96" s="164">
        <v>45.96</v>
      </c>
      <c r="F96" s="173">
        <v>43601</v>
      </c>
      <c r="G96" s="163">
        <v>44.5</v>
      </c>
      <c r="H96" s="163">
        <v>46</v>
      </c>
      <c r="K96" s="186">
        <v>43601</v>
      </c>
    </row>
    <row r="97" spans="1:11" ht="15.75" thickBot="1" x14ac:dyDescent="0.3">
      <c r="A97" s="173">
        <v>43602</v>
      </c>
      <c r="B97" s="163">
        <v>44</v>
      </c>
      <c r="C97" s="163">
        <v>46.2</v>
      </c>
      <c r="F97" s="172">
        <v>43602</v>
      </c>
      <c r="G97" s="164">
        <v>44.6</v>
      </c>
      <c r="H97" s="164">
        <v>46.1</v>
      </c>
      <c r="K97" s="185">
        <v>43602</v>
      </c>
    </row>
    <row r="98" spans="1:11" ht="15.75" thickBot="1" x14ac:dyDescent="0.3">
      <c r="A98" s="172">
        <v>43605</v>
      </c>
      <c r="B98" s="164">
        <v>44.22</v>
      </c>
      <c r="C98" s="164">
        <v>46.42</v>
      </c>
      <c r="F98" s="173">
        <v>43605</v>
      </c>
      <c r="G98" s="163">
        <v>44.85</v>
      </c>
      <c r="H98" s="163">
        <v>46.35</v>
      </c>
      <c r="K98" s="186">
        <v>43605</v>
      </c>
    </row>
    <row r="99" spans="1:11" ht="15.75" thickBot="1" x14ac:dyDescent="0.3">
      <c r="A99" s="173">
        <v>43606</v>
      </c>
      <c r="B99" s="163">
        <v>43.84</v>
      </c>
      <c r="C99" s="163">
        <v>46.04</v>
      </c>
      <c r="F99" s="172">
        <v>43606</v>
      </c>
      <c r="G99" s="164">
        <v>44.75</v>
      </c>
      <c r="H99" s="164">
        <v>46.25</v>
      </c>
      <c r="K99" s="185">
        <v>43606</v>
      </c>
    </row>
    <row r="100" spans="1:11" ht="15.75" thickBot="1" x14ac:dyDescent="0.3">
      <c r="A100" s="172">
        <v>43607</v>
      </c>
      <c r="B100" s="164">
        <v>43.85</v>
      </c>
      <c r="C100" s="164">
        <v>46.05</v>
      </c>
      <c r="F100" s="173">
        <v>43607</v>
      </c>
      <c r="G100" s="163">
        <v>44.6</v>
      </c>
      <c r="H100" s="163">
        <v>46.1</v>
      </c>
      <c r="K100" s="186">
        <v>43607</v>
      </c>
    </row>
    <row r="101" spans="1:11" ht="15.75" thickBot="1" x14ac:dyDescent="0.3">
      <c r="A101" s="173">
        <v>43608</v>
      </c>
      <c r="B101" s="163">
        <v>44.06</v>
      </c>
      <c r="C101" s="163">
        <v>46.26</v>
      </c>
      <c r="F101" s="172">
        <v>43608</v>
      </c>
      <c r="G101" s="164">
        <v>44.7</v>
      </c>
      <c r="H101" s="164">
        <v>46.2</v>
      </c>
      <c r="K101" s="185">
        <v>43608</v>
      </c>
    </row>
    <row r="102" spans="1:11" ht="15.75" thickBot="1" x14ac:dyDescent="0.3">
      <c r="A102" s="172">
        <v>43609</v>
      </c>
      <c r="B102" s="164">
        <v>43.86</v>
      </c>
      <c r="C102" s="164">
        <v>46.06</v>
      </c>
      <c r="F102" s="173">
        <v>43609</v>
      </c>
      <c r="G102" s="163">
        <v>44.65</v>
      </c>
      <c r="H102" s="163">
        <v>46.15</v>
      </c>
      <c r="K102" s="186">
        <v>43609</v>
      </c>
    </row>
    <row r="103" spans="1:11" ht="15.75" thickBot="1" x14ac:dyDescent="0.3">
      <c r="A103" s="173">
        <v>43612</v>
      </c>
      <c r="B103" s="163">
        <v>43.89</v>
      </c>
      <c r="C103" s="163">
        <v>46.09</v>
      </c>
      <c r="F103" s="172">
        <v>43612</v>
      </c>
      <c r="G103" s="164">
        <v>44.65</v>
      </c>
      <c r="H103" s="164">
        <v>46.15</v>
      </c>
      <c r="K103" s="185">
        <v>43612</v>
      </c>
    </row>
    <row r="104" spans="1:11" ht="15.75" thickBot="1" x14ac:dyDescent="0.3">
      <c r="A104" s="172">
        <v>43613</v>
      </c>
      <c r="B104" s="164">
        <v>43.68</v>
      </c>
      <c r="C104" s="164">
        <v>45.88</v>
      </c>
      <c r="F104" s="173">
        <v>43613</v>
      </c>
      <c r="G104" s="163">
        <v>44.7</v>
      </c>
      <c r="H104" s="163">
        <v>46.2</v>
      </c>
      <c r="K104" s="186">
        <v>43613</v>
      </c>
    </row>
    <row r="105" spans="1:11" ht="15.75" thickBot="1" x14ac:dyDescent="0.3">
      <c r="A105" s="173">
        <v>43614</v>
      </c>
      <c r="B105" s="163">
        <v>43.58</v>
      </c>
      <c r="C105" s="163">
        <v>45.78</v>
      </c>
      <c r="F105" s="172">
        <v>43614</v>
      </c>
      <c r="G105" s="164">
        <v>44.7</v>
      </c>
      <c r="H105" s="164">
        <v>46.2</v>
      </c>
      <c r="K105" s="185">
        <v>43614</v>
      </c>
    </row>
    <row r="106" spans="1:11" ht="15.75" thickBot="1" x14ac:dyDescent="0.3">
      <c r="A106" s="172">
        <v>43615</v>
      </c>
      <c r="B106" s="164">
        <v>43.45</v>
      </c>
      <c r="C106" s="164">
        <v>45.65</v>
      </c>
      <c r="F106" s="173">
        <v>43615</v>
      </c>
      <c r="G106" s="163">
        <v>44.4</v>
      </c>
      <c r="H106" s="163">
        <v>45.9</v>
      </c>
      <c r="K106" s="186">
        <v>43615</v>
      </c>
    </row>
    <row r="107" spans="1:11" ht="15.75" thickBot="1" x14ac:dyDescent="0.3">
      <c r="A107" s="173">
        <v>43616</v>
      </c>
      <c r="B107" s="163">
        <v>43.85</v>
      </c>
      <c r="C107" s="163">
        <v>46.1</v>
      </c>
      <c r="F107" s="172">
        <v>43616</v>
      </c>
      <c r="G107" s="164">
        <v>44.5</v>
      </c>
      <c r="H107" s="164">
        <v>46</v>
      </c>
      <c r="K107" s="185">
        <v>43616</v>
      </c>
    </row>
    <row r="108" spans="1:11" ht="15.75" thickBot="1" x14ac:dyDescent="0.3">
      <c r="A108" s="172">
        <v>43619</v>
      </c>
      <c r="B108" s="164">
        <v>43.93</v>
      </c>
      <c r="C108" s="164">
        <v>46.13</v>
      </c>
      <c r="F108" s="173">
        <v>43619</v>
      </c>
      <c r="G108" s="163">
        <v>44.6</v>
      </c>
      <c r="H108" s="163">
        <v>46.1</v>
      </c>
      <c r="K108" s="186">
        <v>43619</v>
      </c>
    </row>
    <row r="109" spans="1:11" ht="15.75" thickBot="1" x14ac:dyDescent="0.3">
      <c r="A109" s="173">
        <v>43620</v>
      </c>
      <c r="B109" s="163">
        <v>43.76</v>
      </c>
      <c r="C109" s="163">
        <v>45.96</v>
      </c>
      <c r="F109" s="172">
        <v>43620</v>
      </c>
      <c r="G109" s="164">
        <v>44.5</v>
      </c>
      <c r="H109" s="164">
        <v>46</v>
      </c>
      <c r="K109" s="185">
        <v>43620</v>
      </c>
    </row>
    <row r="110" spans="1:11" ht="15.75" thickBot="1" x14ac:dyDescent="0.3">
      <c r="A110" s="172">
        <v>43621</v>
      </c>
      <c r="B110" s="164">
        <v>43.88</v>
      </c>
      <c r="C110" s="164">
        <v>46.08</v>
      </c>
      <c r="F110" s="173">
        <v>43621</v>
      </c>
      <c r="G110" s="163">
        <v>44.1</v>
      </c>
      <c r="H110" s="163">
        <v>45.6</v>
      </c>
      <c r="K110" s="186">
        <v>43621</v>
      </c>
    </row>
    <row r="111" spans="1:11" ht="15.75" thickBot="1" x14ac:dyDescent="0.3">
      <c r="A111" s="173">
        <v>43622</v>
      </c>
      <c r="B111" s="163">
        <v>43.92</v>
      </c>
      <c r="C111" s="163">
        <v>46.12</v>
      </c>
      <c r="F111" s="172">
        <v>43622</v>
      </c>
      <c r="G111" s="164">
        <v>44.15</v>
      </c>
      <c r="H111" s="164">
        <v>45.65</v>
      </c>
      <c r="K111" s="185">
        <v>43622</v>
      </c>
    </row>
    <row r="112" spans="1:11" ht="15.75" thickBot="1" x14ac:dyDescent="0.3">
      <c r="A112" s="172">
        <v>43623</v>
      </c>
      <c r="B112" s="164">
        <v>43.92</v>
      </c>
      <c r="C112" s="164">
        <v>46.12</v>
      </c>
      <c r="F112" s="173">
        <v>43623</v>
      </c>
      <c r="G112" s="163">
        <v>44.2</v>
      </c>
      <c r="H112" s="163">
        <v>45.7</v>
      </c>
      <c r="K112" s="186">
        <v>43623</v>
      </c>
    </row>
    <row r="113" spans="1:11" ht="15.75" thickBot="1" x14ac:dyDescent="0.3">
      <c r="A113" s="173">
        <v>43626</v>
      </c>
      <c r="B113" s="163">
        <v>43.94</v>
      </c>
      <c r="C113" s="163">
        <v>46.14</v>
      </c>
      <c r="F113" s="172">
        <v>43626</v>
      </c>
      <c r="G113" s="164">
        <v>44</v>
      </c>
      <c r="H113" s="164">
        <v>45.5</v>
      </c>
      <c r="K113" s="185">
        <v>43626</v>
      </c>
    </row>
    <row r="114" spans="1:11" ht="15.75" thickBot="1" x14ac:dyDescent="0.3">
      <c r="A114" s="172">
        <v>43627</v>
      </c>
      <c r="B114" s="164">
        <v>43.74</v>
      </c>
      <c r="C114" s="164">
        <v>45.94</v>
      </c>
      <c r="F114" s="173">
        <v>43627</v>
      </c>
      <c r="G114" s="163">
        <v>44</v>
      </c>
      <c r="H114" s="163">
        <v>45.5</v>
      </c>
      <c r="K114" s="186">
        <v>43627</v>
      </c>
    </row>
    <row r="115" spans="1:11" ht="15.75" thickBot="1" x14ac:dyDescent="0.3">
      <c r="A115" s="173">
        <v>43628</v>
      </c>
      <c r="B115" s="163">
        <v>42.67</v>
      </c>
      <c r="C115" s="163">
        <v>44.87</v>
      </c>
      <c r="F115" s="172">
        <v>43628</v>
      </c>
      <c r="G115" s="164">
        <v>43.8</v>
      </c>
      <c r="H115" s="164">
        <v>45.3</v>
      </c>
      <c r="K115" s="185">
        <v>43628</v>
      </c>
    </row>
    <row r="116" spans="1:11" ht="15.75" thickBot="1" x14ac:dyDescent="0.3">
      <c r="A116" s="172">
        <v>43629</v>
      </c>
      <c r="B116" s="164">
        <v>42.42</v>
      </c>
      <c r="C116" s="164">
        <v>44.62</v>
      </c>
      <c r="F116" s="173">
        <v>43629</v>
      </c>
      <c r="G116" s="163">
        <v>43.8</v>
      </c>
      <c r="H116" s="163">
        <v>45.3</v>
      </c>
      <c r="K116" s="186">
        <v>43629</v>
      </c>
    </row>
    <row r="117" spans="1:11" ht="15.75" thickBot="1" x14ac:dyDescent="0.3">
      <c r="A117" s="173">
        <v>43630</v>
      </c>
      <c r="B117" s="163">
        <v>42.97</v>
      </c>
      <c r="C117" s="163">
        <v>45.17</v>
      </c>
      <c r="F117" s="172">
        <v>43630</v>
      </c>
      <c r="G117" s="164">
        <v>43.7</v>
      </c>
      <c r="H117" s="164">
        <v>45.2</v>
      </c>
      <c r="K117" s="185">
        <v>43630</v>
      </c>
    </row>
    <row r="118" spans="1:11" ht="15.75" thickBot="1" x14ac:dyDescent="0.3">
      <c r="A118" s="172">
        <v>43634</v>
      </c>
      <c r="B118" s="164">
        <v>42.51</v>
      </c>
      <c r="C118" s="164">
        <v>44.71</v>
      </c>
      <c r="F118" s="173">
        <v>43634</v>
      </c>
      <c r="G118" s="163">
        <v>43.65</v>
      </c>
      <c r="H118" s="163">
        <v>45.15</v>
      </c>
      <c r="K118" s="186">
        <v>43634</v>
      </c>
    </row>
    <row r="119" spans="1:11" ht="15.75" thickBot="1" x14ac:dyDescent="0.3">
      <c r="A119" s="173">
        <v>43635</v>
      </c>
      <c r="B119" s="163">
        <v>42.3</v>
      </c>
      <c r="C119" s="163">
        <v>44.5</v>
      </c>
      <c r="F119" s="172">
        <v>43635</v>
      </c>
      <c r="G119" s="164">
        <v>43.4</v>
      </c>
      <c r="H119" s="164">
        <v>44.9</v>
      </c>
      <c r="K119" s="185">
        <v>43635</v>
      </c>
    </row>
    <row r="120" spans="1:11" ht="15.75" thickBot="1" x14ac:dyDescent="0.3">
      <c r="A120" s="172">
        <v>43637</v>
      </c>
      <c r="B120" s="164">
        <v>41.87</v>
      </c>
      <c r="C120" s="164">
        <v>44.07</v>
      </c>
      <c r="F120" s="173">
        <v>43637</v>
      </c>
      <c r="G120" s="163">
        <v>43</v>
      </c>
      <c r="H120" s="163">
        <v>44.5</v>
      </c>
      <c r="K120" s="186">
        <v>43637</v>
      </c>
    </row>
    <row r="121" spans="1:11" ht="15.75" thickBot="1" x14ac:dyDescent="0.3">
      <c r="A121" s="173">
        <v>43640</v>
      </c>
      <c r="B121" s="163">
        <v>41.45</v>
      </c>
      <c r="C121" s="163">
        <v>43.65</v>
      </c>
      <c r="F121" s="172">
        <v>43640</v>
      </c>
      <c r="G121" s="164">
        <v>42.94</v>
      </c>
      <c r="H121" s="164">
        <v>44.44</v>
      </c>
      <c r="K121" s="185">
        <v>43640</v>
      </c>
    </row>
    <row r="122" spans="1:11" ht="15.75" thickBot="1" x14ac:dyDescent="0.3">
      <c r="A122" s="172">
        <v>43641</v>
      </c>
      <c r="B122" s="164">
        <v>41.28</v>
      </c>
      <c r="C122" s="164">
        <v>43.48</v>
      </c>
      <c r="F122" s="173">
        <v>43641</v>
      </c>
      <c r="G122" s="163">
        <v>42.6</v>
      </c>
      <c r="H122" s="163">
        <v>44.1</v>
      </c>
      <c r="K122" s="186">
        <v>43641</v>
      </c>
    </row>
    <row r="123" spans="1:11" ht="15.75" thickBot="1" x14ac:dyDescent="0.3">
      <c r="A123" s="173">
        <v>43642</v>
      </c>
      <c r="B123" s="163">
        <v>41.75</v>
      </c>
      <c r="C123" s="163">
        <v>43.95</v>
      </c>
      <c r="F123" s="172">
        <v>43642</v>
      </c>
      <c r="G123" s="164">
        <v>42.7</v>
      </c>
      <c r="H123" s="164">
        <v>44.2</v>
      </c>
      <c r="K123" s="185">
        <v>43642</v>
      </c>
    </row>
    <row r="124" spans="1:11" ht="15.75" thickBot="1" x14ac:dyDescent="0.3">
      <c r="A124" s="172">
        <v>43643</v>
      </c>
      <c r="B124" s="164">
        <v>41.74</v>
      </c>
      <c r="C124" s="164">
        <v>43.94</v>
      </c>
      <c r="F124" s="173">
        <v>43643</v>
      </c>
      <c r="G124" s="163">
        <v>42.7</v>
      </c>
      <c r="H124" s="163">
        <v>44.2</v>
      </c>
      <c r="K124" s="186">
        <v>43643</v>
      </c>
    </row>
    <row r="125" spans="1:11" ht="15.75" thickBot="1" x14ac:dyDescent="0.3">
      <c r="A125" s="173">
        <v>43644</v>
      </c>
      <c r="B125" s="163">
        <v>41.5</v>
      </c>
      <c r="C125" s="163">
        <v>43.7</v>
      </c>
      <c r="F125" s="172">
        <v>43644</v>
      </c>
      <c r="G125" s="164">
        <v>42.3</v>
      </c>
      <c r="H125" s="164">
        <v>43.8</v>
      </c>
      <c r="K125" s="185">
        <v>43644</v>
      </c>
    </row>
    <row r="126" spans="1:11" ht="15.75" thickBot="1" x14ac:dyDescent="0.3">
      <c r="A126" s="172">
        <v>43647</v>
      </c>
      <c r="B126" s="164">
        <v>41.28</v>
      </c>
      <c r="C126" s="164">
        <v>43.48</v>
      </c>
      <c r="F126" s="173">
        <v>43647</v>
      </c>
      <c r="G126" s="163">
        <v>41.95</v>
      </c>
      <c r="H126" s="163">
        <v>43.45</v>
      </c>
      <c r="K126" s="186">
        <v>43647</v>
      </c>
    </row>
    <row r="127" spans="1:11" ht="15.75" thickBot="1" x14ac:dyDescent="0.3">
      <c r="A127" s="173">
        <v>43648</v>
      </c>
      <c r="B127" s="163">
        <v>41.25</v>
      </c>
      <c r="C127" s="163">
        <v>43.45</v>
      </c>
      <c r="F127" s="172">
        <v>43648</v>
      </c>
      <c r="G127" s="164">
        <v>42</v>
      </c>
      <c r="H127" s="164">
        <v>43.5</v>
      </c>
      <c r="K127" s="185">
        <v>43648</v>
      </c>
    </row>
    <row r="128" spans="1:11" ht="15.75" thickBot="1" x14ac:dyDescent="0.3">
      <c r="A128" s="172">
        <v>43649</v>
      </c>
      <c r="B128" s="164">
        <v>41.05</v>
      </c>
      <c r="C128" s="164">
        <v>43.25</v>
      </c>
      <c r="F128" s="173">
        <v>43649</v>
      </c>
      <c r="G128" s="163">
        <v>41.55</v>
      </c>
      <c r="H128" s="163">
        <v>43.05</v>
      </c>
      <c r="K128" s="186">
        <v>43649</v>
      </c>
    </row>
    <row r="129" spans="1:11" ht="15.75" thickBot="1" x14ac:dyDescent="0.3">
      <c r="A129" s="173">
        <v>43650</v>
      </c>
      <c r="B129" s="163">
        <v>40.69</v>
      </c>
      <c r="C129" s="163">
        <v>42.89</v>
      </c>
      <c r="F129" s="172">
        <v>43650</v>
      </c>
      <c r="G129" s="164">
        <v>41.4</v>
      </c>
      <c r="H129" s="164">
        <v>42.9</v>
      </c>
      <c r="K129" s="185">
        <v>43650</v>
      </c>
    </row>
    <row r="130" spans="1:11" ht="15.75" thickBot="1" x14ac:dyDescent="0.3">
      <c r="A130" s="172">
        <v>43651</v>
      </c>
      <c r="B130" s="164">
        <v>40.9</v>
      </c>
      <c r="C130" s="164">
        <v>43.1</v>
      </c>
      <c r="F130" s="173">
        <v>43651</v>
      </c>
      <c r="G130" s="163">
        <v>41.4</v>
      </c>
      <c r="H130" s="163">
        <v>42.9</v>
      </c>
      <c r="K130" s="186">
        <v>43651</v>
      </c>
    </row>
    <row r="131" spans="1:11" ht="15.75" thickBot="1" x14ac:dyDescent="0.3">
      <c r="A131" s="173">
        <v>43656</v>
      </c>
      <c r="B131" s="163">
        <v>40.89</v>
      </c>
      <c r="C131" s="163">
        <v>43.09</v>
      </c>
      <c r="F131" s="172">
        <v>43656</v>
      </c>
      <c r="G131" s="164">
        <v>41.3</v>
      </c>
      <c r="H131" s="164">
        <v>42.8</v>
      </c>
      <c r="K131" s="185">
        <v>43656</v>
      </c>
    </row>
    <row r="132" spans="1:11" ht="15.75" thickBot="1" x14ac:dyDescent="0.3">
      <c r="A132" s="172">
        <v>43657</v>
      </c>
      <c r="B132" s="164">
        <v>40.72</v>
      </c>
      <c r="C132" s="164">
        <v>42.92</v>
      </c>
      <c r="F132" s="173">
        <v>43657</v>
      </c>
      <c r="G132" s="163">
        <v>41.7</v>
      </c>
      <c r="H132" s="163">
        <v>43.2</v>
      </c>
      <c r="K132" s="186">
        <v>43657</v>
      </c>
    </row>
    <row r="133" spans="1:11" ht="15.75" thickBot="1" x14ac:dyDescent="0.3">
      <c r="A133" s="173">
        <v>43658</v>
      </c>
      <c r="B133" s="163">
        <v>40.65</v>
      </c>
      <c r="C133" s="163">
        <v>42.85</v>
      </c>
      <c r="F133" s="172">
        <v>43658</v>
      </c>
      <c r="G133" s="164">
        <v>41.75</v>
      </c>
      <c r="H133" s="164">
        <v>43.25</v>
      </c>
      <c r="K133" s="185">
        <v>43658</v>
      </c>
    </row>
    <row r="134" spans="1:11" ht="15.75" thickBot="1" x14ac:dyDescent="0.3">
      <c r="A134" s="172">
        <v>43661</v>
      </c>
      <c r="B134" s="164">
        <v>41.21</v>
      </c>
      <c r="C134" s="164">
        <v>43.41</v>
      </c>
      <c r="F134" s="173">
        <v>43661</v>
      </c>
      <c r="G134" s="163">
        <v>42.25</v>
      </c>
      <c r="H134" s="163">
        <v>43.75</v>
      </c>
      <c r="K134" s="186">
        <v>43661</v>
      </c>
    </row>
    <row r="135" spans="1:11" ht="15.75" thickBot="1" x14ac:dyDescent="0.3">
      <c r="A135" s="173">
        <v>43662</v>
      </c>
      <c r="B135" s="163">
        <v>41.58</v>
      </c>
      <c r="C135" s="163">
        <v>43.78</v>
      </c>
      <c r="F135" s="172">
        <v>43662</v>
      </c>
      <c r="G135" s="164">
        <v>42.95</v>
      </c>
      <c r="H135" s="164">
        <v>44.45</v>
      </c>
      <c r="K135" s="185">
        <v>43662</v>
      </c>
    </row>
    <row r="136" spans="1:11" ht="15.75" thickBot="1" x14ac:dyDescent="0.3">
      <c r="A136" s="172">
        <v>43663</v>
      </c>
      <c r="B136" s="164">
        <v>41.51</v>
      </c>
      <c r="C136" s="164">
        <v>43.71</v>
      </c>
      <c r="F136" s="173">
        <v>43663</v>
      </c>
      <c r="G136" s="163">
        <v>42.7</v>
      </c>
      <c r="H136" s="163">
        <v>44.2</v>
      </c>
      <c r="K136" s="186">
        <v>43663</v>
      </c>
    </row>
    <row r="137" spans="1:11" ht="15.75" thickBot="1" x14ac:dyDescent="0.3">
      <c r="A137" s="173">
        <v>43664</v>
      </c>
      <c r="B137" s="163">
        <v>41.41</v>
      </c>
      <c r="C137" s="163">
        <v>43.61</v>
      </c>
      <c r="F137" s="172">
        <v>43664</v>
      </c>
      <c r="G137" s="164">
        <v>42.45</v>
      </c>
      <c r="H137" s="164">
        <v>43.95</v>
      </c>
      <c r="K137" s="185">
        <v>43664</v>
      </c>
    </row>
    <row r="138" spans="1:11" ht="15.75" thickBot="1" x14ac:dyDescent="0.3">
      <c r="A138" s="172">
        <v>43665</v>
      </c>
      <c r="B138" s="164">
        <v>41.42</v>
      </c>
      <c r="C138" s="164">
        <v>43.62</v>
      </c>
      <c r="F138" s="173">
        <v>43665</v>
      </c>
      <c r="G138" s="163">
        <v>42.45</v>
      </c>
      <c r="H138" s="163">
        <v>43.95</v>
      </c>
      <c r="K138" s="186">
        <v>43665</v>
      </c>
    </row>
    <row r="139" spans="1:11" ht="15.75" thickBot="1" x14ac:dyDescent="0.3">
      <c r="A139" s="173">
        <v>43668</v>
      </c>
      <c r="B139" s="163">
        <v>41.41</v>
      </c>
      <c r="C139" s="163">
        <v>43.61</v>
      </c>
      <c r="F139" s="172">
        <v>43668</v>
      </c>
      <c r="G139" s="164">
        <v>42.55</v>
      </c>
      <c r="H139" s="164">
        <v>44.05</v>
      </c>
      <c r="K139" s="185">
        <v>43668</v>
      </c>
    </row>
    <row r="140" spans="1:11" ht="15.75" thickBot="1" x14ac:dyDescent="0.3">
      <c r="A140" s="172">
        <v>43669</v>
      </c>
      <c r="B140" s="164">
        <v>41.67</v>
      </c>
      <c r="C140" s="164">
        <v>43.87</v>
      </c>
      <c r="F140" s="173">
        <v>43669</v>
      </c>
      <c r="G140" s="163">
        <v>42.75</v>
      </c>
      <c r="H140" s="163">
        <v>44.25</v>
      </c>
      <c r="K140" s="186">
        <v>43669</v>
      </c>
    </row>
    <row r="141" spans="1:11" ht="15.75" thickBot="1" x14ac:dyDescent="0.3">
      <c r="A141" s="173">
        <v>43670</v>
      </c>
      <c r="B141" s="163">
        <v>41.85</v>
      </c>
      <c r="C141" s="163">
        <v>44.05</v>
      </c>
      <c r="F141" s="172">
        <v>43670</v>
      </c>
      <c r="G141" s="164">
        <v>43.1</v>
      </c>
      <c r="H141" s="164">
        <v>44.6</v>
      </c>
      <c r="K141" s="185">
        <v>43670</v>
      </c>
    </row>
    <row r="142" spans="1:11" ht="15.75" thickBot="1" x14ac:dyDescent="0.3">
      <c r="A142" s="172">
        <v>43671</v>
      </c>
      <c r="B142" s="164">
        <v>42.36</v>
      </c>
      <c r="C142" s="164">
        <v>44.56</v>
      </c>
      <c r="F142" s="173">
        <v>43671</v>
      </c>
      <c r="G142" s="163">
        <v>43.45</v>
      </c>
      <c r="H142" s="163">
        <v>44.95</v>
      </c>
      <c r="K142" s="186">
        <v>43671</v>
      </c>
    </row>
    <row r="143" spans="1:11" ht="15.75" thickBot="1" x14ac:dyDescent="0.3">
      <c r="A143" s="173">
        <v>43672</v>
      </c>
      <c r="B143" s="163">
        <v>42.31</v>
      </c>
      <c r="C143" s="163">
        <v>44.51</v>
      </c>
      <c r="F143" s="172">
        <v>43672</v>
      </c>
      <c r="G143" s="164">
        <v>43.45</v>
      </c>
      <c r="H143" s="164">
        <v>44.95</v>
      </c>
      <c r="K143" s="185">
        <v>43672</v>
      </c>
    </row>
    <row r="144" spans="1:11" ht="15.75" thickBot="1" x14ac:dyDescent="0.3">
      <c r="A144" s="172">
        <v>43675</v>
      </c>
      <c r="B144" s="164">
        <v>42.73</v>
      </c>
      <c r="C144" s="164">
        <v>44.93</v>
      </c>
      <c r="F144" s="173">
        <v>43675</v>
      </c>
      <c r="G144" s="163">
        <v>43.65</v>
      </c>
      <c r="H144" s="163">
        <v>45.15</v>
      </c>
      <c r="K144" s="186">
        <v>43675</v>
      </c>
    </row>
    <row r="145" spans="1:11" ht="15.75" thickBot="1" x14ac:dyDescent="0.3">
      <c r="A145" s="173">
        <v>43676</v>
      </c>
      <c r="B145" s="163">
        <v>42.86</v>
      </c>
      <c r="C145" s="163">
        <v>45.06</v>
      </c>
      <c r="F145" s="172">
        <v>43676</v>
      </c>
      <c r="G145" s="164">
        <v>43.65</v>
      </c>
      <c r="H145" s="164">
        <v>45.15</v>
      </c>
      <c r="K145" s="185">
        <v>43676</v>
      </c>
    </row>
    <row r="146" spans="1:11" ht="15.75" thickBot="1" x14ac:dyDescent="0.3">
      <c r="A146" s="172">
        <v>43677</v>
      </c>
      <c r="B146" s="164">
        <v>42.83</v>
      </c>
      <c r="C146" s="164">
        <v>45.03</v>
      </c>
      <c r="F146" s="173">
        <v>43677</v>
      </c>
      <c r="G146" s="163">
        <v>43.7</v>
      </c>
      <c r="H146" s="163">
        <v>45.2</v>
      </c>
      <c r="K146" s="186">
        <v>43677</v>
      </c>
    </row>
    <row r="147" spans="1:11" ht="15.75" thickBot="1" x14ac:dyDescent="0.3">
      <c r="A147" s="173">
        <v>43678</v>
      </c>
      <c r="B147" s="163">
        <v>43.35</v>
      </c>
      <c r="C147" s="163">
        <v>45.55</v>
      </c>
      <c r="F147" s="172">
        <v>43678</v>
      </c>
      <c r="G147" s="164">
        <v>43.93</v>
      </c>
      <c r="H147" s="164">
        <v>45.43</v>
      </c>
      <c r="K147" s="185">
        <v>43678</v>
      </c>
    </row>
    <row r="148" spans="1:11" ht="15.75" thickBot="1" x14ac:dyDescent="0.3">
      <c r="A148" s="172">
        <v>43679</v>
      </c>
      <c r="B148" s="164">
        <v>43.69</v>
      </c>
      <c r="C148" s="164">
        <v>45.89</v>
      </c>
      <c r="F148" s="173">
        <v>43679</v>
      </c>
      <c r="G148" s="163">
        <v>44.4</v>
      </c>
      <c r="H148" s="163">
        <v>45.9</v>
      </c>
      <c r="K148" s="186">
        <v>43679</v>
      </c>
    </row>
    <row r="149" spans="1:11" ht="15.75" thickBot="1" x14ac:dyDescent="0.3">
      <c r="A149" s="173">
        <v>43682</v>
      </c>
      <c r="B149" s="163">
        <v>44.48</v>
      </c>
      <c r="C149" s="163">
        <v>46.68</v>
      </c>
      <c r="F149" s="172">
        <v>43682</v>
      </c>
      <c r="G149" s="164">
        <v>45.1</v>
      </c>
      <c r="H149" s="164">
        <v>46.6</v>
      </c>
      <c r="K149" s="185">
        <v>43682</v>
      </c>
    </row>
    <row r="150" spans="1:11" ht="15.75" thickBot="1" x14ac:dyDescent="0.3">
      <c r="A150" s="172">
        <v>43683</v>
      </c>
      <c r="B150" s="164">
        <v>44.28</v>
      </c>
      <c r="C150" s="164">
        <v>46.48</v>
      </c>
      <c r="F150" s="173">
        <v>43683</v>
      </c>
      <c r="G150" s="163">
        <v>44.9</v>
      </c>
      <c r="H150" s="163">
        <v>46.4</v>
      </c>
      <c r="K150" s="186">
        <v>43683</v>
      </c>
    </row>
    <row r="151" spans="1:11" ht="15.75" thickBot="1" x14ac:dyDescent="0.3">
      <c r="A151" s="173">
        <v>43684</v>
      </c>
      <c r="B151" s="163">
        <v>44.6</v>
      </c>
      <c r="C151" s="163">
        <v>46.8</v>
      </c>
      <c r="F151" s="172">
        <v>43684</v>
      </c>
      <c r="G151" s="164">
        <v>45</v>
      </c>
      <c r="H151" s="164">
        <v>46.5</v>
      </c>
      <c r="K151" s="185">
        <v>43684</v>
      </c>
    </row>
    <row r="152" spans="1:11" ht="15.75" thickBot="1" x14ac:dyDescent="0.3">
      <c r="A152" s="172">
        <v>43685</v>
      </c>
      <c r="B152" s="164">
        <v>44.27</v>
      </c>
      <c r="C152" s="164">
        <v>46.47</v>
      </c>
      <c r="F152" s="173">
        <v>43685</v>
      </c>
      <c r="G152" s="163">
        <v>45.22</v>
      </c>
      <c r="H152" s="163">
        <v>46.72</v>
      </c>
      <c r="K152" s="186">
        <v>43685</v>
      </c>
    </row>
    <row r="153" spans="1:11" ht="15.75" thickBot="1" x14ac:dyDescent="0.3">
      <c r="A153" s="173">
        <v>43686</v>
      </c>
      <c r="B153" s="163">
        <v>44.35</v>
      </c>
      <c r="C153" s="163">
        <v>46.55</v>
      </c>
      <c r="F153" s="172">
        <v>43686</v>
      </c>
      <c r="G153" s="164">
        <v>45.4</v>
      </c>
      <c r="H153" s="164">
        <v>46.9</v>
      </c>
      <c r="K153" s="185">
        <v>43686</v>
      </c>
    </row>
    <row r="154" spans="1:11" ht="15.75" thickBot="1" x14ac:dyDescent="0.3">
      <c r="A154" s="172">
        <v>43689</v>
      </c>
      <c r="B154" s="164">
        <v>51.23</v>
      </c>
      <c r="C154" s="164">
        <v>57.3</v>
      </c>
      <c r="F154" s="173">
        <v>43689</v>
      </c>
      <c r="G154" s="163">
        <v>53</v>
      </c>
      <c r="H154" s="163">
        <v>57</v>
      </c>
      <c r="K154" s="186">
        <v>43689</v>
      </c>
    </row>
    <row r="155" spans="1:11" ht="15.75" thickBot="1" x14ac:dyDescent="0.3">
      <c r="A155" s="173">
        <v>43690</v>
      </c>
      <c r="B155" s="163">
        <v>52.07</v>
      </c>
      <c r="C155" s="163">
        <v>58.14</v>
      </c>
      <c r="F155" s="172">
        <v>43690</v>
      </c>
      <c r="G155" s="164">
        <v>53</v>
      </c>
      <c r="H155" s="164">
        <v>57</v>
      </c>
      <c r="K155" s="185">
        <v>43690</v>
      </c>
    </row>
    <row r="156" spans="1:11" ht="15.75" thickBot="1" x14ac:dyDescent="0.3">
      <c r="A156" s="172">
        <v>43691</v>
      </c>
      <c r="B156" s="164">
        <v>57.18</v>
      </c>
      <c r="C156" s="164">
        <v>62.18</v>
      </c>
      <c r="F156" s="173">
        <v>43691</v>
      </c>
      <c r="G156" s="163">
        <v>58.5</v>
      </c>
      <c r="H156" s="163">
        <v>62</v>
      </c>
      <c r="K156" s="186">
        <v>43691</v>
      </c>
    </row>
    <row r="157" spans="1:11" ht="15.75" thickBot="1" x14ac:dyDescent="0.3">
      <c r="A157" s="173">
        <v>43692</v>
      </c>
      <c r="B157" s="163">
        <v>54.72</v>
      </c>
      <c r="C157" s="163">
        <v>59.72</v>
      </c>
      <c r="F157" s="172">
        <v>43692</v>
      </c>
      <c r="G157" s="164">
        <v>55</v>
      </c>
      <c r="H157" s="164">
        <v>59</v>
      </c>
      <c r="K157" s="185">
        <v>43692</v>
      </c>
    </row>
    <row r="158" spans="1:11" ht="15.75" thickBot="1" x14ac:dyDescent="0.3">
      <c r="A158" s="172">
        <v>43693</v>
      </c>
      <c r="B158" s="164">
        <v>53.12</v>
      </c>
      <c r="C158" s="164">
        <v>58.12</v>
      </c>
      <c r="F158" s="173">
        <v>43693</v>
      </c>
      <c r="G158" s="163">
        <v>55</v>
      </c>
      <c r="H158" s="163">
        <v>59</v>
      </c>
      <c r="K158" s="186">
        <v>43693</v>
      </c>
    </row>
    <row r="159" spans="1:11" ht="15.75" thickBot="1" x14ac:dyDescent="0.3">
      <c r="A159" s="173">
        <v>43697</v>
      </c>
      <c r="B159" s="163">
        <v>52.39</v>
      </c>
      <c r="C159" s="163">
        <v>57.39</v>
      </c>
      <c r="F159" s="172">
        <v>43697</v>
      </c>
      <c r="G159" s="164">
        <v>53</v>
      </c>
      <c r="H159" s="164">
        <v>58</v>
      </c>
      <c r="K159" s="185">
        <v>43697</v>
      </c>
    </row>
    <row r="160" spans="1:11" ht="15.75" thickBot="1" x14ac:dyDescent="0.3">
      <c r="A160" s="172">
        <v>43698</v>
      </c>
      <c r="B160" s="164">
        <v>52.27</v>
      </c>
      <c r="C160" s="164">
        <v>57.27</v>
      </c>
      <c r="F160" s="173">
        <v>43698</v>
      </c>
      <c r="G160" s="163">
        <v>54.5</v>
      </c>
      <c r="H160" s="163">
        <v>58.5</v>
      </c>
      <c r="K160" s="186">
        <v>43698</v>
      </c>
    </row>
    <row r="161" spans="1:11" ht="15.75" thickBot="1" x14ac:dyDescent="0.3">
      <c r="A161" s="173">
        <v>43699</v>
      </c>
      <c r="B161" s="163">
        <v>52.24</v>
      </c>
      <c r="C161" s="163">
        <v>57.24</v>
      </c>
      <c r="F161" s="172">
        <v>43699</v>
      </c>
      <c r="G161" s="164">
        <v>54</v>
      </c>
      <c r="H161" s="164">
        <v>58</v>
      </c>
      <c r="K161" s="185">
        <v>43699</v>
      </c>
    </row>
    <row r="162" spans="1:11" ht="15.75" thickBot="1" x14ac:dyDescent="0.3">
      <c r="A162" s="172">
        <v>43700</v>
      </c>
      <c r="B162" s="164">
        <v>52.31</v>
      </c>
      <c r="C162" s="164">
        <v>57.31</v>
      </c>
      <c r="F162" s="173">
        <v>43700</v>
      </c>
      <c r="G162" s="163">
        <v>54</v>
      </c>
      <c r="H162" s="163">
        <v>58</v>
      </c>
      <c r="K162" s="186">
        <v>43700</v>
      </c>
    </row>
    <row r="163" spans="1:11" ht="15.75" thickBot="1" x14ac:dyDescent="0.3">
      <c r="A163" s="173">
        <v>43703</v>
      </c>
      <c r="B163" s="163">
        <v>53.03</v>
      </c>
      <c r="C163" s="163">
        <v>57.21</v>
      </c>
      <c r="F163" s="172">
        <v>43703</v>
      </c>
      <c r="G163" s="164">
        <v>54.5</v>
      </c>
      <c r="H163" s="164">
        <v>57.5</v>
      </c>
      <c r="K163" s="185">
        <v>43703</v>
      </c>
    </row>
    <row r="164" spans="1:11" ht="15.75" thickBot="1" x14ac:dyDescent="0.3">
      <c r="A164" s="172">
        <v>43704</v>
      </c>
      <c r="B164" s="164">
        <v>54.66</v>
      </c>
      <c r="C164" s="164">
        <v>58.66</v>
      </c>
      <c r="F164" s="173">
        <v>43704</v>
      </c>
      <c r="G164" s="163">
        <v>56</v>
      </c>
      <c r="H164" s="163">
        <v>59</v>
      </c>
      <c r="K164" s="186">
        <v>43704</v>
      </c>
    </row>
    <row r="165" spans="1:11" ht="15.75" thickBot="1" x14ac:dyDescent="0.3">
      <c r="A165" s="173">
        <v>43705</v>
      </c>
      <c r="B165" s="163">
        <v>56.17</v>
      </c>
      <c r="C165" s="163">
        <v>60.17</v>
      </c>
      <c r="F165" s="172">
        <v>43705</v>
      </c>
      <c r="G165" s="164">
        <v>59.5</v>
      </c>
      <c r="H165" s="164">
        <v>60.5</v>
      </c>
      <c r="K165" s="185">
        <v>43705</v>
      </c>
    </row>
    <row r="166" spans="1:11" ht="15.75" thickBot="1" x14ac:dyDescent="0.3">
      <c r="A166" s="172">
        <v>43706</v>
      </c>
      <c r="B166" s="164">
        <v>56.3</v>
      </c>
      <c r="C166" s="164">
        <v>60.3</v>
      </c>
      <c r="F166" s="173">
        <v>43706</v>
      </c>
      <c r="G166" s="163">
        <v>57.75</v>
      </c>
      <c r="H166" s="163">
        <v>60.75</v>
      </c>
      <c r="K166" s="186">
        <v>43706</v>
      </c>
    </row>
    <row r="167" spans="1:11" ht="15.75" thickBot="1" x14ac:dyDescent="0.3">
      <c r="A167" s="173">
        <v>43707</v>
      </c>
      <c r="B167" s="163">
        <v>57.54</v>
      </c>
      <c r="C167" s="163">
        <v>62.04</v>
      </c>
      <c r="F167" s="172">
        <v>43707</v>
      </c>
      <c r="G167" s="164">
        <v>60</v>
      </c>
      <c r="H167" s="164">
        <v>63</v>
      </c>
      <c r="K167" s="185">
        <v>43707</v>
      </c>
    </row>
    <row r="168" spans="1:11" ht="15.75" thickBot="1" x14ac:dyDescent="0.3">
      <c r="A168" s="172">
        <v>43710</v>
      </c>
      <c r="B168" s="164">
        <v>53.31</v>
      </c>
      <c r="C168" s="164">
        <v>58.41</v>
      </c>
      <c r="F168" s="173">
        <v>43710</v>
      </c>
      <c r="G168" s="163">
        <v>59.5</v>
      </c>
      <c r="H168" s="163">
        <v>63.5</v>
      </c>
      <c r="K168" s="186">
        <v>43710</v>
      </c>
    </row>
    <row r="169" spans="1:11" ht="15.75" thickBot="1" x14ac:dyDescent="0.3">
      <c r="A169" s="173">
        <v>43711</v>
      </c>
      <c r="B169" s="163">
        <v>53.49</v>
      </c>
      <c r="C169" s="163">
        <v>58.49</v>
      </c>
      <c r="F169" s="172">
        <v>43711</v>
      </c>
      <c r="G169" s="164">
        <v>57</v>
      </c>
      <c r="H169" s="164">
        <v>61</v>
      </c>
      <c r="K169" s="185">
        <v>43711</v>
      </c>
    </row>
    <row r="170" spans="1:11" ht="15.75" thickBot="1" x14ac:dyDescent="0.3">
      <c r="A170" s="172">
        <v>43712</v>
      </c>
      <c r="B170" s="164">
        <v>53.06</v>
      </c>
      <c r="C170" s="164">
        <v>58.06</v>
      </c>
      <c r="F170" s="173">
        <v>43712</v>
      </c>
      <c r="G170" s="163">
        <v>54</v>
      </c>
      <c r="H170" s="163">
        <v>59</v>
      </c>
      <c r="K170" s="186">
        <v>43712</v>
      </c>
    </row>
    <row r="171" spans="1:11" ht="15.75" thickBot="1" x14ac:dyDescent="0.3">
      <c r="A171" s="173">
        <v>43713</v>
      </c>
      <c r="B171" s="163">
        <v>54.21</v>
      </c>
      <c r="C171" s="163">
        <v>58.21</v>
      </c>
      <c r="F171" s="172">
        <v>43713</v>
      </c>
      <c r="G171" s="164">
        <v>54</v>
      </c>
      <c r="H171" s="164">
        <v>59</v>
      </c>
      <c r="K171" s="185">
        <v>43713</v>
      </c>
    </row>
    <row r="172" spans="1:11" ht="15.75" thickBot="1" x14ac:dyDescent="0.3">
      <c r="A172" s="172">
        <v>43714</v>
      </c>
      <c r="B172" s="164">
        <v>54.02</v>
      </c>
      <c r="C172" s="164">
        <v>58.02</v>
      </c>
      <c r="F172" s="173">
        <v>43714</v>
      </c>
      <c r="G172" s="163">
        <v>55</v>
      </c>
      <c r="H172" s="163">
        <v>59</v>
      </c>
      <c r="K172" s="186">
        <v>43714</v>
      </c>
    </row>
    <row r="173" spans="1:11" ht="15.75" thickBot="1" x14ac:dyDescent="0.3">
      <c r="A173" s="173">
        <v>43717</v>
      </c>
      <c r="B173" s="163">
        <v>54.15</v>
      </c>
      <c r="C173" s="163">
        <v>58.15</v>
      </c>
      <c r="F173" s="172">
        <v>43717</v>
      </c>
      <c r="G173" s="164">
        <v>55</v>
      </c>
      <c r="H173" s="164">
        <v>59</v>
      </c>
      <c r="K173" s="185">
        <v>43717</v>
      </c>
    </row>
    <row r="174" spans="1:11" ht="15.75" thickBot="1" x14ac:dyDescent="0.3">
      <c r="A174" s="172">
        <v>43718</v>
      </c>
      <c r="B174" s="164">
        <v>54.13</v>
      </c>
      <c r="C174" s="164">
        <v>58.13</v>
      </c>
      <c r="F174" s="173">
        <v>43718</v>
      </c>
      <c r="G174" s="163">
        <v>54.5</v>
      </c>
      <c r="H174" s="163">
        <v>58.75</v>
      </c>
      <c r="K174" s="186">
        <v>43718</v>
      </c>
    </row>
    <row r="175" spans="1:11" ht="15.75" thickBot="1" x14ac:dyDescent="0.3">
      <c r="A175" s="173">
        <v>43719</v>
      </c>
      <c r="B175" s="163">
        <v>54.24</v>
      </c>
      <c r="C175" s="163">
        <v>58.24</v>
      </c>
      <c r="F175" s="172">
        <v>43719</v>
      </c>
      <c r="G175" s="164">
        <v>55</v>
      </c>
      <c r="H175" s="164">
        <v>59</v>
      </c>
      <c r="K175" s="185">
        <v>43719</v>
      </c>
    </row>
    <row r="176" spans="1:11" ht="15.75" thickBot="1" x14ac:dyDescent="0.3">
      <c r="A176" s="172">
        <v>43720</v>
      </c>
      <c r="B176" s="164">
        <v>54.41</v>
      </c>
      <c r="C176" s="164">
        <v>58.41</v>
      </c>
      <c r="F176" s="173">
        <v>43720</v>
      </c>
      <c r="G176" s="163">
        <v>55</v>
      </c>
      <c r="H176" s="163">
        <v>60</v>
      </c>
      <c r="K176" s="186">
        <v>43720</v>
      </c>
    </row>
    <row r="177" spans="1:11" ht="15.75" thickBot="1" x14ac:dyDescent="0.3">
      <c r="A177" s="173">
        <v>43721</v>
      </c>
      <c r="B177" s="163">
        <v>54.44</v>
      </c>
      <c r="C177" s="163">
        <v>58.44</v>
      </c>
      <c r="F177" s="172">
        <v>43721</v>
      </c>
      <c r="G177" s="164">
        <v>57.5</v>
      </c>
      <c r="H177" s="164">
        <v>61.5</v>
      </c>
      <c r="K177" s="185">
        <v>43721</v>
      </c>
    </row>
    <row r="178" spans="1:11" ht="15.75" thickBot="1" x14ac:dyDescent="0.3">
      <c r="A178" s="172">
        <v>43724</v>
      </c>
      <c r="B178" s="164">
        <v>54.78</v>
      </c>
      <c r="C178" s="164">
        <v>58.78</v>
      </c>
      <c r="F178" s="173">
        <v>43724</v>
      </c>
      <c r="G178" s="163">
        <v>58.5</v>
      </c>
      <c r="H178" s="163">
        <v>61.5</v>
      </c>
      <c r="K178" s="186">
        <v>43724</v>
      </c>
    </row>
    <row r="179" spans="1:11" ht="15.75" thickBot="1" x14ac:dyDescent="0.3">
      <c r="A179" s="173">
        <v>43725</v>
      </c>
      <c r="B179" s="163">
        <v>55.06</v>
      </c>
      <c r="C179" s="163">
        <v>59.06</v>
      </c>
      <c r="F179" s="172">
        <v>43725</v>
      </c>
      <c r="G179" s="164">
        <v>59</v>
      </c>
      <c r="H179" s="164">
        <v>62</v>
      </c>
      <c r="K179" s="185">
        <v>43725</v>
      </c>
    </row>
    <row r="180" spans="1:11" ht="15.75" thickBot="1" x14ac:dyDescent="0.3">
      <c r="A180" s="172">
        <v>43726</v>
      </c>
      <c r="B180" s="164">
        <v>55.15</v>
      </c>
      <c r="C180" s="164">
        <v>59.15</v>
      </c>
      <c r="F180" s="173">
        <v>43726</v>
      </c>
      <c r="G180" s="163">
        <v>59.75</v>
      </c>
      <c r="H180" s="163">
        <v>62.75</v>
      </c>
      <c r="K180" s="186">
        <v>43726</v>
      </c>
    </row>
    <row r="181" spans="1:11" ht="15.75" thickBot="1" x14ac:dyDescent="0.3">
      <c r="A181" s="173">
        <v>43727</v>
      </c>
      <c r="B181" s="163">
        <v>55.07</v>
      </c>
      <c r="C181" s="163">
        <v>59.07</v>
      </c>
      <c r="F181" s="172">
        <v>43727</v>
      </c>
      <c r="G181" s="164">
        <v>60</v>
      </c>
      <c r="H181" s="164">
        <v>63</v>
      </c>
      <c r="K181" s="185">
        <v>43727</v>
      </c>
    </row>
    <row r="182" spans="1:11" ht="15.75" thickBot="1" x14ac:dyDescent="0.3">
      <c r="A182" s="172">
        <v>43728</v>
      </c>
      <c r="B182" s="164">
        <v>55.08</v>
      </c>
      <c r="C182" s="164">
        <v>59.08</v>
      </c>
      <c r="F182" s="173">
        <v>43728</v>
      </c>
      <c r="G182" s="163">
        <v>58.75</v>
      </c>
      <c r="H182" s="163">
        <v>62.75</v>
      </c>
      <c r="K182" s="186">
        <v>43728</v>
      </c>
    </row>
    <row r="183" spans="1:11" ht="15.75" thickBot="1" x14ac:dyDescent="0.3">
      <c r="A183" s="173">
        <v>43731</v>
      </c>
      <c r="B183" s="163">
        <v>55.32</v>
      </c>
      <c r="C183" s="163">
        <v>59.32</v>
      </c>
      <c r="F183" s="172">
        <v>43731</v>
      </c>
      <c r="G183" s="164">
        <v>59.25</v>
      </c>
      <c r="H183" s="164">
        <v>62.25</v>
      </c>
      <c r="K183" s="185">
        <v>43731</v>
      </c>
    </row>
    <row r="184" spans="1:11" ht="15.75" thickBot="1" x14ac:dyDescent="0.3">
      <c r="A184" s="172">
        <v>43732</v>
      </c>
      <c r="B184" s="164">
        <v>55.34</v>
      </c>
      <c r="C184" s="164">
        <v>59.34</v>
      </c>
      <c r="F184" s="173">
        <v>43732</v>
      </c>
      <c r="G184" s="163">
        <v>58.75</v>
      </c>
      <c r="H184" s="163">
        <v>61.75</v>
      </c>
      <c r="K184" s="186">
        <v>43732</v>
      </c>
    </row>
    <row r="185" spans="1:11" ht="15.75" thickBot="1" x14ac:dyDescent="0.3">
      <c r="A185" s="173">
        <v>43733</v>
      </c>
      <c r="B185" s="163">
        <v>55.34</v>
      </c>
      <c r="C185" s="163">
        <v>59.34</v>
      </c>
      <c r="F185" s="172">
        <v>43733</v>
      </c>
      <c r="G185" s="164">
        <v>58.75</v>
      </c>
      <c r="H185" s="164">
        <v>61.75</v>
      </c>
      <c r="K185" s="185">
        <v>43733</v>
      </c>
    </row>
    <row r="186" spans="1:11" ht="15.75" thickBot="1" x14ac:dyDescent="0.3">
      <c r="A186" s="172">
        <v>43734</v>
      </c>
      <c r="B186" s="164">
        <v>55.51</v>
      </c>
      <c r="C186" s="164">
        <v>59.51</v>
      </c>
      <c r="F186" s="173">
        <v>43734</v>
      </c>
      <c r="G186" s="163">
        <v>59</v>
      </c>
      <c r="H186" s="163">
        <v>62</v>
      </c>
      <c r="K186" s="186">
        <v>43734</v>
      </c>
    </row>
    <row r="187" spans="1:11" ht="15.75" thickBot="1" x14ac:dyDescent="0.3">
      <c r="A187" s="173">
        <v>43735</v>
      </c>
      <c r="B187" s="163">
        <v>55.56</v>
      </c>
      <c r="C187" s="163">
        <v>59.56</v>
      </c>
      <c r="F187" s="172">
        <v>43735</v>
      </c>
      <c r="G187" s="164">
        <v>58.5</v>
      </c>
      <c r="H187" s="164">
        <v>61.5</v>
      </c>
      <c r="K187" s="185">
        <v>43735</v>
      </c>
    </row>
    <row r="188" spans="1:11" ht="15.75" thickBot="1" x14ac:dyDescent="0.3">
      <c r="A188" s="172">
        <v>43738</v>
      </c>
      <c r="B188" s="164">
        <v>55.82</v>
      </c>
      <c r="C188" s="164">
        <v>59.82</v>
      </c>
      <c r="F188" s="173">
        <v>43738</v>
      </c>
      <c r="G188" s="163">
        <v>58.25</v>
      </c>
      <c r="H188" s="163">
        <v>61.25</v>
      </c>
      <c r="K188" s="186">
        <v>43738</v>
      </c>
    </row>
    <row r="189" spans="1:11" ht="15.75" thickBot="1" x14ac:dyDescent="0.3">
      <c r="A189" s="173">
        <v>43739</v>
      </c>
      <c r="B189" s="163">
        <v>56.1</v>
      </c>
      <c r="C189" s="163">
        <v>60.1</v>
      </c>
      <c r="F189" s="172">
        <v>43739</v>
      </c>
      <c r="G189" s="164">
        <v>57.75</v>
      </c>
      <c r="H189" s="164">
        <v>60.75</v>
      </c>
      <c r="K189" s="185">
        <v>43739</v>
      </c>
    </row>
    <row r="190" spans="1:11" ht="15.75" thickBot="1" x14ac:dyDescent="0.3">
      <c r="A190" s="172">
        <v>43740</v>
      </c>
      <c r="B190" s="164">
        <v>56.22</v>
      </c>
      <c r="C190" s="164">
        <v>60.22</v>
      </c>
      <c r="F190" s="173">
        <v>43740</v>
      </c>
      <c r="G190" s="163">
        <v>58.5</v>
      </c>
      <c r="H190" s="163">
        <v>61.5</v>
      </c>
      <c r="K190" s="186">
        <v>43740</v>
      </c>
    </row>
    <row r="191" spans="1:11" ht="15.75" thickBot="1" x14ac:dyDescent="0.3">
      <c r="A191" s="173">
        <v>43741</v>
      </c>
      <c r="B191" s="163">
        <v>56.22</v>
      </c>
      <c r="C191" s="163">
        <v>60.22</v>
      </c>
      <c r="F191" s="172">
        <v>43741</v>
      </c>
      <c r="G191" s="164">
        <v>58</v>
      </c>
      <c r="H191" s="164">
        <v>61</v>
      </c>
      <c r="K191" s="185">
        <v>43741</v>
      </c>
    </row>
    <row r="192" spans="1:11" ht="15.75" thickBot="1" x14ac:dyDescent="0.3">
      <c r="A192" s="172">
        <v>43742</v>
      </c>
      <c r="B192" s="164">
        <v>56.09</v>
      </c>
      <c r="C192" s="164">
        <v>60.09</v>
      </c>
      <c r="F192" s="173">
        <v>43742</v>
      </c>
      <c r="G192" s="163">
        <v>58.25</v>
      </c>
      <c r="H192" s="163">
        <v>61.25</v>
      </c>
      <c r="K192" s="186">
        <v>43742</v>
      </c>
    </row>
    <row r="193" spans="1:11" ht="15.75" thickBot="1" x14ac:dyDescent="0.3">
      <c r="A193" s="173">
        <v>43745</v>
      </c>
      <c r="B193" s="163">
        <v>56.19</v>
      </c>
      <c r="C193" s="163">
        <v>60.19</v>
      </c>
      <c r="F193" s="172">
        <v>43745</v>
      </c>
      <c r="G193" s="164">
        <v>58.25</v>
      </c>
      <c r="H193" s="164">
        <v>61.25</v>
      </c>
      <c r="K193" s="185">
        <v>43745</v>
      </c>
    </row>
    <row r="194" spans="1:11" ht="15.75" thickBot="1" x14ac:dyDescent="0.3">
      <c r="A194" s="172">
        <v>43746</v>
      </c>
      <c r="B194" s="164">
        <v>56.24</v>
      </c>
      <c r="C194" s="164">
        <v>60.24</v>
      </c>
      <c r="F194" s="173">
        <v>43746</v>
      </c>
      <c r="G194" s="163">
        <v>57.5</v>
      </c>
      <c r="H194" s="163">
        <v>61.5</v>
      </c>
      <c r="K194" s="186">
        <v>43746</v>
      </c>
    </row>
    <row r="195" spans="1:11" ht="15.75" thickBot="1" x14ac:dyDescent="0.3">
      <c r="A195" s="173">
        <v>43747</v>
      </c>
      <c r="B195" s="163">
        <v>56.29</v>
      </c>
      <c r="C195" s="163">
        <v>60.29</v>
      </c>
      <c r="F195" s="172">
        <v>43747</v>
      </c>
      <c r="G195" s="164">
        <v>59.75</v>
      </c>
      <c r="H195" s="164">
        <v>61.75</v>
      </c>
      <c r="K195" s="185">
        <v>43747</v>
      </c>
    </row>
    <row r="196" spans="1:11" ht="15.75" thickBot="1" x14ac:dyDescent="0.3">
      <c r="A196" s="172">
        <v>43748</v>
      </c>
      <c r="B196" s="164">
        <v>56.3</v>
      </c>
      <c r="C196" s="164">
        <v>60.3</v>
      </c>
      <c r="F196" s="173">
        <v>43748</v>
      </c>
      <c r="G196" s="163">
        <v>61</v>
      </c>
      <c r="H196" s="163">
        <v>63</v>
      </c>
      <c r="K196" s="186">
        <v>43748</v>
      </c>
    </row>
    <row r="197" spans="1:11" ht="15.75" thickBot="1" x14ac:dyDescent="0.3">
      <c r="A197" s="173">
        <v>43749</v>
      </c>
      <c r="B197" s="163">
        <v>56.31</v>
      </c>
      <c r="C197" s="163">
        <v>60.31</v>
      </c>
      <c r="F197" s="172">
        <v>43749</v>
      </c>
      <c r="G197" s="164">
        <v>61.5</v>
      </c>
      <c r="H197" s="164">
        <v>63.5</v>
      </c>
      <c r="K197" s="185">
        <v>43749</v>
      </c>
    </row>
    <row r="198" spans="1:11" ht="15.75" thickBot="1" x14ac:dyDescent="0.3">
      <c r="A198" s="172">
        <v>43753</v>
      </c>
      <c r="B198" s="164">
        <v>56.43</v>
      </c>
      <c r="C198" s="164">
        <v>60.43</v>
      </c>
      <c r="F198" s="173">
        <v>43753</v>
      </c>
      <c r="G198" s="163">
        <v>61.5</v>
      </c>
      <c r="H198" s="163">
        <v>63.5</v>
      </c>
      <c r="K198" s="186">
        <v>43753</v>
      </c>
    </row>
    <row r="199" spans="1:11" ht="15.75" thickBot="1" x14ac:dyDescent="0.3">
      <c r="A199" s="173">
        <v>43754</v>
      </c>
      <c r="B199" s="163">
        <v>56.53</v>
      </c>
      <c r="C199" s="163">
        <v>60.53</v>
      </c>
      <c r="F199" s="172">
        <v>43754</v>
      </c>
      <c r="G199" s="164">
        <v>62.5</v>
      </c>
      <c r="H199" s="164">
        <v>64.5</v>
      </c>
      <c r="K199" s="185">
        <v>43754</v>
      </c>
    </row>
    <row r="200" spans="1:11" ht="15.75" thickBot="1" x14ac:dyDescent="0.3">
      <c r="A200" s="172">
        <v>43755</v>
      </c>
      <c r="B200" s="164">
        <v>56.59</v>
      </c>
      <c r="C200" s="164">
        <v>60.59</v>
      </c>
      <c r="F200" s="173">
        <v>43755</v>
      </c>
      <c r="G200" s="163">
        <v>64.5</v>
      </c>
      <c r="H200" s="163">
        <v>67.5</v>
      </c>
      <c r="K200" s="186">
        <v>43755</v>
      </c>
    </row>
    <row r="201" spans="1:11" ht="15.75" thickBot="1" x14ac:dyDescent="0.3">
      <c r="A201" s="173">
        <v>43756</v>
      </c>
      <c r="B201" s="163">
        <v>56.73</v>
      </c>
      <c r="C201" s="163">
        <v>60.73</v>
      </c>
      <c r="F201" s="172">
        <v>43756</v>
      </c>
      <c r="G201" s="164">
        <v>62.25</v>
      </c>
      <c r="H201" s="164">
        <v>65.25</v>
      </c>
      <c r="K201" s="185">
        <v>43756</v>
      </c>
    </row>
    <row r="202" spans="1:11" ht="15.75" thickBot="1" x14ac:dyDescent="0.3">
      <c r="A202" s="172">
        <v>43759</v>
      </c>
      <c r="B202" s="164">
        <v>56.99</v>
      </c>
      <c r="C202" s="164">
        <v>60.99</v>
      </c>
      <c r="F202" s="173">
        <v>43759</v>
      </c>
      <c r="G202" s="163">
        <v>63.25</v>
      </c>
      <c r="H202" s="163">
        <v>66.25</v>
      </c>
      <c r="K202" s="186">
        <v>43759</v>
      </c>
    </row>
    <row r="203" spans="1:11" ht="15.75" thickBot="1" x14ac:dyDescent="0.3">
      <c r="A203" s="173">
        <v>43760</v>
      </c>
      <c r="B203" s="163">
        <v>57.33</v>
      </c>
      <c r="C203" s="163">
        <v>61.33</v>
      </c>
      <c r="F203" s="172">
        <v>43760</v>
      </c>
      <c r="G203" s="164">
        <v>64.25</v>
      </c>
      <c r="H203" s="164">
        <v>67.25</v>
      </c>
      <c r="K203" s="185">
        <v>43760</v>
      </c>
    </row>
    <row r="204" spans="1:11" ht="15.75" thickBot="1" x14ac:dyDescent="0.3">
      <c r="A204" s="172">
        <v>43761</v>
      </c>
      <c r="B204" s="164">
        <v>58.37</v>
      </c>
      <c r="C204" s="164">
        <v>62.37</v>
      </c>
      <c r="F204" s="173">
        <v>43761</v>
      </c>
      <c r="G204" s="163">
        <v>66.75</v>
      </c>
      <c r="H204" s="163">
        <v>69.75</v>
      </c>
      <c r="K204" s="186">
        <v>43761</v>
      </c>
    </row>
    <row r="205" spans="1:11" ht="15.75" thickBot="1" x14ac:dyDescent="0.3">
      <c r="A205" s="173">
        <v>43762</v>
      </c>
      <c r="B205" s="163">
        <v>59.34</v>
      </c>
      <c r="C205" s="163">
        <v>63.34</v>
      </c>
      <c r="F205" s="172">
        <v>43762</v>
      </c>
      <c r="G205" s="164">
        <v>66.75</v>
      </c>
      <c r="H205" s="164">
        <v>69.75</v>
      </c>
      <c r="K205" s="185">
        <v>43762</v>
      </c>
    </row>
    <row r="206" spans="1:11" ht="15.75" thickBot="1" x14ac:dyDescent="0.3">
      <c r="A206" s="172">
        <v>43763</v>
      </c>
      <c r="B206" s="164">
        <v>61</v>
      </c>
      <c r="C206" s="164">
        <v>65</v>
      </c>
      <c r="F206" s="173">
        <v>43763</v>
      </c>
      <c r="G206" s="163">
        <v>72.75</v>
      </c>
      <c r="H206" s="163">
        <v>75.75</v>
      </c>
      <c r="K206" s="186">
        <v>43763</v>
      </c>
    </row>
    <row r="207" spans="1:11" ht="15.75" thickBot="1" x14ac:dyDescent="0.3">
      <c r="A207" s="173">
        <v>43766</v>
      </c>
      <c r="B207" s="163">
        <v>58.45</v>
      </c>
      <c r="C207" s="163">
        <v>63.45</v>
      </c>
      <c r="F207" s="172">
        <v>43766</v>
      </c>
      <c r="G207" s="164">
        <v>71</v>
      </c>
      <c r="H207" s="164">
        <v>74</v>
      </c>
      <c r="K207" s="185">
        <v>43766</v>
      </c>
    </row>
    <row r="208" spans="1:11" ht="15.75" thickBot="1" x14ac:dyDescent="0.3">
      <c r="A208" s="172">
        <v>43767</v>
      </c>
      <c r="B208" s="164">
        <v>58.42</v>
      </c>
      <c r="C208" s="164">
        <v>63.42</v>
      </c>
      <c r="F208" s="173">
        <v>43767</v>
      </c>
      <c r="G208" s="163">
        <v>64</v>
      </c>
      <c r="H208" s="163">
        <v>67</v>
      </c>
      <c r="K208" s="186">
        <v>43767</v>
      </c>
    </row>
    <row r="209" spans="1:11" ht="15.75" thickBot="1" x14ac:dyDescent="0.3">
      <c r="A209" s="173">
        <v>43768</v>
      </c>
      <c r="B209" s="163">
        <v>58.42</v>
      </c>
      <c r="C209" s="163">
        <v>63.42</v>
      </c>
      <c r="F209" s="172">
        <v>43768</v>
      </c>
      <c r="G209" s="164">
        <v>64</v>
      </c>
      <c r="H209" s="164">
        <v>67</v>
      </c>
      <c r="K209" s="185">
        <v>43768</v>
      </c>
    </row>
    <row r="210" spans="1:11" ht="15.75" thickBot="1" x14ac:dyDescent="0.3">
      <c r="A210" s="172">
        <v>43769</v>
      </c>
      <c r="B210" s="164">
        <v>58.22</v>
      </c>
      <c r="C210" s="164">
        <v>63.22</v>
      </c>
      <c r="F210" s="173">
        <v>43769</v>
      </c>
      <c r="G210" s="163">
        <v>66</v>
      </c>
      <c r="H210" s="163">
        <v>69</v>
      </c>
      <c r="K210" s="186">
        <v>43769</v>
      </c>
    </row>
    <row r="211" spans="1:11" ht="15.75" thickBot="1" x14ac:dyDescent="0.3">
      <c r="A211" s="173">
        <v>43770</v>
      </c>
      <c r="B211" s="163">
        <v>58.35</v>
      </c>
      <c r="C211" s="163">
        <v>63.35</v>
      </c>
      <c r="F211" s="172">
        <v>43770</v>
      </c>
      <c r="G211" s="164">
        <v>64.5</v>
      </c>
      <c r="H211" s="164">
        <v>67.5</v>
      </c>
      <c r="K211" s="185">
        <v>43770</v>
      </c>
    </row>
    <row r="212" spans="1:11" ht="15.75" thickBot="1" x14ac:dyDescent="0.3">
      <c r="A212" s="172">
        <v>43773</v>
      </c>
      <c r="B212" s="164">
        <v>58.32</v>
      </c>
      <c r="C212" s="164">
        <v>63.32</v>
      </c>
      <c r="F212" s="173">
        <v>43773</v>
      </c>
      <c r="G212" s="163">
        <v>62.5</v>
      </c>
      <c r="H212" s="163">
        <v>65.5</v>
      </c>
      <c r="K212" s="186">
        <v>43773</v>
      </c>
    </row>
    <row r="213" spans="1:11" ht="15.75" thickBot="1" x14ac:dyDescent="0.3">
      <c r="A213" s="173">
        <v>43774</v>
      </c>
      <c r="B213" s="163">
        <v>58.26</v>
      </c>
      <c r="C213" s="163">
        <v>63.26</v>
      </c>
      <c r="F213" s="172">
        <v>43774</v>
      </c>
      <c r="G213" s="164">
        <v>61.5</v>
      </c>
      <c r="H213" s="164">
        <v>64.5</v>
      </c>
      <c r="K213" s="185">
        <v>43774</v>
      </c>
    </row>
    <row r="214" spans="1:11" ht="15.75" thickBot="1" x14ac:dyDescent="0.3">
      <c r="A214" s="171">
        <v>43775</v>
      </c>
      <c r="B214" s="167">
        <f>+B213</f>
        <v>58.26</v>
      </c>
      <c r="C214" s="167">
        <f>+C213</f>
        <v>63.26</v>
      </c>
      <c r="F214" s="173">
        <v>43775</v>
      </c>
      <c r="G214" s="163">
        <v>62</v>
      </c>
      <c r="H214" s="163">
        <v>65</v>
      </c>
      <c r="K214" s="186">
        <v>43775</v>
      </c>
    </row>
    <row r="215" spans="1:11" ht="15.75" thickBot="1" x14ac:dyDescent="0.3">
      <c r="A215" s="172">
        <v>43776</v>
      </c>
      <c r="B215" s="164">
        <v>58.22</v>
      </c>
      <c r="C215" s="164">
        <v>63.22</v>
      </c>
      <c r="F215" s="172">
        <v>43776</v>
      </c>
      <c r="G215" s="164">
        <v>61</v>
      </c>
      <c r="H215" s="164">
        <v>64</v>
      </c>
      <c r="K215" s="185">
        <v>43776</v>
      </c>
    </row>
    <row r="216" spans="1:11" ht="15.75" thickBot="1" x14ac:dyDescent="0.3">
      <c r="A216" s="173">
        <v>43777</v>
      </c>
      <c r="B216" s="163">
        <v>58.05</v>
      </c>
      <c r="C216" s="163">
        <v>63.05</v>
      </c>
      <c r="F216" s="173">
        <v>43777</v>
      </c>
      <c r="G216" s="163">
        <v>62.25</v>
      </c>
      <c r="H216" s="163">
        <v>65.25</v>
      </c>
      <c r="K216" s="186">
        <v>43777</v>
      </c>
    </row>
    <row r="217" spans="1:11" ht="15.75" thickBot="1" x14ac:dyDescent="0.3">
      <c r="A217" s="172">
        <v>43780</v>
      </c>
      <c r="B217" s="164">
        <v>58.07</v>
      </c>
      <c r="C217" s="164">
        <v>63.07</v>
      </c>
      <c r="F217" s="172">
        <v>43780</v>
      </c>
      <c r="G217" s="164">
        <v>61.5</v>
      </c>
      <c r="H217" s="164">
        <v>64.5</v>
      </c>
      <c r="K217" s="185">
        <v>43780</v>
      </c>
    </row>
    <row r="218" spans="1:11" ht="15.75" thickBot="1" x14ac:dyDescent="0.3">
      <c r="A218" s="173">
        <v>43781</v>
      </c>
      <c r="B218" s="163">
        <v>57.98</v>
      </c>
      <c r="C218" s="163">
        <v>62.98</v>
      </c>
      <c r="F218" s="173">
        <v>43781</v>
      </c>
      <c r="G218" s="163">
        <v>62.5</v>
      </c>
      <c r="H218" s="163">
        <v>65.5</v>
      </c>
      <c r="K218" s="186">
        <v>43781</v>
      </c>
    </row>
    <row r="219" spans="1:11" ht="15.75" thickBot="1" x14ac:dyDescent="0.3">
      <c r="A219" s="172">
        <v>43782</v>
      </c>
      <c r="B219" s="164">
        <v>58</v>
      </c>
      <c r="C219" s="164">
        <v>63</v>
      </c>
      <c r="F219" s="172">
        <v>43782</v>
      </c>
      <c r="G219" s="164">
        <v>63.75</v>
      </c>
      <c r="H219" s="164">
        <v>66.75</v>
      </c>
      <c r="K219" s="185">
        <v>43782</v>
      </c>
    </row>
    <row r="220" spans="1:11" ht="15.75" thickBot="1" x14ac:dyDescent="0.3">
      <c r="A220" s="173">
        <v>43783</v>
      </c>
      <c r="B220" s="163">
        <v>57.97</v>
      </c>
      <c r="C220" s="163">
        <v>62.97</v>
      </c>
      <c r="F220" s="173">
        <v>43783</v>
      </c>
      <c r="G220" s="163">
        <v>63.75</v>
      </c>
      <c r="H220" s="163">
        <v>66.75</v>
      </c>
      <c r="K220" s="186">
        <v>43783</v>
      </c>
    </row>
    <row r="221" spans="1:11" ht="15.75" thickBot="1" x14ac:dyDescent="0.3">
      <c r="A221" s="172">
        <v>43784</v>
      </c>
      <c r="B221" s="164">
        <v>57.93</v>
      </c>
      <c r="C221" s="164">
        <v>62.93</v>
      </c>
      <c r="F221" s="172">
        <v>43784</v>
      </c>
      <c r="G221" s="164">
        <v>63.75</v>
      </c>
      <c r="H221" s="164">
        <v>66.75</v>
      </c>
      <c r="K221" s="185">
        <v>43784</v>
      </c>
    </row>
    <row r="222" spans="1:11" ht="15.75" thickBot="1" x14ac:dyDescent="0.3">
      <c r="A222" s="173">
        <v>43788</v>
      </c>
      <c r="B222" s="163">
        <v>57.9</v>
      </c>
      <c r="C222" s="163">
        <v>62.9</v>
      </c>
      <c r="F222" s="173">
        <v>43788</v>
      </c>
      <c r="G222" s="163">
        <v>63.5</v>
      </c>
      <c r="H222" s="163">
        <v>66.5</v>
      </c>
      <c r="K222" s="186">
        <v>43788</v>
      </c>
    </row>
    <row r="223" spans="1:11" ht="15.75" thickBot="1" x14ac:dyDescent="0.3">
      <c r="A223" s="172">
        <v>43789</v>
      </c>
      <c r="B223" s="164">
        <v>57.9</v>
      </c>
      <c r="C223" s="164">
        <v>62.9</v>
      </c>
      <c r="F223" s="172">
        <v>43789</v>
      </c>
      <c r="G223" s="164">
        <v>63.75</v>
      </c>
      <c r="H223" s="164">
        <v>66.75</v>
      </c>
      <c r="K223" s="185">
        <v>43789</v>
      </c>
    </row>
    <row r="224" spans="1:11" ht="15.75" thickBot="1" x14ac:dyDescent="0.3">
      <c r="A224" s="173">
        <v>43790</v>
      </c>
      <c r="B224" s="163">
        <v>57.91</v>
      </c>
      <c r="C224" s="163">
        <v>62.91</v>
      </c>
      <c r="F224" s="173">
        <v>43790</v>
      </c>
      <c r="G224" s="163">
        <v>63.75</v>
      </c>
      <c r="H224" s="163">
        <v>66.75</v>
      </c>
      <c r="K224" s="186">
        <v>43790</v>
      </c>
    </row>
    <row r="225" spans="1:11" ht="15.75" thickBot="1" x14ac:dyDescent="0.3">
      <c r="A225" s="172">
        <v>43791</v>
      </c>
      <c r="B225" s="164">
        <v>57.9</v>
      </c>
      <c r="C225" s="164">
        <v>62.9</v>
      </c>
      <c r="F225" s="172">
        <v>43791</v>
      </c>
      <c r="G225" s="164">
        <v>65.5</v>
      </c>
      <c r="H225" s="164">
        <v>68.5</v>
      </c>
      <c r="K225" s="185">
        <v>43791</v>
      </c>
    </row>
    <row r="226" spans="1:11" ht="15.75" thickBot="1" x14ac:dyDescent="0.3">
      <c r="A226" s="173">
        <v>43794</v>
      </c>
      <c r="B226" s="163">
        <v>57.91</v>
      </c>
      <c r="C226" s="163">
        <v>62.91</v>
      </c>
      <c r="F226" s="173">
        <v>43794</v>
      </c>
      <c r="G226" s="163">
        <v>65</v>
      </c>
      <c r="H226" s="163">
        <v>68</v>
      </c>
      <c r="K226" s="186">
        <v>43794</v>
      </c>
    </row>
    <row r="227" spans="1:11" ht="15.75" thickBot="1" x14ac:dyDescent="0.3">
      <c r="A227" s="172">
        <v>43795</v>
      </c>
      <c r="B227" s="164">
        <v>57.87</v>
      </c>
      <c r="C227" s="164">
        <v>62.87</v>
      </c>
      <c r="F227" s="172">
        <v>43795</v>
      </c>
      <c r="G227" s="164">
        <v>65.25</v>
      </c>
      <c r="H227" s="164">
        <v>68.25</v>
      </c>
      <c r="K227" s="185">
        <v>43795</v>
      </c>
    </row>
    <row r="228" spans="1:11" ht="15.75" thickBot="1" x14ac:dyDescent="0.3">
      <c r="A228" s="173">
        <v>43796</v>
      </c>
      <c r="B228" s="163">
        <v>57.87</v>
      </c>
      <c r="C228" s="163">
        <v>62.87</v>
      </c>
      <c r="F228" s="173">
        <v>43796</v>
      </c>
      <c r="G228" s="163">
        <v>66.25</v>
      </c>
      <c r="H228" s="163">
        <v>69.25</v>
      </c>
      <c r="K228" s="186">
        <v>43796</v>
      </c>
    </row>
    <row r="229" spans="1:11" ht="15.75" thickBot="1" x14ac:dyDescent="0.3">
      <c r="A229" s="172">
        <v>43797</v>
      </c>
      <c r="B229" s="164">
        <v>57.88</v>
      </c>
      <c r="C229" s="164">
        <v>62.88</v>
      </c>
      <c r="F229" s="172">
        <v>43797</v>
      </c>
      <c r="G229" s="164">
        <v>66.75</v>
      </c>
      <c r="H229" s="164">
        <v>69.75</v>
      </c>
      <c r="K229" s="185">
        <v>43797</v>
      </c>
    </row>
    <row r="230" spans="1:11" ht="15.75" thickBot="1" x14ac:dyDescent="0.3">
      <c r="A230" s="173">
        <v>43798</v>
      </c>
      <c r="B230" s="163">
        <v>57.93</v>
      </c>
      <c r="C230" s="163">
        <v>62.93</v>
      </c>
      <c r="F230" s="173">
        <v>43798</v>
      </c>
      <c r="G230" s="163">
        <v>66.25</v>
      </c>
      <c r="H230" s="163">
        <v>69.25</v>
      </c>
      <c r="K230" s="186">
        <v>43798</v>
      </c>
    </row>
    <row r="231" spans="1:11" ht="15.75" thickBot="1" x14ac:dyDescent="0.3">
      <c r="A231" s="172">
        <v>43801</v>
      </c>
      <c r="B231" s="164">
        <v>57.93</v>
      </c>
      <c r="C231" s="164">
        <v>62.93</v>
      </c>
      <c r="F231" s="172">
        <v>43801</v>
      </c>
      <c r="G231" s="164">
        <v>64.25</v>
      </c>
      <c r="H231" s="164">
        <v>68.25</v>
      </c>
      <c r="K231" s="185">
        <v>43801</v>
      </c>
    </row>
    <row r="232" spans="1:11" ht="15.75" thickBot="1" x14ac:dyDescent="0.3">
      <c r="A232" s="173">
        <v>43802</v>
      </c>
      <c r="B232" s="163">
        <v>57.9</v>
      </c>
      <c r="C232" s="163">
        <v>62.9</v>
      </c>
      <c r="F232" s="173">
        <v>43802</v>
      </c>
      <c r="G232" s="163">
        <v>64.5</v>
      </c>
      <c r="H232" s="163">
        <v>68.5</v>
      </c>
      <c r="K232" s="186">
        <v>43802</v>
      </c>
    </row>
    <row r="233" spans="1:11" ht="15.75" thickBot="1" x14ac:dyDescent="0.3">
      <c r="A233" s="172">
        <v>43803</v>
      </c>
      <c r="B233" s="164">
        <v>57.94</v>
      </c>
      <c r="C233" s="164">
        <v>62.94</v>
      </c>
      <c r="F233" s="172">
        <v>43803</v>
      </c>
      <c r="G233" s="164">
        <v>65</v>
      </c>
      <c r="H233" s="164">
        <v>69</v>
      </c>
      <c r="K233" s="185">
        <v>43803</v>
      </c>
    </row>
    <row r="234" spans="1:11" ht="15.75" thickBot="1" x14ac:dyDescent="0.3">
      <c r="A234" s="173">
        <v>43804</v>
      </c>
      <c r="B234" s="163">
        <v>57.94</v>
      </c>
      <c r="C234" s="163">
        <v>62.94</v>
      </c>
      <c r="F234" s="173">
        <v>43804</v>
      </c>
      <c r="G234" s="163">
        <v>66</v>
      </c>
      <c r="H234" s="163">
        <v>70</v>
      </c>
      <c r="K234" s="186">
        <v>43804</v>
      </c>
    </row>
    <row r="235" spans="1:11" ht="15.75" thickBot="1" x14ac:dyDescent="0.3">
      <c r="A235" s="172">
        <v>43805</v>
      </c>
      <c r="B235" s="164">
        <v>57.94</v>
      </c>
      <c r="C235" s="164">
        <v>62.94</v>
      </c>
      <c r="F235" s="172">
        <v>43805</v>
      </c>
      <c r="G235" s="164">
        <v>68</v>
      </c>
      <c r="H235" s="164">
        <v>71</v>
      </c>
      <c r="K235" s="185">
        <v>43805</v>
      </c>
    </row>
    <row r="236" spans="1:11" ht="15.75" thickBot="1" x14ac:dyDescent="0.3">
      <c r="A236" s="173">
        <v>43808</v>
      </c>
      <c r="B236" s="163">
        <v>58.99</v>
      </c>
      <c r="C236" s="163">
        <v>62.99</v>
      </c>
      <c r="F236" s="173">
        <v>43808</v>
      </c>
      <c r="G236" s="163">
        <v>66</v>
      </c>
      <c r="H236" s="163">
        <v>70</v>
      </c>
      <c r="K236" s="186">
        <v>43808</v>
      </c>
    </row>
    <row r="237" spans="1:11" ht="15.75" thickBot="1" x14ac:dyDescent="0.3">
      <c r="A237" s="172">
        <v>43809</v>
      </c>
      <c r="B237" s="164">
        <v>59</v>
      </c>
      <c r="C237" s="164">
        <v>63</v>
      </c>
      <c r="F237" s="172">
        <v>43809</v>
      </c>
      <c r="G237" s="164">
        <v>65.5</v>
      </c>
      <c r="H237" s="164">
        <v>69.5</v>
      </c>
      <c r="K237" s="185">
        <v>43809</v>
      </c>
    </row>
    <row r="238" spans="1:11" ht="15.75" thickBot="1" x14ac:dyDescent="0.3">
      <c r="A238" s="173">
        <v>43810</v>
      </c>
      <c r="B238" s="163">
        <v>58.08</v>
      </c>
      <c r="C238" s="163">
        <v>63.08</v>
      </c>
      <c r="F238" s="173">
        <v>43810</v>
      </c>
      <c r="G238" s="163">
        <v>64.5</v>
      </c>
      <c r="H238" s="163">
        <v>68.5</v>
      </c>
      <c r="K238" s="186">
        <v>43810</v>
      </c>
    </row>
    <row r="239" spans="1:11" ht="15.75" thickBot="1" x14ac:dyDescent="0.3">
      <c r="A239" s="172">
        <v>43811</v>
      </c>
      <c r="B239" s="164">
        <v>58.09</v>
      </c>
      <c r="C239" s="164">
        <v>63.09</v>
      </c>
      <c r="F239" s="172">
        <v>43811</v>
      </c>
      <c r="G239" s="164">
        <v>62.5</v>
      </c>
      <c r="H239" s="164">
        <v>66.5</v>
      </c>
      <c r="K239" s="185">
        <v>43811</v>
      </c>
    </row>
    <row r="240" spans="1:11" ht="15.75" thickBot="1" x14ac:dyDescent="0.3">
      <c r="A240" s="173">
        <v>43812</v>
      </c>
      <c r="B240" s="163">
        <v>58.07</v>
      </c>
      <c r="C240" s="163">
        <v>63.07</v>
      </c>
      <c r="F240" s="173">
        <v>43812</v>
      </c>
      <c r="G240" s="163">
        <v>61.75</v>
      </c>
      <c r="H240" s="163">
        <v>66.75</v>
      </c>
      <c r="K240" s="186">
        <v>43812</v>
      </c>
    </row>
    <row r="241" spans="1:11" ht="15.75" thickBot="1" x14ac:dyDescent="0.3">
      <c r="A241" s="172">
        <v>43815</v>
      </c>
      <c r="B241" s="164">
        <v>58.09</v>
      </c>
      <c r="C241" s="164">
        <v>63.09</v>
      </c>
      <c r="F241" s="172">
        <v>43815</v>
      </c>
      <c r="G241" s="164">
        <v>68.5</v>
      </c>
      <c r="H241" s="164">
        <v>72.5</v>
      </c>
      <c r="K241" s="185">
        <v>43815</v>
      </c>
    </row>
    <row r="242" spans="1:11" ht="15.75" thickBot="1" x14ac:dyDescent="0.3">
      <c r="A242" s="173">
        <v>43816</v>
      </c>
      <c r="B242" s="163">
        <v>58.09</v>
      </c>
      <c r="C242" s="163">
        <v>63.09</v>
      </c>
      <c r="F242" s="173">
        <v>43816</v>
      </c>
      <c r="G242" s="163">
        <v>69</v>
      </c>
      <c r="H242" s="163">
        <v>74</v>
      </c>
      <c r="K242" s="186">
        <v>43816</v>
      </c>
    </row>
    <row r="243" spans="1:11" ht="15.75" thickBot="1" x14ac:dyDescent="0.3">
      <c r="A243" s="172">
        <v>43817</v>
      </c>
      <c r="B243" s="164">
        <v>58.08</v>
      </c>
      <c r="C243" s="164">
        <v>63.08</v>
      </c>
      <c r="F243" s="172">
        <v>43817</v>
      </c>
      <c r="G243" s="164">
        <v>72</v>
      </c>
      <c r="H243" s="164">
        <v>76</v>
      </c>
      <c r="K243" s="185">
        <v>43817</v>
      </c>
    </row>
    <row r="244" spans="1:11" ht="15.75" thickBot="1" x14ac:dyDescent="0.3">
      <c r="A244" s="173">
        <v>43818</v>
      </c>
      <c r="B244" s="163">
        <v>58.08</v>
      </c>
      <c r="C244" s="163">
        <v>63.08</v>
      </c>
      <c r="F244" s="173">
        <v>43818</v>
      </c>
      <c r="G244" s="163">
        <v>72.75</v>
      </c>
      <c r="H244" s="163">
        <v>75.75</v>
      </c>
      <c r="K244" s="186">
        <v>43818</v>
      </c>
    </row>
    <row r="245" spans="1:11" ht="15.75" thickBot="1" x14ac:dyDescent="0.3">
      <c r="A245" s="172">
        <v>43819</v>
      </c>
      <c r="B245" s="164">
        <v>57.99</v>
      </c>
      <c r="C245" s="164">
        <v>62.99</v>
      </c>
      <c r="F245" s="172">
        <v>43819</v>
      </c>
      <c r="G245" s="164">
        <v>70</v>
      </c>
      <c r="H245" s="164">
        <v>75</v>
      </c>
      <c r="K245" s="185">
        <v>43819</v>
      </c>
    </row>
    <row r="246" spans="1:11" ht="15.75" thickBot="1" x14ac:dyDescent="0.3">
      <c r="A246" s="173">
        <v>43822</v>
      </c>
      <c r="B246" s="163">
        <v>58</v>
      </c>
      <c r="C246" s="163">
        <v>63</v>
      </c>
      <c r="F246" s="173">
        <v>43822</v>
      </c>
      <c r="G246" s="163">
        <v>71.75</v>
      </c>
      <c r="H246" s="163">
        <v>76.75</v>
      </c>
      <c r="K246" s="186">
        <v>43822</v>
      </c>
    </row>
    <row r="247" spans="1:11" ht="15.75" thickBot="1" x14ac:dyDescent="0.3">
      <c r="A247" s="172">
        <v>43825</v>
      </c>
      <c r="B247" s="164">
        <v>57.99</v>
      </c>
      <c r="C247" s="164">
        <v>62.99</v>
      </c>
      <c r="F247" s="172">
        <v>43825</v>
      </c>
      <c r="G247" s="164">
        <v>75</v>
      </c>
      <c r="H247" s="164">
        <v>80</v>
      </c>
      <c r="K247" s="185">
        <v>43825</v>
      </c>
    </row>
    <row r="248" spans="1:11" ht="15.75" thickBot="1" x14ac:dyDescent="0.3">
      <c r="A248" s="173">
        <v>43826</v>
      </c>
      <c r="B248" s="163">
        <v>57.99</v>
      </c>
      <c r="C248" s="163">
        <v>62.99</v>
      </c>
      <c r="F248" s="173">
        <v>43826</v>
      </c>
      <c r="G248" s="163">
        <v>73.5</v>
      </c>
      <c r="H248" s="163">
        <v>78.5</v>
      </c>
      <c r="K248" s="186">
        <v>43826</v>
      </c>
    </row>
    <row r="249" spans="1:11" ht="15.75" thickBot="1" x14ac:dyDescent="0.3">
      <c r="A249" s="172">
        <v>43829</v>
      </c>
      <c r="B249" s="164">
        <v>57.99</v>
      </c>
      <c r="C249" s="164">
        <v>62.99</v>
      </c>
      <c r="F249" s="172">
        <v>43829</v>
      </c>
      <c r="G249" s="164">
        <v>73.5</v>
      </c>
      <c r="H249" s="164">
        <v>78.5</v>
      </c>
      <c r="K249" s="185">
        <v>43829</v>
      </c>
    </row>
    <row r="250" spans="1:11" ht="15.75" thickBot="1" x14ac:dyDescent="0.3">
      <c r="A250" s="173">
        <v>43832</v>
      </c>
      <c r="B250" s="163">
        <v>58</v>
      </c>
      <c r="C250" s="163">
        <v>63</v>
      </c>
      <c r="F250" s="173">
        <v>43832</v>
      </c>
      <c r="G250" s="163">
        <v>72</v>
      </c>
      <c r="H250" s="163">
        <v>77</v>
      </c>
      <c r="K250" s="186">
        <v>43832</v>
      </c>
    </row>
    <row r="251" spans="1:11" ht="15.75" thickBot="1" x14ac:dyDescent="0.3">
      <c r="A251" s="172">
        <v>43833</v>
      </c>
      <c r="B251" s="164">
        <v>57.98</v>
      </c>
      <c r="C251" s="164">
        <v>62.98</v>
      </c>
      <c r="F251" s="172">
        <v>43833</v>
      </c>
      <c r="G251" s="164">
        <v>72</v>
      </c>
      <c r="H251" s="164">
        <v>77</v>
      </c>
      <c r="K251" s="185">
        <v>43833</v>
      </c>
    </row>
    <row r="252" spans="1:11" ht="15.75" thickBot="1" x14ac:dyDescent="0.3">
      <c r="A252" s="173">
        <v>43836</v>
      </c>
      <c r="B252" s="163">
        <v>57.99</v>
      </c>
      <c r="C252" s="163">
        <v>62.99</v>
      </c>
      <c r="F252" s="173">
        <v>43836</v>
      </c>
      <c r="G252" s="163">
        <v>72.25</v>
      </c>
      <c r="H252" s="163">
        <v>77.25</v>
      </c>
      <c r="K252" s="186">
        <v>43836</v>
      </c>
    </row>
    <row r="253" spans="1:11" ht="15.75" thickBot="1" x14ac:dyDescent="0.3">
      <c r="A253" s="172">
        <v>43837</v>
      </c>
      <c r="B253" s="164">
        <v>57.99</v>
      </c>
      <c r="C253" s="164">
        <v>62.99</v>
      </c>
      <c r="F253" s="172">
        <v>43837</v>
      </c>
      <c r="G253" s="164">
        <v>71.25</v>
      </c>
      <c r="H253" s="164">
        <v>76.25</v>
      </c>
      <c r="K253" s="185">
        <v>43837</v>
      </c>
    </row>
    <row r="254" spans="1:11" ht="15.75" thickBot="1" x14ac:dyDescent="0.3">
      <c r="A254" s="173">
        <v>43838</v>
      </c>
      <c r="B254" s="163">
        <v>57.99</v>
      </c>
      <c r="C254" s="163">
        <v>62.99</v>
      </c>
      <c r="F254" s="173">
        <v>43838</v>
      </c>
      <c r="G254" s="163">
        <v>71.5</v>
      </c>
      <c r="H254" s="163">
        <v>76.5</v>
      </c>
      <c r="K254" s="186">
        <v>43838</v>
      </c>
    </row>
    <row r="255" spans="1:11" ht="15.75" thickBot="1" x14ac:dyDescent="0.3">
      <c r="A255" s="172">
        <v>43839</v>
      </c>
      <c r="B255" s="164">
        <v>57.98</v>
      </c>
      <c r="C255" s="164">
        <v>62.98</v>
      </c>
      <c r="F255" s="172">
        <v>43839</v>
      </c>
      <c r="G255" s="164">
        <v>71.5</v>
      </c>
      <c r="H255" s="164">
        <v>76.5</v>
      </c>
      <c r="K255" s="185">
        <v>43839</v>
      </c>
    </row>
    <row r="256" spans="1:11" ht="15.75" thickBot="1" x14ac:dyDescent="0.3">
      <c r="A256" s="173">
        <v>43840</v>
      </c>
      <c r="B256" s="163">
        <v>57.96</v>
      </c>
      <c r="C256" s="163">
        <v>62.96</v>
      </c>
      <c r="F256" s="173">
        <v>43840</v>
      </c>
      <c r="G256" s="163">
        <v>71.5</v>
      </c>
      <c r="H256" s="163">
        <v>76.5</v>
      </c>
      <c r="K256" s="186">
        <v>43840</v>
      </c>
    </row>
    <row r="257" spans="1:11" ht="15.75" thickBot="1" x14ac:dyDescent="0.3">
      <c r="A257" s="172">
        <v>43843</v>
      </c>
      <c r="B257" s="164">
        <v>57.96</v>
      </c>
      <c r="C257" s="164">
        <v>62.96</v>
      </c>
      <c r="F257" s="172">
        <v>43843</v>
      </c>
      <c r="G257" s="164">
        <v>71.5</v>
      </c>
      <c r="H257" s="164">
        <v>76.5</v>
      </c>
      <c r="K257" s="185">
        <v>43843</v>
      </c>
    </row>
    <row r="258" spans="1:11" ht="15.75" thickBot="1" x14ac:dyDescent="0.3">
      <c r="A258" s="173">
        <v>43844</v>
      </c>
      <c r="B258" s="163">
        <v>57.97</v>
      </c>
      <c r="C258" s="163">
        <v>62.97</v>
      </c>
      <c r="F258" s="173">
        <v>43844</v>
      </c>
      <c r="G258" s="163">
        <v>73.5</v>
      </c>
      <c r="H258" s="163">
        <v>77.5</v>
      </c>
      <c r="K258" s="186">
        <v>43844</v>
      </c>
    </row>
    <row r="259" spans="1:11" ht="15.75" thickBot="1" x14ac:dyDescent="0.3">
      <c r="A259" s="172">
        <v>43845</v>
      </c>
      <c r="B259" s="164">
        <v>57.98</v>
      </c>
      <c r="C259" s="164">
        <v>62.98</v>
      </c>
      <c r="F259" s="172">
        <v>43845</v>
      </c>
      <c r="G259" s="164">
        <v>74</v>
      </c>
      <c r="H259" s="164">
        <v>78</v>
      </c>
      <c r="K259" s="185">
        <v>43845</v>
      </c>
    </row>
    <row r="260" spans="1:11" ht="15.75" thickBot="1" x14ac:dyDescent="0.3">
      <c r="A260" s="173">
        <v>43846</v>
      </c>
      <c r="B260" s="163">
        <v>57.97</v>
      </c>
      <c r="C260" s="163">
        <v>62.97</v>
      </c>
      <c r="F260" s="173">
        <v>43846</v>
      </c>
      <c r="G260" s="163">
        <v>73.75</v>
      </c>
      <c r="H260" s="163">
        <v>77.75</v>
      </c>
      <c r="K260" s="186">
        <v>43846</v>
      </c>
    </row>
    <row r="261" spans="1:11" ht="15.75" thickBot="1" x14ac:dyDescent="0.3">
      <c r="A261" s="172">
        <v>43847</v>
      </c>
      <c r="B261" s="164">
        <v>57.97</v>
      </c>
      <c r="C261" s="164">
        <v>62.97</v>
      </c>
      <c r="F261" s="172">
        <v>43847</v>
      </c>
      <c r="G261" s="164">
        <v>73.75</v>
      </c>
      <c r="H261" s="164">
        <v>77.75</v>
      </c>
      <c r="K261" s="185">
        <v>43847</v>
      </c>
    </row>
    <row r="262" spans="1:11" ht="15.75" thickBot="1" x14ac:dyDescent="0.3">
      <c r="A262" s="173">
        <v>43850</v>
      </c>
      <c r="B262" s="163">
        <v>57.97</v>
      </c>
      <c r="C262" s="163">
        <v>62.97</v>
      </c>
      <c r="F262" s="173">
        <v>43850</v>
      </c>
      <c r="G262" s="163">
        <v>74</v>
      </c>
      <c r="H262" s="163">
        <v>78</v>
      </c>
      <c r="K262" s="186">
        <v>43850</v>
      </c>
    </row>
    <row r="263" spans="1:11" ht="15.75" thickBot="1" x14ac:dyDescent="0.3">
      <c r="A263" s="172">
        <v>43851</v>
      </c>
      <c r="B263" s="164">
        <v>57.98</v>
      </c>
      <c r="C263" s="164">
        <v>62.98</v>
      </c>
      <c r="F263" s="172">
        <v>43851</v>
      </c>
      <c r="G263" s="164">
        <v>73.5</v>
      </c>
      <c r="H263" s="164">
        <v>77.5</v>
      </c>
      <c r="K263" s="185">
        <v>43851</v>
      </c>
    </row>
    <row r="264" spans="1:11" ht="15.75" thickBot="1" x14ac:dyDescent="0.3">
      <c r="A264" s="173">
        <v>43852</v>
      </c>
      <c r="B264" s="163">
        <v>57.98</v>
      </c>
      <c r="C264" s="163">
        <v>62.98</v>
      </c>
      <c r="F264" s="173">
        <v>43852</v>
      </c>
      <c r="G264" s="163">
        <v>73.75</v>
      </c>
      <c r="H264" s="163">
        <v>77.75</v>
      </c>
      <c r="K264" s="186">
        <v>43852</v>
      </c>
    </row>
    <row r="265" spans="1:11" ht="15.75" thickBot="1" x14ac:dyDescent="0.3">
      <c r="A265" s="172">
        <v>43853</v>
      </c>
      <c r="B265" s="164">
        <v>57.98</v>
      </c>
      <c r="C265" s="164">
        <v>62.98</v>
      </c>
      <c r="F265" s="172">
        <v>43853</v>
      </c>
      <c r="G265" s="164">
        <v>73.75</v>
      </c>
      <c r="H265" s="164">
        <v>77.75</v>
      </c>
      <c r="K265" s="185">
        <v>43853</v>
      </c>
    </row>
    <row r="266" spans="1:11" ht="15.75" thickBot="1" x14ac:dyDescent="0.3">
      <c r="A266" s="173">
        <v>43854</v>
      </c>
      <c r="B266" s="163">
        <v>57.98</v>
      </c>
      <c r="C266" s="163">
        <v>62.98</v>
      </c>
      <c r="F266" s="173">
        <v>43854</v>
      </c>
      <c r="G266" s="163">
        <v>74.5</v>
      </c>
      <c r="H266" s="163">
        <v>78.5</v>
      </c>
      <c r="K266" s="186">
        <v>43854</v>
      </c>
    </row>
    <row r="267" spans="1:11" ht="15.75" thickBot="1" x14ac:dyDescent="0.3">
      <c r="A267" s="172">
        <v>43857</v>
      </c>
      <c r="B267" s="164">
        <v>57.97</v>
      </c>
      <c r="C267" s="164">
        <v>62.97</v>
      </c>
      <c r="F267" s="172">
        <v>43857</v>
      </c>
      <c r="G267" s="164">
        <v>74</v>
      </c>
      <c r="H267" s="164">
        <v>78</v>
      </c>
      <c r="K267" s="185">
        <v>43857</v>
      </c>
    </row>
    <row r="268" spans="1:11" ht="15.75" thickBot="1" x14ac:dyDescent="0.3">
      <c r="A268" s="173">
        <v>43858</v>
      </c>
      <c r="B268" s="163">
        <v>58.07</v>
      </c>
      <c r="C268" s="163">
        <v>63.07</v>
      </c>
      <c r="F268" s="173">
        <v>43858</v>
      </c>
      <c r="G268" s="163">
        <v>74.25</v>
      </c>
      <c r="H268" s="163">
        <v>78.25</v>
      </c>
      <c r="K268" s="186">
        <v>43858</v>
      </c>
    </row>
    <row r="269" spans="1:11" ht="15.75" thickBot="1" x14ac:dyDescent="0.3">
      <c r="A269" s="172">
        <v>43859</v>
      </c>
      <c r="B269" s="164">
        <v>57.97</v>
      </c>
      <c r="C269" s="164">
        <v>62.97</v>
      </c>
      <c r="F269" s="172">
        <v>43859</v>
      </c>
      <c r="G269" s="164">
        <v>74.25</v>
      </c>
      <c r="H269" s="164">
        <v>78.25</v>
      </c>
      <c r="K269" s="185">
        <v>43859</v>
      </c>
    </row>
    <row r="270" spans="1:11" ht="15.75" thickBot="1" x14ac:dyDescent="0.3">
      <c r="A270" s="173">
        <v>43860</v>
      </c>
      <c r="B270" s="163">
        <v>57.97</v>
      </c>
      <c r="C270" s="163">
        <v>62.97</v>
      </c>
      <c r="F270" s="173">
        <v>43860</v>
      </c>
      <c r="G270" s="163">
        <v>74</v>
      </c>
      <c r="H270" s="163">
        <v>78</v>
      </c>
      <c r="K270" s="186">
        <v>43860</v>
      </c>
    </row>
    <row r="271" spans="1:11" ht="15.75" thickBot="1" x14ac:dyDescent="0.3">
      <c r="A271" s="172">
        <v>43861</v>
      </c>
      <c r="B271" s="164">
        <v>58.03</v>
      </c>
      <c r="C271" s="164">
        <v>63.03</v>
      </c>
      <c r="F271" s="172">
        <v>43861</v>
      </c>
      <c r="G271" s="164">
        <v>74</v>
      </c>
      <c r="H271" s="164">
        <v>78</v>
      </c>
      <c r="K271" s="185">
        <v>43861</v>
      </c>
    </row>
    <row r="272" spans="1:11" ht="15.75" thickBot="1" x14ac:dyDescent="0.3">
      <c r="A272" s="173">
        <v>43864</v>
      </c>
      <c r="B272" s="163">
        <v>58.05</v>
      </c>
      <c r="C272" s="163">
        <v>63.05</v>
      </c>
      <c r="F272" s="173">
        <v>43864</v>
      </c>
      <c r="G272" s="163">
        <v>74</v>
      </c>
      <c r="H272" s="163">
        <v>78</v>
      </c>
      <c r="K272" s="186">
        <v>43864</v>
      </c>
    </row>
    <row r="273" spans="1:11" ht="15.75" thickBot="1" x14ac:dyDescent="0.3">
      <c r="A273" s="172">
        <v>43865</v>
      </c>
      <c r="B273" s="164">
        <v>58.07</v>
      </c>
      <c r="C273" s="164">
        <v>63.07</v>
      </c>
      <c r="F273" s="172">
        <v>43865</v>
      </c>
      <c r="G273" s="164">
        <v>74</v>
      </c>
      <c r="H273" s="164">
        <v>78</v>
      </c>
      <c r="K273" s="185">
        <v>43865</v>
      </c>
    </row>
    <row r="274" spans="1:11" ht="15.75" thickBot="1" x14ac:dyDescent="0.3">
      <c r="A274" s="173">
        <v>43866</v>
      </c>
      <c r="B274" s="163">
        <v>57.1</v>
      </c>
      <c r="C274" s="163">
        <v>63.1</v>
      </c>
      <c r="F274" s="173">
        <v>43866</v>
      </c>
      <c r="G274" s="163">
        <v>74</v>
      </c>
      <c r="H274" s="163">
        <v>78</v>
      </c>
      <c r="K274" s="186">
        <v>43866</v>
      </c>
    </row>
    <row r="275" spans="1:11" ht="15.75" thickBot="1" x14ac:dyDescent="0.3">
      <c r="A275" s="172">
        <v>43867</v>
      </c>
      <c r="B275" s="164">
        <v>57.01</v>
      </c>
      <c r="C275" s="164">
        <v>63.01</v>
      </c>
      <c r="F275" s="172">
        <v>43867</v>
      </c>
      <c r="G275" s="164">
        <v>73.5</v>
      </c>
      <c r="H275" s="164">
        <v>77.5</v>
      </c>
      <c r="K275" s="185">
        <v>43867</v>
      </c>
    </row>
    <row r="276" spans="1:11" ht="15.75" thickBot="1" x14ac:dyDescent="0.3">
      <c r="A276" s="173">
        <v>43868</v>
      </c>
      <c r="B276" s="163">
        <v>57.05</v>
      </c>
      <c r="C276" s="163">
        <v>63.05</v>
      </c>
      <c r="F276" s="173">
        <v>43868</v>
      </c>
      <c r="G276" s="163">
        <v>73.5</v>
      </c>
      <c r="H276" s="163">
        <v>77.5</v>
      </c>
      <c r="K276" s="186">
        <v>43868</v>
      </c>
    </row>
    <row r="277" spans="1:11" ht="15.75" thickBot="1" x14ac:dyDescent="0.3">
      <c r="A277" s="172">
        <v>43871</v>
      </c>
      <c r="B277" s="164">
        <v>57.31</v>
      </c>
      <c r="C277" s="164">
        <v>63.31</v>
      </c>
      <c r="F277" s="172">
        <v>43871</v>
      </c>
      <c r="G277" s="164">
        <v>73</v>
      </c>
      <c r="H277" s="164">
        <v>77</v>
      </c>
      <c r="K277" s="185">
        <v>43871</v>
      </c>
    </row>
    <row r="278" spans="1:11" ht="15.75" thickBot="1" x14ac:dyDescent="0.3">
      <c r="A278" s="173">
        <v>43872</v>
      </c>
      <c r="B278" s="163">
        <v>57.46</v>
      </c>
      <c r="C278" s="163">
        <v>63.46</v>
      </c>
      <c r="F278" s="173">
        <v>43872</v>
      </c>
      <c r="G278" s="163">
        <v>73.5</v>
      </c>
      <c r="H278" s="163">
        <v>77.5</v>
      </c>
      <c r="K278" s="186">
        <v>43872</v>
      </c>
    </row>
    <row r="279" spans="1:11" ht="15.75" thickBot="1" x14ac:dyDescent="0.3">
      <c r="A279" s="172">
        <v>43873</v>
      </c>
      <c r="B279" s="164">
        <v>57.62</v>
      </c>
      <c r="C279" s="164">
        <v>63.62</v>
      </c>
      <c r="F279" s="172">
        <v>43873</v>
      </c>
      <c r="G279" s="164">
        <v>74.25</v>
      </c>
      <c r="H279" s="164">
        <v>78.25</v>
      </c>
      <c r="K279" s="185">
        <v>43873</v>
      </c>
    </row>
    <row r="280" spans="1:11" ht="15.75" thickBot="1" x14ac:dyDescent="0.3">
      <c r="A280" s="173">
        <v>43874</v>
      </c>
      <c r="B280" s="163">
        <v>57.66</v>
      </c>
      <c r="C280" s="163">
        <v>63.66</v>
      </c>
      <c r="F280" s="173">
        <v>43874</v>
      </c>
      <c r="G280" s="163">
        <v>74.900000000000006</v>
      </c>
      <c r="H280" s="163">
        <v>78.900000000000006</v>
      </c>
      <c r="K280" s="186">
        <v>43874</v>
      </c>
    </row>
    <row r="281" spans="1:11" ht="15.75" thickBot="1" x14ac:dyDescent="0.3">
      <c r="A281" s="172">
        <v>43875</v>
      </c>
      <c r="B281" s="164">
        <v>57.73</v>
      </c>
      <c r="C281" s="164">
        <v>63.73</v>
      </c>
      <c r="F281" s="172">
        <v>43875</v>
      </c>
      <c r="G281" s="164">
        <v>73.900000000000006</v>
      </c>
      <c r="H281" s="164">
        <v>77.900000000000006</v>
      </c>
      <c r="K281" s="185">
        <v>43875</v>
      </c>
    </row>
    <row r="282" spans="1:11" ht="15.75" thickBot="1" x14ac:dyDescent="0.3">
      <c r="A282" s="173">
        <v>43878</v>
      </c>
      <c r="B282" s="163">
        <v>58.78</v>
      </c>
      <c r="C282" s="163">
        <v>63.78</v>
      </c>
      <c r="F282" s="173">
        <v>43878</v>
      </c>
      <c r="G282" s="163">
        <v>74</v>
      </c>
      <c r="H282" s="163">
        <v>78</v>
      </c>
      <c r="K282" s="186">
        <v>43878</v>
      </c>
    </row>
    <row r="283" spans="1:11" ht="15.75" thickBot="1" x14ac:dyDescent="0.3">
      <c r="A283" s="172">
        <v>43879</v>
      </c>
      <c r="B283" s="164">
        <v>58.99</v>
      </c>
      <c r="C283" s="164">
        <v>63.99</v>
      </c>
      <c r="F283" s="172">
        <v>43879</v>
      </c>
      <c r="G283" s="164">
        <v>74.7</v>
      </c>
      <c r="H283" s="164">
        <v>78.7</v>
      </c>
      <c r="K283" s="185">
        <v>43879</v>
      </c>
    </row>
    <row r="284" spans="1:11" ht="15.75" thickBot="1" x14ac:dyDescent="0.3">
      <c r="A284" s="173">
        <v>43880</v>
      </c>
      <c r="B284" s="163">
        <v>58.71</v>
      </c>
      <c r="C284" s="163">
        <v>63.71</v>
      </c>
      <c r="F284" s="173">
        <v>43880</v>
      </c>
      <c r="G284" s="163">
        <v>74.900000000000006</v>
      </c>
      <c r="H284" s="163">
        <v>78.900000000000006</v>
      </c>
      <c r="K284" s="186">
        <v>43880</v>
      </c>
    </row>
    <row r="285" spans="1:11" ht="15.75" thickBot="1" x14ac:dyDescent="0.3">
      <c r="A285" s="172">
        <v>43881</v>
      </c>
      <c r="B285" s="164">
        <v>58.86</v>
      </c>
      <c r="C285" s="164">
        <v>63.86</v>
      </c>
      <c r="F285" s="172">
        <v>43881</v>
      </c>
      <c r="G285" s="164">
        <v>74.8</v>
      </c>
      <c r="H285" s="164">
        <v>78.8</v>
      </c>
      <c r="K285" s="185">
        <v>43881</v>
      </c>
    </row>
    <row r="286" spans="1:11" ht="15.75" thickBot="1" x14ac:dyDescent="0.3">
      <c r="A286" s="173">
        <v>43882</v>
      </c>
      <c r="B286" s="163">
        <v>58.99</v>
      </c>
      <c r="C286" s="163">
        <v>63.99</v>
      </c>
      <c r="F286" s="173">
        <v>43882</v>
      </c>
      <c r="G286" s="163">
        <v>74.8</v>
      </c>
      <c r="H286" s="163">
        <v>78.8</v>
      </c>
      <c r="K286" s="186">
        <v>43882</v>
      </c>
    </row>
    <row r="287" spans="1:11" ht="15.75" thickBot="1" x14ac:dyDescent="0.3">
      <c r="A287" s="172">
        <v>43887</v>
      </c>
      <c r="B287" s="164">
        <v>59.09</v>
      </c>
      <c r="C287" s="164">
        <v>64.09</v>
      </c>
      <c r="F287" s="172">
        <v>43887</v>
      </c>
      <c r="G287" s="164">
        <v>74.7</v>
      </c>
      <c r="H287" s="164">
        <v>78.7</v>
      </c>
      <c r="K287" s="185">
        <v>43887</v>
      </c>
    </row>
    <row r="288" spans="1:11" ht="15.75" thickBot="1" x14ac:dyDescent="0.3">
      <c r="A288" s="173">
        <v>43888</v>
      </c>
      <c r="B288" s="163">
        <v>59.03</v>
      </c>
      <c r="C288" s="163">
        <v>64.03</v>
      </c>
      <c r="F288" s="173">
        <v>43888</v>
      </c>
      <c r="G288" s="163">
        <v>74.5</v>
      </c>
      <c r="H288" s="163">
        <v>78.5</v>
      </c>
      <c r="K288" s="186">
        <v>43888</v>
      </c>
    </row>
    <row r="289" spans="1:13" ht="15.75" thickBot="1" x14ac:dyDescent="0.3">
      <c r="A289" s="172">
        <v>43889</v>
      </c>
      <c r="B289" s="164">
        <v>59.26</v>
      </c>
      <c r="C289" s="164">
        <v>64.260000000000005</v>
      </c>
      <c r="F289" s="172">
        <v>43889</v>
      </c>
      <c r="G289" s="164">
        <v>74.5</v>
      </c>
      <c r="H289" s="164">
        <v>78.5</v>
      </c>
      <c r="K289" s="185">
        <v>43889</v>
      </c>
    </row>
    <row r="290" spans="1:13" ht="15.75" thickBot="1" x14ac:dyDescent="0.3">
      <c r="A290" s="173">
        <v>43892</v>
      </c>
      <c r="B290" s="163">
        <v>59.39</v>
      </c>
      <c r="C290" s="163">
        <v>64.39</v>
      </c>
      <c r="F290" s="173">
        <v>43892</v>
      </c>
      <c r="G290" s="163">
        <v>74.5</v>
      </c>
      <c r="H290" s="163">
        <v>78.5</v>
      </c>
      <c r="K290" s="186">
        <v>43892</v>
      </c>
    </row>
    <row r="291" spans="1:13" ht="15.75" thickBot="1" x14ac:dyDescent="0.3">
      <c r="A291" s="172">
        <v>43893</v>
      </c>
      <c r="B291" s="164">
        <v>59.51</v>
      </c>
      <c r="C291" s="164">
        <v>64.510000000000005</v>
      </c>
      <c r="F291" s="172">
        <v>43893</v>
      </c>
      <c r="G291" s="164">
        <v>74.5</v>
      </c>
      <c r="H291" s="164">
        <v>78.5</v>
      </c>
      <c r="K291" s="185">
        <v>43893</v>
      </c>
    </row>
    <row r="292" spans="1:13" ht="15.75" thickBot="1" x14ac:dyDescent="0.3">
      <c r="A292" s="173">
        <v>43894</v>
      </c>
      <c r="B292" s="163">
        <v>59.53</v>
      </c>
      <c r="C292" s="163">
        <v>64.53</v>
      </c>
      <c r="F292" s="173">
        <v>43894</v>
      </c>
      <c r="G292" s="163">
        <v>74.5</v>
      </c>
      <c r="H292" s="163">
        <v>78.5</v>
      </c>
      <c r="K292" s="186">
        <v>43894</v>
      </c>
    </row>
    <row r="293" spans="1:13" ht="15.75" thickBot="1" x14ac:dyDescent="0.3">
      <c r="A293" s="172">
        <v>43895</v>
      </c>
      <c r="B293" s="164">
        <v>59.41</v>
      </c>
      <c r="C293" s="164">
        <v>64.41</v>
      </c>
      <c r="F293" s="172">
        <v>43895</v>
      </c>
      <c r="G293" s="164">
        <v>74.5</v>
      </c>
      <c r="H293" s="164">
        <v>78.5</v>
      </c>
      <c r="K293" s="185">
        <v>43895</v>
      </c>
    </row>
    <row r="294" spans="1:13" ht="15.75" thickBot="1" x14ac:dyDescent="0.3">
      <c r="A294" s="173">
        <v>43896</v>
      </c>
      <c r="B294" s="163">
        <v>59.71</v>
      </c>
      <c r="C294" s="163">
        <v>64.709999999999994</v>
      </c>
      <c r="F294" s="173">
        <v>43896</v>
      </c>
      <c r="G294" s="163">
        <v>74.5</v>
      </c>
      <c r="H294" s="163">
        <v>78.5</v>
      </c>
      <c r="K294" s="186">
        <v>43896</v>
      </c>
    </row>
    <row r="295" spans="1:13" ht="15.75" thickBot="1" x14ac:dyDescent="0.3">
      <c r="A295" s="172">
        <v>43899</v>
      </c>
      <c r="B295" s="164">
        <v>59.71</v>
      </c>
      <c r="C295" s="164">
        <v>64.709999999999994</v>
      </c>
      <c r="F295" s="172">
        <v>43899</v>
      </c>
      <c r="G295" s="164">
        <v>75.5</v>
      </c>
      <c r="H295" s="164">
        <v>79.5</v>
      </c>
      <c r="K295" s="185">
        <v>43899</v>
      </c>
    </row>
    <row r="296" spans="1:13" ht="15.75" thickBot="1" x14ac:dyDescent="0.3">
      <c r="A296" s="173">
        <v>43900</v>
      </c>
      <c r="B296" s="163">
        <v>59.72</v>
      </c>
      <c r="C296" s="163">
        <v>64.72</v>
      </c>
      <c r="F296" s="173">
        <v>43900</v>
      </c>
      <c r="G296" s="163">
        <v>75.75</v>
      </c>
      <c r="H296" s="163">
        <v>79.75</v>
      </c>
      <c r="K296" s="186">
        <v>43900</v>
      </c>
    </row>
    <row r="297" spans="1:13" ht="15.75" thickBot="1" x14ac:dyDescent="0.3">
      <c r="A297" s="172">
        <v>43901</v>
      </c>
      <c r="B297" s="164">
        <v>59.74</v>
      </c>
      <c r="C297" s="164">
        <v>64.739999999999995</v>
      </c>
      <c r="F297" s="172">
        <v>43901</v>
      </c>
      <c r="G297" s="164">
        <v>76</v>
      </c>
      <c r="H297" s="164">
        <v>80</v>
      </c>
      <c r="K297" s="185">
        <v>43901</v>
      </c>
    </row>
    <row r="298" spans="1:13" ht="15.75" thickBot="1" x14ac:dyDescent="0.3">
      <c r="A298" s="173">
        <v>43902</v>
      </c>
      <c r="B298" s="163">
        <v>60.02</v>
      </c>
      <c r="C298" s="163">
        <v>65.02</v>
      </c>
      <c r="F298" s="173">
        <v>43902</v>
      </c>
      <c r="G298" s="163">
        <v>79</v>
      </c>
      <c r="H298" s="163">
        <v>83</v>
      </c>
      <c r="K298" s="186">
        <v>43902</v>
      </c>
    </row>
    <row r="299" spans="1:13" ht="15.75" thickBot="1" x14ac:dyDescent="0.3">
      <c r="A299" s="172">
        <v>43903</v>
      </c>
      <c r="B299" s="164">
        <v>60.05</v>
      </c>
      <c r="C299" s="164">
        <v>65.05</v>
      </c>
      <c r="F299" s="172">
        <v>43903</v>
      </c>
      <c r="G299" s="164">
        <v>79.75</v>
      </c>
      <c r="H299" s="164">
        <v>83.75</v>
      </c>
      <c r="K299" s="185">
        <v>43903</v>
      </c>
    </row>
    <row r="300" spans="1:13" ht="15.75" thickBot="1" x14ac:dyDescent="0.3">
      <c r="A300" s="173">
        <v>43906</v>
      </c>
      <c r="B300" s="163">
        <v>60.09</v>
      </c>
      <c r="C300" s="163">
        <v>65.09</v>
      </c>
      <c r="F300" s="173">
        <v>43906</v>
      </c>
      <c r="G300" s="163">
        <v>81</v>
      </c>
      <c r="H300" s="163">
        <v>85</v>
      </c>
      <c r="K300" s="186">
        <v>43906</v>
      </c>
    </row>
    <row r="301" spans="1:13" ht="15.75" thickBot="1" x14ac:dyDescent="0.3">
      <c r="A301" s="172">
        <v>43907</v>
      </c>
      <c r="B301" s="164">
        <v>59.96</v>
      </c>
      <c r="C301" s="164">
        <v>64.959999999999994</v>
      </c>
      <c r="F301" s="172">
        <v>43907</v>
      </c>
      <c r="G301" s="164">
        <v>82.5</v>
      </c>
      <c r="H301" s="164">
        <v>86.5</v>
      </c>
      <c r="K301" s="185">
        <v>43907</v>
      </c>
    </row>
    <row r="302" spans="1:13" ht="15.75" thickBot="1" x14ac:dyDescent="0.3">
      <c r="A302" s="173">
        <v>43908</v>
      </c>
      <c r="B302" s="163">
        <v>60.46</v>
      </c>
      <c r="C302" s="163">
        <v>65.459999999999994</v>
      </c>
      <c r="F302" s="173">
        <v>43908</v>
      </c>
      <c r="G302" s="163">
        <v>84.25</v>
      </c>
      <c r="H302" s="163">
        <v>89.25</v>
      </c>
      <c r="K302" s="186">
        <v>43908</v>
      </c>
    </row>
    <row r="303" spans="1:13" ht="15.75" thickBot="1" x14ac:dyDescent="0.3">
      <c r="A303" s="172">
        <v>43909</v>
      </c>
      <c r="B303" s="164">
        <v>60.59</v>
      </c>
      <c r="C303" s="164">
        <v>65.59</v>
      </c>
      <c r="F303" s="172">
        <v>43909</v>
      </c>
      <c r="G303" s="164">
        <v>81.5</v>
      </c>
      <c r="H303" s="164">
        <v>85.5</v>
      </c>
      <c r="K303" s="185">
        <v>43909</v>
      </c>
    </row>
    <row r="304" spans="1:13" ht="15.75" thickBot="1" x14ac:dyDescent="0.3">
      <c r="A304" s="173">
        <v>43910</v>
      </c>
      <c r="B304" s="163">
        <v>60.91</v>
      </c>
      <c r="C304" s="163">
        <v>65.91</v>
      </c>
      <c r="F304" s="173">
        <v>43910</v>
      </c>
      <c r="G304" s="163">
        <v>80.5</v>
      </c>
      <c r="H304" s="163">
        <v>85.5</v>
      </c>
      <c r="K304" s="186">
        <v>43910</v>
      </c>
      <c r="L304" s="181">
        <v>91.4</v>
      </c>
      <c r="M304" s="184">
        <f>+L304/G304-1</f>
        <v>0.13540372670807455</v>
      </c>
    </row>
    <row r="305" spans="1:13" ht="15.75" thickBot="1" x14ac:dyDescent="0.3">
      <c r="A305" s="172">
        <v>43915</v>
      </c>
      <c r="B305" s="164">
        <v>60.85</v>
      </c>
      <c r="C305" s="164">
        <v>65.849999999999994</v>
      </c>
      <c r="F305" s="172">
        <v>43915</v>
      </c>
      <c r="G305" s="164">
        <v>79.5</v>
      </c>
      <c r="H305" s="164">
        <v>84.5</v>
      </c>
      <c r="K305" s="185">
        <v>43915</v>
      </c>
      <c r="L305" s="182">
        <v>86.79</v>
      </c>
      <c r="M305" s="184">
        <f t="shared" ref="M305:M368" si="0">+L305/G305-1</f>
        <v>9.1698113207547172E-2</v>
      </c>
    </row>
    <row r="306" spans="1:13" ht="15.75" thickBot="1" x14ac:dyDescent="0.3">
      <c r="A306" s="173">
        <v>43916</v>
      </c>
      <c r="B306" s="163">
        <v>61.13</v>
      </c>
      <c r="C306" s="163">
        <v>66.13</v>
      </c>
      <c r="F306" s="173">
        <v>43916</v>
      </c>
      <c r="G306" s="163">
        <v>79.5</v>
      </c>
      <c r="H306" s="163">
        <v>84.5</v>
      </c>
      <c r="K306" s="186">
        <v>43916</v>
      </c>
      <c r="L306" s="181">
        <v>83.2</v>
      </c>
      <c r="M306" s="184">
        <f t="shared" si="0"/>
        <v>4.6540880503144644E-2</v>
      </c>
    </row>
    <row r="307" spans="1:13" ht="15.75" thickBot="1" x14ac:dyDescent="0.3">
      <c r="A307" s="172">
        <v>43917</v>
      </c>
      <c r="B307" s="164">
        <v>61.44</v>
      </c>
      <c r="C307" s="164">
        <v>66.44</v>
      </c>
      <c r="F307" s="172">
        <v>43917</v>
      </c>
      <c r="G307" s="164">
        <v>78.5</v>
      </c>
      <c r="H307" s="164">
        <v>83.5</v>
      </c>
      <c r="K307" s="185">
        <v>43917</v>
      </c>
      <c r="L307" s="182">
        <v>85.42</v>
      </c>
      <c r="M307" s="184">
        <f t="shared" si="0"/>
        <v>8.815286624203833E-2</v>
      </c>
    </row>
    <row r="308" spans="1:13" ht="15.75" thickBot="1" x14ac:dyDescent="0.3">
      <c r="A308" s="173">
        <v>43920</v>
      </c>
      <c r="B308" s="163">
        <v>61.58</v>
      </c>
      <c r="C308" s="163">
        <v>66.58</v>
      </c>
      <c r="F308" s="173">
        <v>43920</v>
      </c>
      <c r="G308" s="163">
        <v>78.5</v>
      </c>
      <c r="H308" s="163">
        <v>83.5</v>
      </c>
      <c r="K308" s="186">
        <v>43920</v>
      </c>
      <c r="L308" s="181">
        <v>85.96</v>
      </c>
      <c r="M308" s="184">
        <f t="shared" si="0"/>
        <v>9.5031847133757896E-2</v>
      </c>
    </row>
    <row r="309" spans="1:13" ht="15.75" thickBot="1" x14ac:dyDescent="0.3">
      <c r="A309" s="172">
        <v>43922</v>
      </c>
      <c r="B309" s="164">
        <v>61.61</v>
      </c>
      <c r="C309" s="164">
        <v>66.61</v>
      </c>
      <c r="F309" s="172">
        <v>43922</v>
      </c>
      <c r="G309" s="164">
        <v>79.5</v>
      </c>
      <c r="H309" s="164">
        <v>83.5</v>
      </c>
      <c r="K309" s="185">
        <v>43922</v>
      </c>
      <c r="L309" s="182">
        <v>87.88</v>
      </c>
      <c r="M309" s="184">
        <f t="shared" si="0"/>
        <v>0.10540880503144656</v>
      </c>
    </row>
    <row r="310" spans="1:13" ht="15.75" thickBot="1" x14ac:dyDescent="0.3">
      <c r="A310" s="173">
        <v>43923</v>
      </c>
      <c r="B310" s="163">
        <v>61.51</v>
      </c>
      <c r="C310" s="163">
        <v>66.510000000000005</v>
      </c>
      <c r="F310" s="173">
        <v>43923</v>
      </c>
      <c r="G310" s="163">
        <v>78.5</v>
      </c>
      <c r="H310" s="163">
        <v>83.5</v>
      </c>
      <c r="K310" s="186">
        <v>43923</v>
      </c>
      <c r="L310" s="181">
        <v>87.78</v>
      </c>
      <c r="M310" s="184">
        <f t="shared" si="0"/>
        <v>0.1182165605095542</v>
      </c>
    </row>
    <row r="311" spans="1:13" ht="15.75" thickBot="1" x14ac:dyDescent="0.3">
      <c r="A311" s="172">
        <v>43924</v>
      </c>
      <c r="B311" s="164">
        <v>61.85</v>
      </c>
      <c r="C311" s="164">
        <v>66.849999999999994</v>
      </c>
      <c r="F311" s="172">
        <v>43924</v>
      </c>
      <c r="G311" s="164">
        <v>78.5</v>
      </c>
      <c r="H311" s="164">
        <v>83.5</v>
      </c>
      <c r="K311" s="185">
        <v>43924</v>
      </c>
      <c r="L311" s="182">
        <v>88.42</v>
      </c>
      <c r="M311" s="184">
        <f t="shared" si="0"/>
        <v>0.12636942675159246</v>
      </c>
    </row>
    <row r="312" spans="1:13" ht="15.75" thickBot="1" x14ac:dyDescent="0.3">
      <c r="A312" s="173">
        <v>43927</v>
      </c>
      <c r="B312" s="163">
        <v>61.98</v>
      </c>
      <c r="C312" s="163">
        <v>66.98</v>
      </c>
      <c r="F312" s="173">
        <v>43927</v>
      </c>
      <c r="G312" s="163">
        <v>80</v>
      </c>
      <c r="H312" s="163">
        <v>85</v>
      </c>
      <c r="K312" s="186">
        <v>43927</v>
      </c>
      <c r="L312" s="181">
        <v>89.57</v>
      </c>
      <c r="M312" s="184">
        <f t="shared" si="0"/>
        <v>0.11962499999999987</v>
      </c>
    </row>
    <row r="313" spans="1:13" ht="15.75" thickBot="1" x14ac:dyDescent="0.3">
      <c r="A313" s="172">
        <v>43928</v>
      </c>
      <c r="B313" s="164">
        <v>62.09</v>
      </c>
      <c r="C313" s="164">
        <v>67.09</v>
      </c>
      <c r="F313" s="172">
        <v>43928</v>
      </c>
      <c r="G313" s="164">
        <v>80</v>
      </c>
      <c r="H313" s="164">
        <v>85</v>
      </c>
      <c r="K313" s="185">
        <v>43928</v>
      </c>
      <c r="L313" s="182">
        <v>90.44</v>
      </c>
      <c r="M313" s="184">
        <f t="shared" si="0"/>
        <v>0.13050000000000006</v>
      </c>
    </row>
    <row r="314" spans="1:13" ht="15.75" thickBot="1" x14ac:dyDescent="0.3">
      <c r="A314" s="173">
        <v>43929</v>
      </c>
      <c r="B314" s="163">
        <v>62.07</v>
      </c>
      <c r="C314" s="163">
        <v>67.069999999999993</v>
      </c>
      <c r="F314" s="173">
        <v>43929</v>
      </c>
      <c r="G314" s="163">
        <v>80</v>
      </c>
      <c r="H314" s="163">
        <v>85</v>
      </c>
      <c r="K314" s="186">
        <v>43929</v>
      </c>
      <c r="L314" s="181">
        <v>94.27</v>
      </c>
      <c r="M314" s="184">
        <f t="shared" si="0"/>
        <v>0.17837499999999995</v>
      </c>
    </row>
    <row r="315" spans="1:13" ht="15.75" thickBot="1" x14ac:dyDescent="0.3">
      <c r="A315" s="172">
        <v>43934</v>
      </c>
      <c r="B315" s="164">
        <v>62.43</v>
      </c>
      <c r="C315" s="164">
        <v>67.430000000000007</v>
      </c>
      <c r="F315" s="172">
        <v>43934</v>
      </c>
      <c r="G315" s="164">
        <v>84.25</v>
      </c>
      <c r="H315" s="164">
        <v>89.25</v>
      </c>
      <c r="K315" s="185">
        <v>43934</v>
      </c>
      <c r="L315" s="182">
        <v>101.09</v>
      </c>
      <c r="M315" s="184">
        <f t="shared" si="0"/>
        <v>0.19988130563798223</v>
      </c>
    </row>
    <row r="316" spans="1:13" ht="15.75" thickBot="1" x14ac:dyDescent="0.3">
      <c r="A316" s="173">
        <v>43935</v>
      </c>
      <c r="B316" s="163">
        <v>62.53</v>
      </c>
      <c r="C316" s="163">
        <v>67.53</v>
      </c>
      <c r="F316" s="173">
        <v>43935</v>
      </c>
      <c r="G316" s="163">
        <v>85</v>
      </c>
      <c r="H316" s="163">
        <v>90</v>
      </c>
      <c r="K316" s="186">
        <v>43935</v>
      </c>
      <c r="L316" s="181">
        <v>106.26</v>
      </c>
      <c r="M316" s="184">
        <f t="shared" si="0"/>
        <v>0.25011764705882356</v>
      </c>
    </row>
    <row r="317" spans="1:13" ht="15.75" thickBot="1" x14ac:dyDescent="0.3">
      <c r="A317" s="172">
        <v>43936</v>
      </c>
      <c r="B317" s="164">
        <v>62.6</v>
      </c>
      <c r="C317" s="164">
        <v>67.599999999999994</v>
      </c>
      <c r="F317" s="172">
        <v>43936</v>
      </c>
      <c r="G317" s="164">
        <v>90</v>
      </c>
      <c r="H317" s="164">
        <v>96</v>
      </c>
      <c r="K317" s="185">
        <v>43936</v>
      </c>
      <c r="L317" s="182">
        <v>108.32</v>
      </c>
      <c r="M317" s="184">
        <f t="shared" si="0"/>
        <v>0.20355555555555549</v>
      </c>
    </row>
    <row r="318" spans="1:13" ht="15.75" thickBot="1" x14ac:dyDescent="0.3">
      <c r="A318" s="173">
        <v>43937</v>
      </c>
      <c r="B318" s="163">
        <v>62.87</v>
      </c>
      <c r="C318" s="163">
        <v>67.87</v>
      </c>
      <c r="F318" s="173">
        <v>43937</v>
      </c>
      <c r="G318" s="163">
        <v>95</v>
      </c>
      <c r="H318" s="163">
        <v>100</v>
      </c>
      <c r="K318" s="186">
        <v>43937</v>
      </c>
      <c r="L318" s="181">
        <v>103.37</v>
      </c>
      <c r="M318" s="184">
        <f t="shared" si="0"/>
        <v>8.8105263157894687E-2</v>
      </c>
    </row>
    <row r="319" spans="1:13" ht="15.75" thickBot="1" x14ac:dyDescent="0.3">
      <c r="A319" s="172">
        <v>43938</v>
      </c>
      <c r="B319" s="164">
        <v>62.96</v>
      </c>
      <c r="C319" s="164">
        <v>67.959999999999994</v>
      </c>
      <c r="F319" s="172">
        <v>43938</v>
      </c>
      <c r="G319" s="164">
        <v>96</v>
      </c>
      <c r="H319" s="164">
        <v>105</v>
      </c>
      <c r="K319" s="185">
        <v>43938</v>
      </c>
      <c r="L319" s="182">
        <v>99.84</v>
      </c>
      <c r="M319" s="184">
        <f t="shared" si="0"/>
        <v>4.0000000000000036E-2</v>
      </c>
    </row>
    <row r="320" spans="1:13" ht="15.75" thickBot="1" x14ac:dyDescent="0.3">
      <c r="A320" s="173">
        <v>43941</v>
      </c>
      <c r="B320" s="163">
        <v>62.96</v>
      </c>
      <c r="C320" s="163">
        <v>67.959999999999994</v>
      </c>
      <c r="F320" s="173">
        <v>43941</v>
      </c>
      <c r="G320" s="163">
        <v>96</v>
      </c>
      <c r="H320" s="163">
        <v>105</v>
      </c>
      <c r="K320" s="186">
        <v>43941</v>
      </c>
      <c r="L320" s="181">
        <v>104.23</v>
      </c>
      <c r="M320" s="184">
        <f t="shared" si="0"/>
        <v>8.5729166666666634E-2</v>
      </c>
    </row>
    <row r="321" spans="1:13" ht="15.75" thickBot="1" x14ac:dyDescent="0.3">
      <c r="A321" s="172">
        <v>43942</v>
      </c>
      <c r="B321" s="164">
        <v>63.34</v>
      </c>
      <c r="C321" s="164">
        <v>68.34</v>
      </c>
      <c r="F321" s="172">
        <v>43942</v>
      </c>
      <c r="G321" s="164">
        <v>98</v>
      </c>
      <c r="H321" s="164">
        <v>107</v>
      </c>
      <c r="K321" s="185">
        <v>43942</v>
      </c>
      <c r="L321" s="182">
        <v>108.43</v>
      </c>
      <c r="M321" s="184">
        <f t="shared" si="0"/>
        <v>0.10642857142857154</v>
      </c>
    </row>
    <row r="322" spans="1:13" ht="15.75" thickBot="1" x14ac:dyDescent="0.3">
      <c r="A322" s="173">
        <v>43943</v>
      </c>
      <c r="B322" s="163">
        <v>63.43</v>
      </c>
      <c r="C322" s="163">
        <v>68.430000000000007</v>
      </c>
      <c r="F322" s="173">
        <v>43943</v>
      </c>
      <c r="G322" s="163">
        <v>100</v>
      </c>
      <c r="H322" s="163">
        <v>110</v>
      </c>
      <c r="K322" s="186">
        <v>43943</v>
      </c>
      <c r="L322" s="181">
        <v>109.18</v>
      </c>
      <c r="M322" s="184">
        <f t="shared" si="0"/>
        <v>9.1800000000000104E-2</v>
      </c>
    </row>
    <row r="323" spans="1:13" ht="15.75" thickBot="1" x14ac:dyDescent="0.3">
      <c r="A323" s="172">
        <v>43944</v>
      </c>
      <c r="B323" s="164">
        <v>63.44</v>
      </c>
      <c r="C323" s="164">
        <v>68.44</v>
      </c>
      <c r="F323" s="172">
        <v>43944</v>
      </c>
      <c r="G323" s="164">
        <v>110</v>
      </c>
      <c r="H323" s="164">
        <v>120</v>
      </c>
      <c r="K323" s="185">
        <v>43944</v>
      </c>
      <c r="L323" s="182">
        <v>110.05</v>
      </c>
      <c r="M323" s="184">
        <f t="shared" si="0"/>
        <v>4.5454545454548523E-4</v>
      </c>
    </row>
    <row r="324" spans="1:13" ht="15.75" thickBot="1" x14ac:dyDescent="0.3">
      <c r="A324" s="173">
        <v>43945</v>
      </c>
      <c r="B324" s="163">
        <v>63.69</v>
      </c>
      <c r="C324" s="163">
        <v>68.69</v>
      </c>
      <c r="F324" s="173">
        <v>43945</v>
      </c>
      <c r="G324" s="163">
        <v>107</v>
      </c>
      <c r="H324" s="163">
        <v>117</v>
      </c>
      <c r="K324" s="186">
        <v>43945</v>
      </c>
      <c r="L324" s="181">
        <v>108.35</v>
      </c>
      <c r="M324" s="184">
        <f t="shared" si="0"/>
        <v>1.2616822429906582E-2</v>
      </c>
    </row>
    <row r="325" spans="1:13" ht="15.75" thickBot="1" x14ac:dyDescent="0.3">
      <c r="A325" s="172">
        <v>43948</v>
      </c>
      <c r="B325" s="164">
        <v>63.89</v>
      </c>
      <c r="C325" s="164">
        <v>68.89</v>
      </c>
      <c r="F325" s="172">
        <v>43948</v>
      </c>
      <c r="G325" s="164">
        <v>108</v>
      </c>
      <c r="H325" s="164">
        <v>118</v>
      </c>
      <c r="K325" s="185">
        <v>43948</v>
      </c>
      <c r="L325" s="182">
        <v>112.92</v>
      </c>
      <c r="M325" s="184">
        <f t="shared" si="0"/>
        <v>4.5555555555555571E-2</v>
      </c>
    </row>
    <row r="326" spans="1:13" ht="15.75" thickBot="1" x14ac:dyDescent="0.3">
      <c r="A326" s="173">
        <v>43949</v>
      </c>
      <c r="B326" s="163">
        <v>63.97</v>
      </c>
      <c r="C326" s="163">
        <v>68.97</v>
      </c>
      <c r="F326" s="173">
        <v>43949</v>
      </c>
      <c r="G326" s="163">
        <v>110</v>
      </c>
      <c r="H326" s="163">
        <v>120</v>
      </c>
      <c r="K326" s="186">
        <v>43949</v>
      </c>
      <c r="L326" s="181">
        <v>116.95</v>
      </c>
      <c r="M326" s="184">
        <f t="shared" si="0"/>
        <v>6.3181818181818228E-2</v>
      </c>
    </row>
    <row r="327" spans="1:13" ht="15.75" thickBot="1" x14ac:dyDescent="0.3">
      <c r="A327" s="172">
        <v>43950</v>
      </c>
      <c r="B327" s="164">
        <v>64.069999999999993</v>
      </c>
      <c r="C327" s="164">
        <v>69.069999999999993</v>
      </c>
      <c r="F327" s="172">
        <v>43950</v>
      </c>
      <c r="G327" s="164">
        <v>111</v>
      </c>
      <c r="H327" s="164">
        <v>121</v>
      </c>
      <c r="K327" s="185">
        <v>43950</v>
      </c>
      <c r="L327" s="182">
        <v>108.87</v>
      </c>
      <c r="M327" s="184">
        <f t="shared" si="0"/>
        <v>-1.9189189189189104E-2</v>
      </c>
    </row>
    <row r="328" spans="1:13" ht="15.75" thickBot="1" x14ac:dyDescent="0.3">
      <c r="A328" s="173">
        <v>43951</v>
      </c>
      <c r="B328" s="163">
        <v>64.16</v>
      </c>
      <c r="C328" s="163">
        <v>69.16</v>
      </c>
      <c r="F328" s="173">
        <v>43951</v>
      </c>
      <c r="G328" s="163">
        <v>108</v>
      </c>
      <c r="H328" s="163">
        <v>118</v>
      </c>
      <c r="K328" s="186">
        <v>43951</v>
      </c>
      <c r="L328" s="181">
        <v>112.31</v>
      </c>
      <c r="M328" s="184">
        <f t="shared" si="0"/>
        <v>3.9907407407407502E-2</v>
      </c>
    </row>
    <row r="329" spans="1:13" ht="15.75" thickBot="1" x14ac:dyDescent="0.3">
      <c r="A329" s="172">
        <v>43955</v>
      </c>
      <c r="B329" s="164">
        <v>64.16</v>
      </c>
      <c r="C329" s="164">
        <v>69.16</v>
      </c>
      <c r="F329" s="172">
        <v>43955</v>
      </c>
      <c r="G329" s="164">
        <v>110</v>
      </c>
      <c r="H329" s="164">
        <v>120</v>
      </c>
      <c r="K329" s="185">
        <v>43955</v>
      </c>
      <c r="L329" s="182">
        <v>110.19</v>
      </c>
      <c r="M329" s="184">
        <f t="shared" si="0"/>
        <v>1.7272727272727995E-3</v>
      </c>
    </row>
    <row r="330" spans="1:13" ht="15.75" thickBot="1" x14ac:dyDescent="0.3">
      <c r="A330" s="173">
        <v>43956</v>
      </c>
      <c r="B330" s="163">
        <v>64.31</v>
      </c>
      <c r="C330" s="163">
        <v>69.31</v>
      </c>
      <c r="F330" s="173">
        <v>43956</v>
      </c>
      <c r="G330" s="163">
        <v>110</v>
      </c>
      <c r="H330" s="163">
        <v>120</v>
      </c>
      <c r="K330" s="186">
        <v>43956</v>
      </c>
      <c r="L330" s="181">
        <v>117.08</v>
      </c>
      <c r="M330" s="184">
        <f t="shared" si="0"/>
        <v>6.4363636363636401E-2</v>
      </c>
    </row>
    <row r="331" spans="1:13" ht="15.75" thickBot="1" x14ac:dyDescent="0.3">
      <c r="A331" s="172">
        <v>43957</v>
      </c>
      <c r="B331" s="164">
        <v>64.459999999999994</v>
      </c>
      <c r="C331" s="164">
        <v>69.459999999999994</v>
      </c>
      <c r="F331" s="172">
        <v>43957</v>
      </c>
      <c r="G331" s="164">
        <v>112</v>
      </c>
      <c r="H331" s="164">
        <v>122</v>
      </c>
      <c r="K331" s="185">
        <v>43957</v>
      </c>
      <c r="L331" s="182">
        <v>115.88</v>
      </c>
      <c r="M331" s="184">
        <f t="shared" si="0"/>
        <v>3.4642857142857197E-2</v>
      </c>
    </row>
    <row r="332" spans="1:13" ht="15.75" thickBot="1" x14ac:dyDescent="0.3">
      <c r="A332" s="173">
        <v>43958</v>
      </c>
      <c r="B332" s="163">
        <v>64.540000000000006</v>
      </c>
      <c r="C332" s="163">
        <v>69.540000000000006</v>
      </c>
      <c r="F332" s="173">
        <v>43958</v>
      </c>
      <c r="G332" s="163">
        <v>112</v>
      </c>
      <c r="H332" s="163">
        <v>122</v>
      </c>
      <c r="K332" s="186">
        <v>43958</v>
      </c>
      <c r="L332" s="181">
        <v>115.77</v>
      </c>
      <c r="M332" s="184">
        <f t="shared" si="0"/>
        <v>3.3660714285714155E-2</v>
      </c>
    </row>
    <row r="333" spans="1:13" ht="15.75" thickBot="1" x14ac:dyDescent="0.3">
      <c r="A333" s="172">
        <v>43959</v>
      </c>
      <c r="B333" s="164">
        <v>64.63</v>
      </c>
      <c r="C333" s="164">
        <v>69.63</v>
      </c>
      <c r="F333" s="172">
        <v>43959</v>
      </c>
      <c r="G333" s="164">
        <v>112</v>
      </c>
      <c r="H333" s="164">
        <v>122</v>
      </c>
      <c r="K333" s="185">
        <v>43959</v>
      </c>
      <c r="L333" s="182">
        <v>112.98</v>
      </c>
      <c r="M333" s="184">
        <f t="shared" si="0"/>
        <v>8.7500000000000355E-3</v>
      </c>
    </row>
    <row r="334" spans="1:13" ht="15.75" thickBot="1" x14ac:dyDescent="0.3">
      <c r="A334" s="173">
        <v>43962</v>
      </c>
      <c r="B334" s="163">
        <v>64.63</v>
      </c>
      <c r="C334" s="163">
        <v>69.63</v>
      </c>
      <c r="F334" s="173">
        <v>43962</v>
      </c>
      <c r="G334" s="163">
        <v>114.5</v>
      </c>
      <c r="H334" s="163">
        <v>124.5</v>
      </c>
      <c r="K334" s="186">
        <v>43962</v>
      </c>
      <c r="L334" s="181">
        <v>115.98</v>
      </c>
      <c r="M334" s="184">
        <f t="shared" si="0"/>
        <v>1.2925764192139866E-2</v>
      </c>
    </row>
    <row r="335" spans="1:13" ht="15.75" thickBot="1" x14ac:dyDescent="0.3">
      <c r="A335" s="172">
        <v>43963</v>
      </c>
      <c r="B335" s="164">
        <v>64.66</v>
      </c>
      <c r="C335" s="164">
        <v>69.66</v>
      </c>
      <c r="F335" s="172">
        <v>43963</v>
      </c>
      <c r="G335" s="164">
        <v>117</v>
      </c>
      <c r="H335" s="164">
        <v>127</v>
      </c>
      <c r="K335" s="185">
        <v>43963</v>
      </c>
      <c r="L335" s="182">
        <v>119.31</v>
      </c>
      <c r="M335" s="184">
        <f t="shared" si="0"/>
        <v>1.9743589743589807E-2</v>
      </c>
    </row>
    <row r="336" spans="1:13" ht="15.75" thickBot="1" x14ac:dyDescent="0.3">
      <c r="A336" s="173">
        <v>43964</v>
      </c>
      <c r="B336" s="163">
        <v>64.84</v>
      </c>
      <c r="C336" s="163">
        <v>69.84</v>
      </c>
      <c r="F336" s="173">
        <v>43964</v>
      </c>
      <c r="G336" s="163">
        <v>123</v>
      </c>
      <c r="H336" s="163">
        <v>133</v>
      </c>
      <c r="K336" s="186">
        <v>43964</v>
      </c>
      <c r="L336" s="181">
        <v>122.77</v>
      </c>
      <c r="M336" s="184">
        <f t="shared" si="0"/>
        <v>-1.8699186991870675E-3</v>
      </c>
    </row>
    <row r="337" spans="1:13" ht="15.75" thickBot="1" x14ac:dyDescent="0.3">
      <c r="A337" s="172">
        <v>43965</v>
      </c>
      <c r="B337" s="164">
        <v>65.05</v>
      </c>
      <c r="C337" s="164">
        <v>70.05</v>
      </c>
      <c r="F337" s="172">
        <v>43965</v>
      </c>
      <c r="G337" s="164">
        <v>128</v>
      </c>
      <c r="H337" s="164">
        <v>138</v>
      </c>
      <c r="K337" s="185">
        <v>43965</v>
      </c>
      <c r="L337" s="182">
        <v>119.36</v>
      </c>
      <c r="M337" s="184">
        <f t="shared" si="0"/>
        <v>-6.7500000000000004E-2</v>
      </c>
    </row>
    <row r="338" spans="1:13" ht="15.75" thickBot="1" x14ac:dyDescent="0.3">
      <c r="A338" s="173">
        <v>43966</v>
      </c>
      <c r="B338" s="163">
        <v>65.06</v>
      </c>
      <c r="C338" s="163">
        <v>70.06</v>
      </c>
      <c r="F338" s="173">
        <v>43966</v>
      </c>
      <c r="G338" s="163">
        <v>128</v>
      </c>
      <c r="H338" s="163">
        <v>138</v>
      </c>
      <c r="K338" s="186">
        <v>43966</v>
      </c>
      <c r="L338" s="181">
        <v>117.95</v>
      </c>
      <c r="M338" s="184">
        <f t="shared" si="0"/>
        <v>-7.8515624999999978E-2</v>
      </c>
    </row>
    <row r="339" spans="1:13" ht="15.75" thickBot="1" x14ac:dyDescent="0.3">
      <c r="A339" s="172">
        <v>43969</v>
      </c>
      <c r="B339" s="164">
        <v>65.260000000000005</v>
      </c>
      <c r="C339" s="164">
        <v>70.260000000000005</v>
      </c>
      <c r="F339" s="172">
        <v>43969</v>
      </c>
      <c r="G339" s="164">
        <v>118</v>
      </c>
      <c r="H339" s="164">
        <v>128</v>
      </c>
      <c r="K339" s="185">
        <v>43969</v>
      </c>
      <c r="L339" s="182">
        <v>115.54</v>
      </c>
      <c r="M339" s="184">
        <f t="shared" si="0"/>
        <v>-2.0847457627118593E-2</v>
      </c>
    </row>
    <row r="340" spans="1:13" ht="15.75" thickBot="1" x14ac:dyDescent="0.3">
      <c r="A340" s="173">
        <v>43970</v>
      </c>
      <c r="B340" s="163">
        <v>65.319999999999993</v>
      </c>
      <c r="C340" s="163">
        <v>70.319999999999993</v>
      </c>
      <c r="F340" s="173">
        <v>43970</v>
      </c>
      <c r="G340" s="163">
        <v>114</v>
      </c>
      <c r="H340" s="163">
        <v>124</v>
      </c>
      <c r="K340" s="186">
        <v>43970</v>
      </c>
      <c r="L340" s="181">
        <v>114.22</v>
      </c>
      <c r="M340" s="184">
        <f t="shared" si="0"/>
        <v>1.9298245614034482E-3</v>
      </c>
    </row>
    <row r="341" spans="1:13" ht="15.75" thickBot="1" x14ac:dyDescent="0.3">
      <c r="A341" s="172">
        <v>43971</v>
      </c>
      <c r="B341" s="164">
        <v>65.33</v>
      </c>
      <c r="C341" s="164">
        <v>70.33</v>
      </c>
      <c r="F341" s="172">
        <v>43971</v>
      </c>
      <c r="G341" s="164">
        <v>114</v>
      </c>
      <c r="H341" s="164">
        <v>124</v>
      </c>
      <c r="K341" s="185">
        <v>43971</v>
      </c>
      <c r="L341" s="182">
        <v>114.84</v>
      </c>
      <c r="M341" s="184">
        <f t="shared" si="0"/>
        <v>7.3684210526316907E-3</v>
      </c>
    </row>
    <row r="342" spans="1:13" ht="15.75" thickBot="1" x14ac:dyDescent="0.3">
      <c r="A342" s="173">
        <v>43972</v>
      </c>
      <c r="B342" s="163">
        <v>65.38</v>
      </c>
      <c r="C342" s="163">
        <v>70.38</v>
      </c>
      <c r="F342" s="173">
        <v>43972</v>
      </c>
      <c r="G342" s="163">
        <v>115</v>
      </c>
      <c r="H342" s="163">
        <v>125</v>
      </c>
      <c r="K342" s="186">
        <v>43972</v>
      </c>
      <c r="L342" s="181">
        <v>114.37</v>
      </c>
      <c r="M342" s="184">
        <f t="shared" si="0"/>
        <v>-5.4782608695651547E-3</v>
      </c>
    </row>
    <row r="343" spans="1:13" ht="15.75" thickBot="1" x14ac:dyDescent="0.3">
      <c r="A343" s="172">
        <v>43973</v>
      </c>
      <c r="B343" s="164">
        <v>65.58</v>
      </c>
      <c r="C343" s="164">
        <v>70.58</v>
      </c>
      <c r="F343" s="172">
        <v>43973</v>
      </c>
      <c r="G343" s="164">
        <v>116</v>
      </c>
      <c r="H343" s="164">
        <v>126</v>
      </c>
      <c r="K343" s="185">
        <v>43973</v>
      </c>
      <c r="L343" s="182">
        <v>109.53</v>
      </c>
      <c r="M343" s="184">
        <f t="shared" si="0"/>
        <v>-5.5775862068965454E-2</v>
      </c>
    </row>
    <row r="344" spans="1:13" ht="15.75" thickBot="1" x14ac:dyDescent="0.3">
      <c r="A344" s="173">
        <v>43977</v>
      </c>
      <c r="B344" s="163">
        <v>65.61</v>
      </c>
      <c r="C344" s="163">
        <v>70.61</v>
      </c>
      <c r="F344" s="173">
        <v>43977</v>
      </c>
      <c r="G344" s="163">
        <v>119</v>
      </c>
      <c r="H344" s="163">
        <v>129</v>
      </c>
      <c r="K344" s="186">
        <v>43977</v>
      </c>
      <c r="L344" s="181">
        <v>106.32</v>
      </c>
      <c r="M344" s="184">
        <f t="shared" si="0"/>
        <v>-0.10655462184873954</v>
      </c>
    </row>
    <row r="345" spans="1:13" ht="15.75" thickBot="1" x14ac:dyDescent="0.3">
      <c r="A345" s="172">
        <v>43978</v>
      </c>
      <c r="B345" s="164">
        <v>65.63</v>
      </c>
      <c r="C345" s="164">
        <v>70.63</v>
      </c>
      <c r="F345" s="172">
        <v>43978</v>
      </c>
      <c r="G345" s="164">
        <v>117</v>
      </c>
      <c r="H345" s="164">
        <v>127</v>
      </c>
      <c r="K345" s="185">
        <v>43978</v>
      </c>
      <c r="L345" s="182">
        <v>105.56</v>
      </c>
      <c r="M345" s="184">
        <f t="shared" si="0"/>
        <v>-9.7777777777777741E-2</v>
      </c>
    </row>
    <row r="346" spans="1:13" ht="15.75" thickBot="1" x14ac:dyDescent="0.3">
      <c r="A346" s="173">
        <v>43979</v>
      </c>
      <c r="B346" s="163">
        <v>65.69</v>
      </c>
      <c r="C346" s="163">
        <v>70.69</v>
      </c>
      <c r="F346" s="173">
        <v>43979</v>
      </c>
      <c r="G346" s="163">
        <v>114</v>
      </c>
      <c r="H346" s="163">
        <v>124</v>
      </c>
      <c r="K346" s="186">
        <v>43979</v>
      </c>
      <c r="L346" s="181">
        <v>109.41</v>
      </c>
      <c r="M346" s="184">
        <f t="shared" si="0"/>
        <v>-4.026315789473689E-2</v>
      </c>
    </row>
    <row r="347" spans="1:13" ht="15.75" thickBot="1" x14ac:dyDescent="0.3">
      <c r="A347" s="172">
        <v>43980</v>
      </c>
      <c r="B347" s="164">
        <v>65.760000000000005</v>
      </c>
      <c r="C347" s="164">
        <v>70.760000000000005</v>
      </c>
      <c r="F347" s="172">
        <v>43980</v>
      </c>
      <c r="G347" s="164">
        <v>115</v>
      </c>
      <c r="H347" s="164">
        <v>125</v>
      </c>
      <c r="K347" s="185">
        <v>43980</v>
      </c>
      <c r="L347" s="182">
        <v>107.71</v>
      </c>
      <c r="M347" s="184">
        <f t="shared" si="0"/>
        <v>-6.3391304347826138E-2</v>
      </c>
    </row>
    <row r="348" spans="1:13" ht="15.75" thickBot="1" x14ac:dyDescent="0.3">
      <c r="A348" s="173">
        <v>43983</v>
      </c>
      <c r="B348" s="163">
        <v>65.72</v>
      </c>
      <c r="C348" s="163">
        <v>70.72</v>
      </c>
      <c r="F348" s="173">
        <v>43983</v>
      </c>
      <c r="G348" s="163">
        <v>118</v>
      </c>
      <c r="H348" s="163">
        <v>128</v>
      </c>
      <c r="K348" s="186">
        <v>43983</v>
      </c>
      <c r="L348" s="181">
        <v>108.77</v>
      </c>
      <c r="M348" s="184">
        <f t="shared" si="0"/>
        <v>-7.8220338983050919E-2</v>
      </c>
    </row>
    <row r="349" spans="1:13" ht="15.75" thickBot="1" x14ac:dyDescent="0.3">
      <c r="A349" s="172">
        <v>43984</v>
      </c>
      <c r="B349" s="164">
        <v>66.010000000000005</v>
      </c>
      <c r="C349" s="164">
        <v>71.010000000000005</v>
      </c>
      <c r="F349" s="172">
        <v>43984</v>
      </c>
      <c r="G349" s="164">
        <v>114</v>
      </c>
      <c r="H349" s="164">
        <v>124</v>
      </c>
      <c r="K349" s="185">
        <v>43984</v>
      </c>
      <c r="L349" s="182">
        <v>106.39</v>
      </c>
      <c r="M349" s="184">
        <f t="shared" si="0"/>
        <v>-6.6754385964912233E-2</v>
      </c>
    </row>
    <row r="350" spans="1:13" ht="15.75" thickBot="1" x14ac:dyDescent="0.3">
      <c r="A350" s="173">
        <v>43985</v>
      </c>
      <c r="B350" s="163">
        <v>65.92</v>
      </c>
      <c r="C350" s="163">
        <v>70.92</v>
      </c>
      <c r="F350" s="173">
        <v>43985</v>
      </c>
      <c r="G350" s="163">
        <v>113</v>
      </c>
      <c r="H350" s="163">
        <v>123</v>
      </c>
      <c r="K350" s="186">
        <v>43985</v>
      </c>
      <c r="L350" s="181">
        <v>107.91</v>
      </c>
      <c r="M350" s="184">
        <f t="shared" si="0"/>
        <v>-4.5044247787610625E-2</v>
      </c>
    </row>
    <row r="351" spans="1:13" ht="15.75" thickBot="1" x14ac:dyDescent="0.3">
      <c r="A351" s="172">
        <v>43986</v>
      </c>
      <c r="B351" s="164">
        <v>66.150000000000006</v>
      </c>
      <c r="C351" s="164">
        <v>71.150000000000006</v>
      </c>
      <c r="F351" s="172">
        <v>43986</v>
      </c>
      <c r="G351" s="164">
        <v>113</v>
      </c>
      <c r="H351" s="164">
        <v>123</v>
      </c>
      <c r="K351" s="185">
        <v>43986</v>
      </c>
      <c r="L351" s="182">
        <v>108.27</v>
      </c>
      <c r="M351" s="184">
        <f t="shared" si="0"/>
        <v>-4.1858407079646054E-2</v>
      </c>
    </row>
    <row r="352" spans="1:13" ht="15.75" thickBot="1" x14ac:dyDescent="0.3">
      <c r="A352" s="173">
        <v>43987</v>
      </c>
      <c r="B352" s="163">
        <v>66.48</v>
      </c>
      <c r="C352" s="163">
        <v>71.48</v>
      </c>
      <c r="F352" s="173">
        <v>43987</v>
      </c>
      <c r="G352" s="163">
        <v>115</v>
      </c>
      <c r="H352" s="163">
        <v>125</v>
      </c>
      <c r="K352" s="186">
        <v>43987</v>
      </c>
      <c r="L352" s="181">
        <v>109.86</v>
      </c>
      <c r="M352" s="184">
        <f t="shared" si="0"/>
        <v>-4.4695652173913025E-2</v>
      </c>
    </row>
    <row r="353" spans="1:13" ht="15.75" thickBot="1" x14ac:dyDescent="0.3">
      <c r="A353" s="172">
        <v>43990</v>
      </c>
      <c r="B353" s="164">
        <v>66.88</v>
      </c>
      <c r="C353" s="164">
        <v>71.88</v>
      </c>
      <c r="F353" s="172">
        <v>43990</v>
      </c>
      <c r="G353" s="164">
        <v>115</v>
      </c>
      <c r="H353" s="164">
        <v>125</v>
      </c>
      <c r="K353" s="185">
        <v>43990</v>
      </c>
      <c r="L353" s="182">
        <v>110</v>
      </c>
      <c r="M353" s="184">
        <f t="shared" si="0"/>
        <v>-4.3478260869565188E-2</v>
      </c>
    </row>
    <row r="354" spans="1:13" ht="15.75" thickBot="1" x14ac:dyDescent="0.3">
      <c r="A354" s="173">
        <v>43991</v>
      </c>
      <c r="B354" s="163">
        <v>67.040000000000006</v>
      </c>
      <c r="C354" s="163">
        <v>72.040000000000006</v>
      </c>
      <c r="F354" s="173">
        <v>43991</v>
      </c>
      <c r="G354" s="163">
        <v>114</v>
      </c>
      <c r="H354" s="163">
        <v>124</v>
      </c>
      <c r="K354" s="186">
        <v>43991</v>
      </c>
      <c r="L354" s="181">
        <v>108.73</v>
      </c>
      <c r="M354" s="184">
        <f t="shared" si="0"/>
        <v>-4.6228070175438507E-2</v>
      </c>
    </row>
    <row r="355" spans="1:13" ht="15.75" thickBot="1" x14ac:dyDescent="0.3">
      <c r="A355" s="172">
        <v>43992</v>
      </c>
      <c r="B355" s="164">
        <v>67.19</v>
      </c>
      <c r="C355" s="164">
        <v>72.19</v>
      </c>
      <c r="F355" s="172">
        <v>43992</v>
      </c>
      <c r="G355" s="164">
        <v>114</v>
      </c>
      <c r="H355" s="164">
        <v>124</v>
      </c>
      <c r="K355" s="185">
        <v>43992</v>
      </c>
      <c r="L355" s="182">
        <v>108.07</v>
      </c>
      <c r="M355" s="184">
        <f t="shared" si="0"/>
        <v>-5.2017543859649185E-2</v>
      </c>
    </row>
    <row r="356" spans="1:13" ht="15.75" thickBot="1" x14ac:dyDescent="0.3">
      <c r="A356" s="173">
        <v>43993</v>
      </c>
      <c r="B356" s="163">
        <v>67.34</v>
      </c>
      <c r="C356" s="163">
        <v>72.34</v>
      </c>
      <c r="F356" s="173">
        <v>43993</v>
      </c>
      <c r="G356" s="163">
        <v>113</v>
      </c>
      <c r="H356" s="163">
        <v>123</v>
      </c>
      <c r="K356" s="186">
        <v>43993</v>
      </c>
      <c r="L356" s="181">
        <v>107.49</v>
      </c>
      <c r="M356" s="184">
        <f t="shared" si="0"/>
        <v>-4.8761061946902662E-2</v>
      </c>
    </row>
    <row r="357" spans="1:13" ht="15.75" thickBot="1" x14ac:dyDescent="0.3">
      <c r="A357" s="172">
        <v>43994</v>
      </c>
      <c r="B357" s="164">
        <v>67.5</v>
      </c>
      <c r="C357" s="164">
        <v>72.5</v>
      </c>
      <c r="F357" s="172">
        <v>43994</v>
      </c>
      <c r="G357" s="164">
        <v>116</v>
      </c>
      <c r="H357" s="164">
        <v>126</v>
      </c>
      <c r="K357" s="185">
        <v>43994</v>
      </c>
      <c r="L357" s="182">
        <v>106.59</v>
      </c>
      <c r="M357" s="184">
        <f t="shared" si="0"/>
        <v>-8.1120689655172384E-2</v>
      </c>
    </row>
    <row r="358" spans="1:13" ht="15.75" thickBot="1" x14ac:dyDescent="0.3">
      <c r="A358" s="173">
        <v>43998</v>
      </c>
      <c r="B358" s="163">
        <v>67.680000000000007</v>
      </c>
      <c r="C358" s="163">
        <v>72.680000000000007</v>
      </c>
      <c r="F358" s="173">
        <v>43998</v>
      </c>
      <c r="G358" s="163">
        <v>115</v>
      </c>
      <c r="H358" s="163">
        <v>125</v>
      </c>
      <c r="K358" s="186">
        <v>43998</v>
      </c>
      <c r="L358" s="181">
        <v>105.31</v>
      </c>
      <c r="M358" s="184">
        <f t="shared" si="0"/>
        <v>-8.4260869565217389E-2</v>
      </c>
    </row>
    <row r="359" spans="1:13" ht="15.75" thickBot="1" x14ac:dyDescent="0.3">
      <c r="A359" s="172">
        <v>43999</v>
      </c>
      <c r="B359" s="164">
        <v>67.86</v>
      </c>
      <c r="C359" s="164">
        <v>72.86</v>
      </c>
      <c r="F359" s="172">
        <v>43999</v>
      </c>
      <c r="G359" s="164">
        <v>114</v>
      </c>
      <c r="H359" s="164">
        <v>124</v>
      </c>
      <c r="K359" s="185">
        <v>43999</v>
      </c>
      <c r="L359" s="182">
        <v>104.96</v>
      </c>
      <c r="M359" s="184">
        <f t="shared" si="0"/>
        <v>-7.929824561403509E-2</v>
      </c>
    </row>
    <row r="360" spans="1:13" ht="15.75" thickBot="1" x14ac:dyDescent="0.3">
      <c r="A360" s="173">
        <v>44000</v>
      </c>
      <c r="B360" s="163">
        <v>67.98</v>
      </c>
      <c r="C360" s="163">
        <v>72.98</v>
      </c>
      <c r="F360" s="173">
        <v>44000</v>
      </c>
      <c r="G360" s="163">
        <v>117</v>
      </c>
      <c r="H360" s="163">
        <v>127</v>
      </c>
      <c r="K360" s="186">
        <v>44000</v>
      </c>
      <c r="L360" s="181">
        <v>107.1</v>
      </c>
      <c r="M360" s="184">
        <f t="shared" si="0"/>
        <v>-8.4615384615384648E-2</v>
      </c>
    </row>
    <row r="361" spans="1:13" ht="15.75" thickBot="1" x14ac:dyDescent="0.3">
      <c r="A361" s="172">
        <v>44001</v>
      </c>
      <c r="B361" s="164">
        <v>68.08</v>
      </c>
      <c r="C361" s="164">
        <v>73.08</v>
      </c>
      <c r="F361" s="172">
        <v>44001</v>
      </c>
      <c r="G361" s="164">
        <v>118</v>
      </c>
      <c r="H361" s="164">
        <v>128</v>
      </c>
      <c r="K361" s="185">
        <v>44001</v>
      </c>
      <c r="L361" s="182">
        <v>109.53</v>
      </c>
      <c r="M361" s="184">
        <f t="shared" si="0"/>
        <v>-7.1779661016949103E-2</v>
      </c>
    </row>
    <row r="362" spans="1:13" ht="15.75" thickBot="1" x14ac:dyDescent="0.3">
      <c r="A362" s="173">
        <v>44004</v>
      </c>
      <c r="B362" s="163">
        <v>68.13</v>
      </c>
      <c r="C362" s="163">
        <v>73.13</v>
      </c>
      <c r="F362" s="173">
        <v>44004</v>
      </c>
      <c r="G362" s="163">
        <v>117</v>
      </c>
      <c r="H362" s="163">
        <v>127</v>
      </c>
      <c r="K362" s="186">
        <v>44004</v>
      </c>
      <c r="L362" s="181">
        <v>108.12</v>
      </c>
      <c r="M362" s="184">
        <f t="shared" si="0"/>
        <v>-7.5897435897435805E-2</v>
      </c>
    </row>
    <row r="363" spans="1:13" ht="15.75" thickBot="1" x14ac:dyDescent="0.3">
      <c r="A363" s="172">
        <v>44005</v>
      </c>
      <c r="B363" s="164">
        <v>68.44</v>
      </c>
      <c r="C363" s="164">
        <v>73.44</v>
      </c>
      <c r="F363" s="172">
        <v>44005</v>
      </c>
      <c r="G363" s="164">
        <v>117</v>
      </c>
      <c r="H363" s="164">
        <v>127</v>
      </c>
      <c r="K363" s="185">
        <v>44005</v>
      </c>
      <c r="L363" s="182">
        <v>107.67</v>
      </c>
      <c r="M363" s="184">
        <f t="shared" si="0"/>
        <v>-7.9743589743589749E-2</v>
      </c>
    </row>
    <row r="364" spans="1:13" ht="15.75" thickBot="1" x14ac:dyDescent="0.3">
      <c r="A364" s="173">
        <v>44006</v>
      </c>
      <c r="B364" s="163">
        <v>68.510000000000005</v>
      </c>
      <c r="C364" s="163">
        <v>73.510000000000005</v>
      </c>
      <c r="F364" s="173">
        <v>44006</v>
      </c>
      <c r="G364" s="163">
        <v>118</v>
      </c>
      <c r="H364" s="163">
        <v>128</v>
      </c>
      <c r="K364" s="186">
        <v>44006</v>
      </c>
      <c r="L364" s="181">
        <v>107.3</v>
      </c>
      <c r="M364" s="184">
        <f t="shared" si="0"/>
        <v>-9.0677966101694985E-2</v>
      </c>
    </row>
    <row r="365" spans="1:13" ht="15.75" thickBot="1" x14ac:dyDescent="0.3">
      <c r="A365" s="172">
        <v>44007</v>
      </c>
      <c r="B365" s="164">
        <v>68.53</v>
      </c>
      <c r="C365" s="164">
        <v>73.53</v>
      </c>
      <c r="F365" s="172">
        <v>44007</v>
      </c>
      <c r="G365" s="164">
        <v>118</v>
      </c>
      <c r="H365" s="164">
        <v>128</v>
      </c>
      <c r="K365" s="185">
        <v>44007</v>
      </c>
      <c r="L365" s="182">
        <v>104.21</v>
      </c>
      <c r="M365" s="184">
        <f t="shared" si="0"/>
        <v>-0.11686440677966103</v>
      </c>
    </row>
    <row r="366" spans="1:13" ht="15.75" thickBot="1" x14ac:dyDescent="0.3">
      <c r="A366" s="173">
        <v>44008</v>
      </c>
      <c r="B366" s="163">
        <v>68.56</v>
      </c>
      <c r="C366" s="163">
        <v>73.56</v>
      </c>
      <c r="F366" s="173">
        <v>44008</v>
      </c>
      <c r="G366" s="163">
        <v>119</v>
      </c>
      <c r="H366" s="163">
        <v>129</v>
      </c>
      <c r="K366" s="186">
        <v>44008</v>
      </c>
      <c r="L366" s="181">
        <v>102.47</v>
      </c>
      <c r="M366" s="184">
        <f t="shared" si="0"/>
        <v>-0.13890756302521012</v>
      </c>
    </row>
    <row r="367" spans="1:13" ht="15.75" thickBot="1" x14ac:dyDescent="0.3">
      <c r="A367" s="172">
        <v>44011</v>
      </c>
      <c r="B367" s="164">
        <v>68.86</v>
      </c>
      <c r="C367" s="164">
        <v>73.86</v>
      </c>
      <c r="F367" s="172">
        <v>44011</v>
      </c>
      <c r="G367" s="164">
        <v>119</v>
      </c>
      <c r="H367" s="164">
        <v>129</v>
      </c>
      <c r="K367" s="185">
        <v>44011</v>
      </c>
      <c r="L367" s="182">
        <v>100.39</v>
      </c>
      <c r="M367" s="184">
        <f t="shared" si="0"/>
        <v>-0.15638655462184869</v>
      </c>
    </row>
    <row r="368" spans="1:13" ht="15.75" thickBot="1" x14ac:dyDescent="0.3">
      <c r="A368" s="173">
        <v>44012</v>
      </c>
      <c r="B368" s="163">
        <v>69.069999999999993</v>
      </c>
      <c r="C368" s="163">
        <v>74.069999999999993</v>
      </c>
      <c r="F368" s="173">
        <v>44012</v>
      </c>
      <c r="G368" s="163">
        <v>116</v>
      </c>
      <c r="H368" s="163">
        <v>126</v>
      </c>
      <c r="K368" s="186">
        <v>44012</v>
      </c>
      <c r="L368" s="181">
        <v>100.53</v>
      </c>
      <c r="M368" s="184">
        <f t="shared" si="0"/>
        <v>-0.13336206896551728</v>
      </c>
    </row>
    <row r="369" spans="1:13" ht="15.75" thickBot="1" x14ac:dyDescent="0.3">
      <c r="A369" s="172">
        <v>44013</v>
      </c>
      <c r="B369" s="164">
        <v>69.13</v>
      </c>
      <c r="C369" s="164">
        <v>74.13</v>
      </c>
      <c r="F369" s="172">
        <v>44013</v>
      </c>
      <c r="G369" s="164">
        <v>118</v>
      </c>
      <c r="H369" s="164">
        <v>128</v>
      </c>
      <c r="K369" s="185">
        <v>44013</v>
      </c>
      <c r="L369" s="182">
        <v>105.5</v>
      </c>
      <c r="M369" s="184">
        <f t="shared" ref="M369:M432" si="1">+L369/G369-1</f>
        <v>-0.10593220338983056</v>
      </c>
    </row>
    <row r="370" spans="1:13" ht="15.75" thickBot="1" x14ac:dyDescent="0.3">
      <c r="A370" s="173">
        <v>44014</v>
      </c>
      <c r="B370" s="163">
        <v>69.180000000000007</v>
      </c>
      <c r="C370" s="163">
        <v>74.180000000000007</v>
      </c>
      <c r="F370" s="173">
        <v>44014</v>
      </c>
      <c r="G370" s="163">
        <v>119</v>
      </c>
      <c r="H370" s="163">
        <v>129</v>
      </c>
      <c r="K370" s="186">
        <v>44014</v>
      </c>
      <c r="L370" s="181">
        <v>107.24</v>
      </c>
      <c r="M370" s="184">
        <f t="shared" si="1"/>
        <v>-9.8823529411764754E-2</v>
      </c>
    </row>
    <row r="371" spans="1:13" ht="15.75" thickBot="1" x14ac:dyDescent="0.3">
      <c r="A371" s="172">
        <v>44015</v>
      </c>
      <c r="B371" s="164">
        <v>69.319999999999993</v>
      </c>
      <c r="C371" s="164">
        <v>74.319999999999993</v>
      </c>
      <c r="F371" s="172">
        <v>44015</v>
      </c>
      <c r="G371" s="164">
        <v>117</v>
      </c>
      <c r="H371" s="164">
        <v>127</v>
      </c>
      <c r="K371" s="185">
        <v>44015</v>
      </c>
      <c r="L371" s="182">
        <v>105.79</v>
      </c>
      <c r="M371" s="184">
        <f t="shared" si="1"/>
        <v>-9.5811965811965716E-2</v>
      </c>
    </row>
    <row r="372" spans="1:13" ht="15.75" thickBot="1" x14ac:dyDescent="0.3">
      <c r="A372" s="173">
        <v>44018</v>
      </c>
      <c r="B372" s="163">
        <v>69.61</v>
      </c>
      <c r="C372" s="163">
        <v>74.61</v>
      </c>
      <c r="F372" s="173">
        <v>44018</v>
      </c>
      <c r="G372" s="163">
        <v>117</v>
      </c>
      <c r="H372" s="163">
        <v>127</v>
      </c>
      <c r="K372" s="186">
        <v>44018</v>
      </c>
      <c r="L372" s="181">
        <v>106.7</v>
      </c>
      <c r="M372" s="184">
        <f t="shared" si="1"/>
        <v>-8.8034188034188054E-2</v>
      </c>
    </row>
    <row r="373" spans="1:13" ht="15.75" thickBot="1" x14ac:dyDescent="0.3">
      <c r="A373" s="172">
        <v>44019</v>
      </c>
      <c r="B373" s="164">
        <v>69.64</v>
      </c>
      <c r="C373" s="164">
        <v>74.64</v>
      </c>
      <c r="F373" s="172">
        <v>44019</v>
      </c>
      <c r="G373" s="164">
        <v>117</v>
      </c>
      <c r="H373" s="164">
        <v>127</v>
      </c>
      <c r="K373" s="185">
        <v>44019</v>
      </c>
      <c r="L373" s="182">
        <v>108.58</v>
      </c>
      <c r="M373" s="184">
        <f t="shared" si="1"/>
        <v>-7.1965811965811977E-2</v>
      </c>
    </row>
    <row r="374" spans="1:13" ht="15.75" thickBot="1" x14ac:dyDescent="0.3">
      <c r="A374" s="173">
        <v>44020</v>
      </c>
      <c r="B374" s="163">
        <v>69.709999999999994</v>
      </c>
      <c r="C374" s="163">
        <v>74.709999999999994</v>
      </c>
      <c r="F374" s="173">
        <v>44020</v>
      </c>
      <c r="G374" s="163">
        <v>117</v>
      </c>
      <c r="H374" s="163">
        <v>127</v>
      </c>
      <c r="K374" s="186">
        <v>44020</v>
      </c>
      <c r="L374" s="181">
        <v>108.98</v>
      </c>
      <c r="M374" s="184">
        <f t="shared" si="1"/>
        <v>-6.8547008547008459E-2</v>
      </c>
    </row>
    <row r="375" spans="1:13" ht="15.75" thickBot="1" x14ac:dyDescent="0.3">
      <c r="A375" s="171">
        <v>44022</v>
      </c>
      <c r="B375" s="167">
        <f>+B374</f>
        <v>69.709999999999994</v>
      </c>
      <c r="C375" s="167">
        <f>+C374</f>
        <v>74.709999999999994</v>
      </c>
      <c r="F375" s="173">
        <v>44022</v>
      </c>
      <c r="G375" s="163">
        <v>117</v>
      </c>
      <c r="H375" s="163">
        <v>127</v>
      </c>
      <c r="K375" s="186">
        <v>44022</v>
      </c>
      <c r="L375" s="181">
        <v>108.98</v>
      </c>
      <c r="M375" s="184">
        <f t="shared" si="1"/>
        <v>-6.8547008547008459E-2</v>
      </c>
    </row>
    <row r="376" spans="1:13" ht="15.75" thickBot="1" x14ac:dyDescent="0.3">
      <c r="A376" s="172">
        <v>44025</v>
      </c>
      <c r="B376" s="164">
        <v>69.989999999999995</v>
      </c>
      <c r="C376" s="164">
        <v>74.989999999999995</v>
      </c>
      <c r="F376" s="172">
        <v>44025</v>
      </c>
      <c r="G376" s="164">
        <v>117</v>
      </c>
      <c r="H376" s="164">
        <v>127</v>
      </c>
      <c r="K376" s="185">
        <v>44025</v>
      </c>
      <c r="L376" s="182">
        <v>109.73</v>
      </c>
      <c r="M376" s="184">
        <f t="shared" si="1"/>
        <v>-6.2136752136752071E-2</v>
      </c>
    </row>
    <row r="377" spans="1:13" ht="15.75" thickBot="1" x14ac:dyDescent="0.3">
      <c r="A377" s="173">
        <v>44026</v>
      </c>
      <c r="B377" s="163">
        <v>70.09</v>
      </c>
      <c r="C377" s="163">
        <v>75.09</v>
      </c>
      <c r="F377" s="173">
        <v>44026</v>
      </c>
      <c r="G377" s="163">
        <v>117</v>
      </c>
      <c r="H377" s="163">
        <v>127</v>
      </c>
      <c r="K377" s="186">
        <v>44026</v>
      </c>
      <c r="L377" s="181">
        <v>110.97</v>
      </c>
      <c r="M377" s="184">
        <f t="shared" si="1"/>
        <v>-5.1538461538461533E-2</v>
      </c>
    </row>
    <row r="378" spans="1:13" ht="15.75" thickBot="1" x14ac:dyDescent="0.3">
      <c r="A378" s="172">
        <v>44027</v>
      </c>
      <c r="B378" s="164">
        <v>70.209999999999994</v>
      </c>
      <c r="C378" s="164">
        <v>75.209999999999994</v>
      </c>
      <c r="F378" s="172">
        <v>44027</v>
      </c>
      <c r="G378" s="164">
        <v>117</v>
      </c>
      <c r="H378" s="164">
        <v>127</v>
      </c>
      <c r="K378" s="185">
        <v>44027</v>
      </c>
      <c r="L378" s="182">
        <v>112.02</v>
      </c>
      <c r="M378" s="184">
        <f t="shared" si="1"/>
        <v>-4.2564102564102591E-2</v>
      </c>
    </row>
    <row r="379" spans="1:13" ht="15.75" thickBot="1" x14ac:dyDescent="0.3">
      <c r="A379" s="173">
        <v>44028</v>
      </c>
      <c r="B379" s="163">
        <v>70.209999999999994</v>
      </c>
      <c r="C379" s="163">
        <v>75.209999999999994</v>
      </c>
      <c r="F379" s="173">
        <v>44028</v>
      </c>
      <c r="G379" s="163">
        <v>120</v>
      </c>
      <c r="H379" s="163">
        <v>130</v>
      </c>
      <c r="K379" s="186">
        <v>44028</v>
      </c>
      <c r="L379" s="181">
        <v>112</v>
      </c>
      <c r="M379" s="184">
        <f t="shared" si="1"/>
        <v>-6.6666666666666652E-2</v>
      </c>
    </row>
    <row r="380" spans="1:13" ht="15.75" thickBot="1" x14ac:dyDescent="0.3">
      <c r="A380" s="172">
        <v>44029</v>
      </c>
      <c r="B380" s="164">
        <v>70.25</v>
      </c>
      <c r="C380" s="164">
        <v>75.25</v>
      </c>
      <c r="F380" s="172">
        <v>44029</v>
      </c>
      <c r="G380" s="164">
        <v>125</v>
      </c>
      <c r="H380" s="164">
        <v>130</v>
      </c>
      <c r="K380" s="185">
        <v>44029</v>
      </c>
      <c r="L380" s="182">
        <v>115.39</v>
      </c>
      <c r="M380" s="184">
        <f t="shared" si="1"/>
        <v>-7.6879999999999948E-2</v>
      </c>
    </row>
    <row r="381" spans="1:13" ht="15.75" thickBot="1" x14ac:dyDescent="0.3">
      <c r="A381" s="173">
        <v>44032</v>
      </c>
      <c r="B381" s="163">
        <v>70.56</v>
      </c>
      <c r="C381" s="163">
        <v>75.56</v>
      </c>
      <c r="F381" s="173">
        <v>44032</v>
      </c>
      <c r="G381" s="163">
        <v>125</v>
      </c>
      <c r="H381" s="163">
        <v>130</v>
      </c>
      <c r="K381" s="186">
        <v>44032</v>
      </c>
      <c r="L381" s="181">
        <v>117.57</v>
      </c>
      <c r="M381" s="184">
        <f t="shared" si="1"/>
        <v>-5.9440000000000048E-2</v>
      </c>
    </row>
    <row r="382" spans="1:13" ht="15.75" thickBot="1" x14ac:dyDescent="0.3">
      <c r="A382" s="172">
        <v>44033</v>
      </c>
      <c r="B382" s="164">
        <v>70.64</v>
      </c>
      <c r="C382" s="164">
        <v>75.64</v>
      </c>
      <c r="F382" s="172">
        <v>44033</v>
      </c>
      <c r="G382" s="164">
        <v>127</v>
      </c>
      <c r="H382" s="164">
        <v>132</v>
      </c>
      <c r="K382" s="185">
        <v>44033</v>
      </c>
      <c r="L382" s="182">
        <v>116.07</v>
      </c>
      <c r="M382" s="184">
        <f t="shared" si="1"/>
        <v>-8.6062992125984339E-2</v>
      </c>
    </row>
    <row r="383" spans="1:13" ht="15.75" thickBot="1" x14ac:dyDescent="0.3">
      <c r="A383" s="173">
        <v>44034</v>
      </c>
      <c r="B383" s="163">
        <v>70.66</v>
      </c>
      <c r="C383" s="163">
        <v>75.66</v>
      </c>
      <c r="F383" s="173">
        <v>44034</v>
      </c>
      <c r="G383" s="163">
        <v>128</v>
      </c>
      <c r="H383" s="163">
        <v>133</v>
      </c>
      <c r="K383" s="186">
        <v>44034</v>
      </c>
      <c r="L383" s="181">
        <v>114.45</v>
      </c>
      <c r="M383" s="184">
        <f t="shared" si="1"/>
        <v>-0.10585937499999998</v>
      </c>
    </row>
    <row r="384" spans="1:13" ht="15.75" thickBot="1" x14ac:dyDescent="0.3">
      <c r="A384" s="172">
        <v>44035</v>
      </c>
      <c r="B384" s="164">
        <v>70.86</v>
      </c>
      <c r="C384" s="164">
        <v>75.86</v>
      </c>
      <c r="F384" s="172">
        <v>44035</v>
      </c>
      <c r="G384" s="164">
        <v>131</v>
      </c>
      <c r="H384" s="164">
        <v>136</v>
      </c>
      <c r="K384" s="185">
        <v>44035</v>
      </c>
      <c r="L384" s="182">
        <v>111.78</v>
      </c>
      <c r="M384" s="184">
        <f t="shared" si="1"/>
        <v>-0.14671755725190838</v>
      </c>
    </row>
    <row r="385" spans="1:13" ht="15.75" thickBot="1" x14ac:dyDescent="0.3">
      <c r="A385" s="173">
        <v>44036</v>
      </c>
      <c r="B385" s="163">
        <v>70.92</v>
      </c>
      <c r="C385" s="163">
        <v>75.92</v>
      </c>
      <c r="F385" s="173">
        <v>44036</v>
      </c>
      <c r="G385" s="163">
        <v>134</v>
      </c>
      <c r="H385" s="163">
        <v>139</v>
      </c>
      <c r="K385" s="186">
        <v>44036</v>
      </c>
      <c r="L385" s="181">
        <v>114.57</v>
      </c>
      <c r="M385" s="184">
        <f t="shared" si="1"/>
        <v>-0.14500000000000002</v>
      </c>
    </row>
    <row r="386" spans="1:13" ht="15.75" thickBot="1" x14ac:dyDescent="0.3">
      <c r="A386" s="173">
        <v>44039</v>
      </c>
      <c r="B386" s="163">
        <v>71</v>
      </c>
      <c r="C386" s="163">
        <v>76</v>
      </c>
      <c r="F386" s="172">
        <v>44039</v>
      </c>
      <c r="G386" s="164">
        <v>131</v>
      </c>
      <c r="H386" s="164">
        <v>136</v>
      </c>
      <c r="K386" s="185">
        <v>44039</v>
      </c>
      <c r="L386" s="182">
        <v>115.67</v>
      </c>
      <c r="M386" s="184">
        <f t="shared" si="1"/>
        <v>-0.11702290076335875</v>
      </c>
    </row>
    <row r="387" spans="1:13" ht="15.75" thickBot="1" x14ac:dyDescent="0.3">
      <c r="A387" s="172">
        <v>44040</v>
      </c>
      <c r="B387" s="164">
        <v>71.099999999999994</v>
      </c>
      <c r="C387" s="164">
        <v>76.099999999999994</v>
      </c>
      <c r="F387" s="173">
        <v>44040</v>
      </c>
      <c r="G387" s="163">
        <v>130</v>
      </c>
      <c r="H387" s="163">
        <v>135</v>
      </c>
      <c r="K387" s="186">
        <v>44040</v>
      </c>
      <c r="L387" s="181">
        <v>115.89</v>
      </c>
      <c r="M387" s="184">
        <f t="shared" si="1"/>
        <v>-0.10853846153846158</v>
      </c>
    </row>
    <row r="388" spans="1:13" ht="15.75" thickBot="1" x14ac:dyDescent="0.3">
      <c r="A388" s="173">
        <v>44041</v>
      </c>
      <c r="B388" s="163">
        <v>71.08</v>
      </c>
      <c r="C388" s="163">
        <v>76.08</v>
      </c>
      <c r="F388" s="172">
        <v>44041</v>
      </c>
      <c r="G388" s="164">
        <v>130</v>
      </c>
      <c r="H388" s="164">
        <v>135</v>
      </c>
      <c r="K388" s="185">
        <v>44041</v>
      </c>
      <c r="L388" s="182">
        <v>116.72</v>
      </c>
      <c r="M388" s="184">
        <f t="shared" si="1"/>
        <v>-0.10215384615384615</v>
      </c>
    </row>
    <row r="389" spans="1:13" ht="15.75" thickBot="1" x14ac:dyDescent="0.3">
      <c r="A389" s="172">
        <v>44042</v>
      </c>
      <c r="B389" s="164">
        <v>71.27</v>
      </c>
      <c r="C389" s="164">
        <v>76.27</v>
      </c>
      <c r="F389" s="173">
        <v>44042</v>
      </c>
      <c r="G389" s="163">
        <v>131</v>
      </c>
      <c r="H389" s="163">
        <v>136</v>
      </c>
      <c r="K389" s="186">
        <v>44042</v>
      </c>
      <c r="L389" s="181">
        <v>119.54</v>
      </c>
      <c r="M389" s="184">
        <f t="shared" si="1"/>
        <v>-8.7480916030534317E-2</v>
      </c>
    </row>
    <row r="390" spans="1:13" ht="15.75" thickBot="1" x14ac:dyDescent="0.3">
      <c r="A390" s="173">
        <v>44043</v>
      </c>
      <c r="B390" s="163">
        <v>71.39</v>
      </c>
      <c r="C390" s="163">
        <v>76.39</v>
      </c>
      <c r="F390" s="172">
        <v>44043</v>
      </c>
      <c r="G390" s="164">
        <v>131</v>
      </c>
      <c r="H390" s="164">
        <v>136</v>
      </c>
      <c r="K390" s="185">
        <v>44043</v>
      </c>
      <c r="L390" s="182">
        <v>122.21</v>
      </c>
      <c r="M390" s="184">
        <f t="shared" si="1"/>
        <v>-6.7099236641221416E-2</v>
      </c>
    </row>
    <row r="391" spans="1:13" ht="15.75" thickBot="1" x14ac:dyDescent="0.3">
      <c r="A391" s="172">
        <v>44046</v>
      </c>
      <c r="B391" s="164">
        <v>71.64</v>
      </c>
      <c r="C391" s="164">
        <v>76.64</v>
      </c>
      <c r="F391" s="173">
        <v>44046</v>
      </c>
      <c r="G391" s="163">
        <v>131</v>
      </c>
      <c r="H391" s="163">
        <v>136</v>
      </c>
      <c r="K391" s="186">
        <v>44046</v>
      </c>
      <c r="L391" s="181">
        <v>122</v>
      </c>
      <c r="M391" s="184">
        <f t="shared" si="1"/>
        <v>-6.8702290076335881E-2</v>
      </c>
    </row>
    <row r="392" spans="1:13" ht="15.75" thickBot="1" x14ac:dyDescent="0.3">
      <c r="A392" s="173">
        <v>44047</v>
      </c>
      <c r="B392" s="163">
        <v>71.69</v>
      </c>
      <c r="C392" s="163">
        <v>76.69</v>
      </c>
      <c r="F392" s="172">
        <v>44047</v>
      </c>
      <c r="G392" s="164">
        <v>123</v>
      </c>
      <c r="H392" s="164">
        <v>128</v>
      </c>
      <c r="K392" s="185">
        <v>44047</v>
      </c>
      <c r="L392" s="182">
        <v>116.28</v>
      </c>
      <c r="M392" s="184">
        <f t="shared" si="1"/>
        <v>-5.4634146341463352E-2</v>
      </c>
    </row>
    <row r="393" spans="1:13" ht="15.75" thickBot="1" x14ac:dyDescent="0.3">
      <c r="A393" s="172">
        <v>44048</v>
      </c>
      <c r="B393" s="164">
        <v>71.89</v>
      </c>
      <c r="C393" s="164">
        <v>76.89</v>
      </c>
      <c r="F393" s="173">
        <v>44048</v>
      </c>
      <c r="G393" s="163">
        <v>124</v>
      </c>
      <c r="H393" s="163">
        <v>129</v>
      </c>
      <c r="K393" s="186">
        <v>44048</v>
      </c>
      <c r="L393" s="181">
        <v>117.17</v>
      </c>
      <c r="M393" s="184">
        <f t="shared" si="1"/>
        <v>-5.5080645161290298E-2</v>
      </c>
    </row>
    <row r="394" spans="1:13" ht="15.75" thickBot="1" x14ac:dyDescent="0.3">
      <c r="A394" s="173">
        <v>44049</v>
      </c>
      <c r="B394" s="163">
        <v>71.89</v>
      </c>
      <c r="C394" s="163">
        <v>76.89</v>
      </c>
      <c r="F394" s="172">
        <v>44049</v>
      </c>
      <c r="G394" s="164">
        <v>125</v>
      </c>
      <c r="H394" s="164">
        <v>130</v>
      </c>
      <c r="K394" s="185">
        <v>44049</v>
      </c>
      <c r="L394" s="182">
        <v>121.68</v>
      </c>
      <c r="M394" s="184">
        <f t="shared" si="1"/>
        <v>-2.6559999999999917E-2</v>
      </c>
    </row>
    <row r="395" spans="1:13" ht="15.75" thickBot="1" x14ac:dyDescent="0.3">
      <c r="A395" s="172">
        <v>44050</v>
      </c>
      <c r="B395" s="164">
        <v>71.91</v>
      </c>
      <c r="C395" s="164">
        <v>76.91</v>
      </c>
      <c r="F395" s="172">
        <v>44050</v>
      </c>
      <c r="G395" s="164">
        <v>127</v>
      </c>
      <c r="H395" s="164">
        <v>132</v>
      </c>
      <c r="K395" s="185">
        <v>44050</v>
      </c>
      <c r="L395" s="182">
        <v>124.65</v>
      </c>
      <c r="M395" s="184">
        <f t="shared" si="1"/>
        <v>-1.8503937007874005E-2</v>
      </c>
    </row>
    <row r="396" spans="1:13" ht="15.75" thickBot="1" x14ac:dyDescent="0.3">
      <c r="A396" s="173">
        <v>44053</v>
      </c>
      <c r="B396" s="163">
        <v>72.13</v>
      </c>
      <c r="C396" s="163">
        <v>77.13</v>
      </c>
      <c r="F396" s="172">
        <v>44053</v>
      </c>
      <c r="G396" s="164">
        <v>126</v>
      </c>
      <c r="H396" s="164">
        <v>131</v>
      </c>
      <c r="K396" s="185">
        <v>44053</v>
      </c>
      <c r="L396" s="182">
        <v>125.84</v>
      </c>
      <c r="M396" s="184">
        <f t="shared" si="1"/>
        <v>-1.2698412698411987E-3</v>
      </c>
    </row>
    <row r="397" spans="1:13" ht="15.75" thickBot="1" x14ac:dyDescent="0.3">
      <c r="A397" s="172">
        <v>44054</v>
      </c>
      <c r="B397" s="164">
        <v>72.17</v>
      </c>
      <c r="C397" s="164">
        <v>77.17</v>
      </c>
      <c r="F397" s="173">
        <v>44054</v>
      </c>
      <c r="G397" s="163">
        <v>126</v>
      </c>
      <c r="H397" s="163">
        <v>131</v>
      </c>
      <c r="K397" s="186">
        <v>44054</v>
      </c>
      <c r="L397" s="181">
        <v>124.53</v>
      </c>
      <c r="M397" s="184">
        <f t="shared" si="1"/>
        <v>-1.1666666666666603E-2</v>
      </c>
    </row>
    <row r="398" spans="1:13" ht="15.75" thickBot="1" x14ac:dyDescent="0.3">
      <c r="A398" s="173">
        <v>44055</v>
      </c>
      <c r="B398" s="163">
        <v>72.319999999999993</v>
      </c>
      <c r="C398" s="163">
        <v>77.319999999999993</v>
      </c>
      <c r="F398" s="172">
        <v>44055</v>
      </c>
      <c r="G398" s="164">
        <v>127</v>
      </c>
      <c r="H398" s="164">
        <v>132</v>
      </c>
      <c r="K398" s="185">
        <v>44055</v>
      </c>
      <c r="L398" s="182">
        <v>125.73</v>
      </c>
      <c r="M398" s="184">
        <f t="shared" si="1"/>
        <v>-1.0000000000000009E-2</v>
      </c>
    </row>
    <row r="399" spans="1:13" ht="15.75" thickBot="1" x14ac:dyDescent="0.3">
      <c r="A399" s="172">
        <v>44056</v>
      </c>
      <c r="B399" s="164">
        <v>72.42</v>
      </c>
      <c r="C399" s="164">
        <v>77.42</v>
      </c>
      <c r="F399" s="173">
        <v>44056</v>
      </c>
      <c r="G399" s="163">
        <v>128</v>
      </c>
      <c r="H399" s="163">
        <v>133</v>
      </c>
      <c r="K399" s="186">
        <v>44056</v>
      </c>
      <c r="L399" s="181">
        <v>125.3</v>
      </c>
      <c r="M399" s="184">
        <f t="shared" si="1"/>
        <v>-2.1093750000000022E-2</v>
      </c>
    </row>
    <row r="400" spans="1:13" ht="15.75" thickBot="1" x14ac:dyDescent="0.3">
      <c r="A400" s="173">
        <v>44057</v>
      </c>
      <c r="B400" s="163">
        <v>72.39</v>
      </c>
      <c r="C400" s="163">
        <v>77.39</v>
      </c>
      <c r="F400" s="172">
        <v>44057</v>
      </c>
      <c r="G400" s="164">
        <v>127</v>
      </c>
      <c r="H400" s="164">
        <v>132</v>
      </c>
      <c r="K400" s="185">
        <v>44057</v>
      </c>
      <c r="L400" s="182">
        <v>124.22</v>
      </c>
      <c r="M400" s="184">
        <f t="shared" si="1"/>
        <v>-2.188976377952756E-2</v>
      </c>
    </row>
    <row r="401" spans="1:13" ht="15.75" thickBot="1" x14ac:dyDescent="0.3">
      <c r="A401" s="171">
        <v>44060</v>
      </c>
      <c r="B401" s="167">
        <f>+B400</f>
        <v>72.39</v>
      </c>
      <c r="C401" s="167">
        <f>+C400</f>
        <v>77.39</v>
      </c>
      <c r="F401" s="173">
        <v>44060</v>
      </c>
      <c r="G401" s="163">
        <v>127</v>
      </c>
      <c r="H401" s="163">
        <v>132</v>
      </c>
      <c r="K401" s="186">
        <v>44060</v>
      </c>
      <c r="L401" s="181">
        <v>124.22</v>
      </c>
      <c r="M401" s="184">
        <f t="shared" si="1"/>
        <v>-2.188976377952756E-2</v>
      </c>
    </row>
    <row r="402" spans="1:13" ht="15.75" thickBot="1" x14ac:dyDescent="0.3">
      <c r="A402" s="172">
        <v>44061</v>
      </c>
      <c r="B402" s="164">
        <v>72.540000000000006</v>
      </c>
      <c r="C402" s="164">
        <v>77.540000000000006</v>
      </c>
      <c r="F402" s="172">
        <v>44061</v>
      </c>
      <c r="G402" s="164">
        <v>127</v>
      </c>
      <c r="H402" s="164">
        <v>132</v>
      </c>
      <c r="K402" s="185">
        <v>44061</v>
      </c>
      <c r="L402" s="182">
        <v>125.69</v>
      </c>
      <c r="M402" s="184">
        <f t="shared" si="1"/>
        <v>-1.0314960629921321E-2</v>
      </c>
    </row>
    <row r="403" spans="1:13" ht="15.75" thickBot="1" x14ac:dyDescent="0.3">
      <c r="A403" s="173">
        <v>44062</v>
      </c>
      <c r="B403" s="163">
        <v>72.7</v>
      </c>
      <c r="C403" s="163">
        <v>77.7</v>
      </c>
      <c r="F403" s="173">
        <v>44062</v>
      </c>
      <c r="G403" s="163">
        <v>129</v>
      </c>
      <c r="H403" s="163">
        <v>134</v>
      </c>
      <c r="K403" s="186">
        <v>44062</v>
      </c>
      <c r="L403" s="181">
        <v>127.61</v>
      </c>
      <c r="M403" s="184">
        <f t="shared" si="1"/>
        <v>-1.07751937984496E-2</v>
      </c>
    </row>
    <row r="404" spans="1:13" ht="15.75" thickBot="1" x14ac:dyDescent="0.3">
      <c r="A404" s="172">
        <v>44063</v>
      </c>
      <c r="B404" s="164">
        <v>72.77</v>
      </c>
      <c r="C404" s="164">
        <v>77.77</v>
      </c>
      <c r="F404" s="172">
        <v>44063</v>
      </c>
      <c r="G404" s="164">
        <v>131</v>
      </c>
      <c r="H404" s="164">
        <v>136</v>
      </c>
      <c r="K404" s="185">
        <v>44063</v>
      </c>
      <c r="L404" s="182">
        <v>129.41999999999999</v>
      </c>
      <c r="M404" s="184">
        <f t="shared" si="1"/>
        <v>-1.2061068702290179E-2</v>
      </c>
    </row>
    <row r="405" spans="1:13" ht="15.75" thickBot="1" x14ac:dyDescent="0.3">
      <c r="A405" s="173">
        <v>44064</v>
      </c>
      <c r="B405" s="163">
        <v>72.8</v>
      </c>
      <c r="C405" s="163">
        <v>77.8</v>
      </c>
      <c r="F405" s="173">
        <v>44064</v>
      </c>
      <c r="G405" s="163">
        <v>134</v>
      </c>
      <c r="H405" s="163">
        <v>138</v>
      </c>
      <c r="K405" s="186">
        <v>44064</v>
      </c>
      <c r="L405" s="181">
        <v>129.52000000000001</v>
      </c>
      <c r="M405" s="184">
        <f t="shared" si="1"/>
        <v>-3.3432835820895401E-2</v>
      </c>
    </row>
    <row r="406" spans="1:13" ht="15.75" thickBot="1" x14ac:dyDescent="0.3">
      <c r="A406" s="172">
        <v>44067</v>
      </c>
      <c r="B406" s="164">
        <v>72.92</v>
      </c>
      <c r="C406" s="164">
        <v>77.92</v>
      </c>
      <c r="F406" s="172">
        <v>44067</v>
      </c>
      <c r="G406" s="164">
        <v>133</v>
      </c>
      <c r="H406" s="164">
        <v>137</v>
      </c>
      <c r="K406" s="185">
        <v>44067</v>
      </c>
      <c r="L406" s="182">
        <v>130.33000000000001</v>
      </c>
      <c r="M406" s="184">
        <f t="shared" si="1"/>
        <v>-2.007518796992469E-2</v>
      </c>
    </row>
    <row r="407" spans="1:13" ht="15.75" thickBot="1" x14ac:dyDescent="0.3">
      <c r="A407" s="173">
        <v>44068</v>
      </c>
      <c r="B407" s="163">
        <v>72.94</v>
      </c>
      <c r="C407" s="163">
        <v>77.94</v>
      </c>
      <c r="F407" s="173">
        <v>44068</v>
      </c>
      <c r="G407" s="163">
        <v>133</v>
      </c>
      <c r="H407" s="163">
        <v>137</v>
      </c>
      <c r="K407" s="186">
        <v>44068</v>
      </c>
      <c r="L407" s="181">
        <v>127.69</v>
      </c>
      <c r="M407" s="184">
        <f t="shared" si="1"/>
        <v>-3.9924812030075252E-2</v>
      </c>
    </row>
    <row r="408" spans="1:13" ht="15.75" thickBot="1" x14ac:dyDescent="0.3">
      <c r="A408" s="172">
        <v>44069</v>
      </c>
      <c r="B408" s="164">
        <v>72.95</v>
      </c>
      <c r="C408" s="164">
        <v>77.95</v>
      </c>
      <c r="F408" s="172">
        <v>44069</v>
      </c>
      <c r="G408" s="164">
        <v>133</v>
      </c>
      <c r="H408" s="164">
        <v>137</v>
      </c>
      <c r="K408" s="185">
        <v>44069</v>
      </c>
      <c r="L408" s="182">
        <v>125.16</v>
      </c>
      <c r="M408" s="184">
        <f t="shared" si="1"/>
        <v>-5.8947368421052637E-2</v>
      </c>
    </row>
    <row r="409" spans="1:13" ht="15.75" thickBot="1" x14ac:dyDescent="0.3">
      <c r="A409" s="173">
        <v>44070</v>
      </c>
      <c r="B409" s="163">
        <v>73.13</v>
      </c>
      <c r="C409" s="163">
        <v>78.13</v>
      </c>
      <c r="F409" s="173">
        <v>44070</v>
      </c>
      <c r="G409" s="163">
        <v>134</v>
      </c>
      <c r="H409" s="163">
        <v>138</v>
      </c>
      <c r="K409" s="186">
        <v>44070</v>
      </c>
      <c r="L409" s="181">
        <v>122.29</v>
      </c>
      <c r="M409" s="184">
        <f t="shared" si="1"/>
        <v>-8.7388059701492438E-2</v>
      </c>
    </row>
    <row r="410" spans="1:13" ht="15.75" thickBot="1" x14ac:dyDescent="0.3">
      <c r="A410" s="172">
        <v>44071</v>
      </c>
      <c r="B410" s="164">
        <v>73.180000000000007</v>
      </c>
      <c r="C410" s="164">
        <v>78.180000000000007</v>
      </c>
      <c r="F410" s="172">
        <v>44071</v>
      </c>
      <c r="G410" s="164">
        <v>132</v>
      </c>
      <c r="H410" s="164">
        <v>136</v>
      </c>
      <c r="K410" s="185">
        <v>44071</v>
      </c>
      <c r="L410" s="182">
        <v>121.73</v>
      </c>
      <c r="M410" s="184">
        <f t="shared" si="1"/>
        <v>-7.7803030303030263E-2</v>
      </c>
    </row>
    <row r="411" spans="1:13" ht="15.75" thickBot="1" x14ac:dyDescent="0.3">
      <c r="A411" s="173">
        <v>44074</v>
      </c>
      <c r="B411" s="163">
        <v>73.36</v>
      </c>
      <c r="C411" s="163">
        <v>78.36</v>
      </c>
      <c r="F411" s="173">
        <v>44074</v>
      </c>
      <c r="G411" s="163">
        <v>131</v>
      </c>
      <c r="H411" s="163">
        <v>135</v>
      </c>
      <c r="K411" s="186">
        <v>44074</v>
      </c>
      <c r="L411" s="181">
        <v>121.57</v>
      </c>
      <c r="M411" s="184">
        <f t="shared" si="1"/>
        <v>-7.1984732824427522E-2</v>
      </c>
    </row>
    <row r="412" spans="1:13" ht="15.75" thickBot="1" x14ac:dyDescent="0.3">
      <c r="A412" s="172">
        <v>44075</v>
      </c>
      <c r="B412" s="164">
        <v>73.5</v>
      </c>
      <c r="C412" s="164">
        <v>78.5</v>
      </c>
      <c r="F412" s="172">
        <v>44075</v>
      </c>
      <c r="G412" s="164">
        <v>129</v>
      </c>
      <c r="H412" s="164">
        <v>133</v>
      </c>
      <c r="K412" s="185">
        <v>44075</v>
      </c>
      <c r="L412" s="182">
        <v>117.64</v>
      </c>
      <c r="M412" s="184">
        <f t="shared" si="1"/>
        <v>-8.8062015503875934E-2</v>
      </c>
    </row>
    <row r="413" spans="1:13" ht="15.75" thickBot="1" x14ac:dyDescent="0.3">
      <c r="A413" s="173">
        <v>44076</v>
      </c>
      <c r="B413" s="163">
        <v>73.63</v>
      </c>
      <c r="C413" s="163">
        <v>78.63</v>
      </c>
      <c r="F413" s="173">
        <v>44076</v>
      </c>
      <c r="G413" s="163">
        <v>129</v>
      </c>
      <c r="H413" s="163">
        <v>133</v>
      </c>
      <c r="K413" s="186">
        <v>44076</v>
      </c>
      <c r="L413" s="181">
        <v>119.72</v>
      </c>
      <c r="M413" s="184">
        <f t="shared" si="1"/>
        <v>-7.1937984496123986E-2</v>
      </c>
    </row>
    <row r="414" spans="1:13" ht="15.75" thickBot="1" x14ac:dyDescent="0.3">
      <c r="A414" s="173">
        <v>44077</v>
      </c>
      <c r="B414" s="163">
        <v>73.63</v>
      </c>
      <c r="C414" s="163">
        <v>78.63</v>
      </c>
      <c r="F414" s="172">
        <v>44077</v>
      </c>
      <c r="G414" s="164">
        <v>130</v>
      </c>
      <c r="H414" s="164">
        <v>134</v>
      </c>
      <c r="K414" s="185">
        <v>44077</v>
      </c>
      <c r="L414" s="182">
        <v>119.51</v>
      </c>
      <c r="M414" s="184">
        <f t="shared" si="1"/>
        <v>-8.0692307692307619E-2</v>
      </c>
    </row>
    <row r="415" spans="1:13" ht="15.75" thickBot="1" x14ac:dyDescent="0.3">
      <c r="A415" s="172">
        <v>44078</v>
      </c>
      <c r="B415" s="164">
        <v>73.64</v>
      </c>
      <c r="C415" s="164">
        <v>78.64</v>
      </c>
      <c r="F415" s="173">
        <v>44078</v>
      </c>
      <c r="G415" s="163">
        <v>128</v>
      </c>
      <c r="H415" s="163">
        <v>132</v>
      </c>
      <c r="K415" s="186">
        <v>44078</v>
      </c>
      <c r="L415" s="181">
        <v>120</v>
      </c>
      <c r="M415" s="184">
        <f t="shared" si="1"/>
        <v>-6.25E-2</v>
      </c>
    </row>
    <row r="416" spans="1:13" ht="15.75" thickBot="1" x14ac:dyDescent="0.3">
      <c r="A416" s="172">
        <v>44081</v>
      </c>
      <c r="B416" s="164">
        <v>73.94</v>
      </c>
      <c r="C416" s="164">
        <v>78.94</v>
      </c>
      <c r="F416" s="172">
        <v>44081</v>
      </c>
      <c r="G416" s="164">
        <v>127</v>
      </c>
      <c r="H416" s="164">
        <v>131</v>
      </c>
      <c r="K416" s="185">
        <v>44081</v>
      </c>
      <c r="L416" s="182">
        <v>117.84</v>
      </c>
      <c r="M416" s="184">
        <f t="shared" si="1"/>
        <v>-7.2125984251968478E-2</v>
      </c>
    </row>
    <row r="417" spans="1:13" ht="15.75" thickBot="1" x14ac:dyDescent="0.3">
      <c r="A417" s="173">
        <v>44082</v>
      </c>
      <c r="B417" s="163">
        <v>74.03</v>
      </c>
      <c r="C417" s="163">
        <v>79.03</v>
      </c>
      <c r="F417" s="173">
        <v>44082</v>
      </c>
      <c r="G417" s="163">
        <v>127</v>
      </c>
      <c r="H417" s="163">
        <v>131</v>
      </c>
      <c r="K417" s="186">
        <v>44082</v>
      </c>
      <c r="L417" s="181">
        <v>116.41</v>
      </c>
      <c r="M417" s="184">
        <f t="shared" si="1"/>
        <v>-8.3385826771653515E-2</v>
      </c>
    </row>
    <row r="418" spans="1:13" ht="15.75" thickBot="1" x14ac:dyDescent="0.3">
      <c r="A418" s="172">
        <v>44083</v>
      </c>
      <c r="B418" s="164">
        <v>74.05</v>
      </c>
      <c r="C418" s="164">
        <v>79.05</v>
      </c>
      <c r="F418" s="172">
        <v>44083</v>
      </c>
      <c r="G418" s="164">
        <v>127</v>
      </c>
      <c r="H418" s="164">
        <v>131</v>
      </c>
      <c r="K418" s="185">
        <v>44083</v>
      </c>
      <c r="L418" s="182">
        <v>119.67</v>
      </c>
      <c r="M418" s="184">
        <f t="shared" si="1"/>
        <v>-5.771653543307087E-2</v>
      </c>
    </row>
    <row r="419" spans="1:13" ht="15.75" thickBot="1" x14ac:dyDescent="0.3">
      <c r="A419" s="173">
        <v>44084</v>
      </c>
      <c r="B419" s="163">
        <v>74.069999999999993</v>
      </c>
      <c r="C419" s="163">
        <v>79.069999999999993</v>
      </c>
      <c r="F419" s="173">
        <v>44084</v>
      </c>
      <c r="G419" s="163">
        <v>127</v>
      </c>
      <c r="H419" s="163">
        <v>131</v>
      </c>
      <c r="K419" s="186">
        <v>44084</v>
      </c>
      <c r="L419" s="181">
        <v>123.41</v>
      </c>
      <c r="M419" s="184">
        <f t="shared" si="1"/>
        <v>-2.8267716535433141E-2</v>
      </c>
    </row>
    <row r="420" spans="1:13" ht="15.75" thickBot="1" x14ac:dyDescent="0.3">
      <c r="A420" s="172">
        <v>44085</v>
      </c>
      <c r="B420" s="164">
        <v>74.16</v>
      </c>
      <c r="C420" s="164">
        <v>79.16</v>
      </c>
      <c r="F420" s="172">
        <v>44085</v>
      </c>
      <c r="G420" s="164">
        <v>127</v>
      </c>
      <c r="H420" s="164">
        <v>131</v>
      </c>
      <c r="K420" s="185">
        <v>44085</v>
      </c>
      <c r="L420" s="182">
        <v>125.17</v>
      </c>
      <c r="M420" s="184">
        <f t="shared" si="1"/>
        <v>-1.4409448818897608E-2</v>
      </c>
    </row>
    <row r="421" spans="1:13" ht="15.75" thickBot="1" x14ac:dyDescent="0.3">
      <c r="A421" s="173">
        <v>44088</v>
      </c>
      <c r="B421" s="163">
        <v>74.239999999999995</v>
      </c>
      <c r="C421" s="163">
        <v>79.239999999999995</v>
      </c>
      <c r="F421" s="173">
        <v>44088</v>
      </c>
      <c r="G421" s="163">
        <v>128</v>
      </c>
      <c r="H421" s="163">
        <v>132</v>
      </c>
      <c r="K421" s="186">
        <v>44088</v>
      </c>
      <c r="L421" s="181">
        <v>123.21</v>
      </c>
      <c r="M421" s="184">
        <f t="shared" si="1"/>
        <v>-3.7421875000000049E-2</v>
      </c>
    </row>
    <row r="422" spans="1:13" ht="15.75" thickBot="1" x14ac:dyDescent="0.3">
      <c r="A422" s="172">
        <v>44089</v>
      </c>
      <c r="B422" s="164">
        <v>74.36</v>
      </c>
      <c r="C422" s="164">
        <v>79.36</v>
      </c>
      <c r="F422" s="172">
        <v>44089</v>
      </c>
      <c r="G422" s="164">
        <v>127</v>
      </c>
      <c r="H422" s="164">
        <v>131</v>
      </c>
      <c r="K422" s="185">
        <v>44089</v>
      </c>
      <c r="L422" s="182">
        <v>122.06</v>
      </c>
      <c r="M422" s="184">
        <f t="shared" si="1"/>
        <v>-3.8897637795275553E-2</v>
      </c>
    </row>
    <row r="423" spans="1:13" ht="15.75" thickBot="1" x14ac:dyDescent="0.3">
      <c r="A423" s="173">
        <v>44090</v>
      </c>
      <c r="B423" s="163">
        <v>74.55</v>
      </c>
      <c r="C423" s="163">
        <v>79.55</v>
      </c>
      <c r="F423" s="173">
        <v>44090</v>
      </c>
      <c r="G423" s="163">
        <v>135</v>
      </c>
      <c r="H423" s="163">
        <v>145</v>
      </c>
      <c r="K423" s="186">
        <v>44090</v>
      </c>
      <c r="L423" s="181">
        <v>127.61</v>
      </c>
      <c r="M423" s="184">
        <f t="shared" si="1"/>
        <v>-5.4740740740740756E-2</v>
      </c>
    </row>
    <row r="424" spans="1:13" ht="15.75" thickBot="1" x14ac:dyDescent="0.3">
      <c r="A424" s="172">
        <v>44091</v>
      </c>
      <c r="B424" s="164">
        <v>74.59</v>
      </c>
      <c r="C424" s="164">
        <v>79.59</v>
      </c>
      <c r="F424" s="172">
        <v>44091</v>
      </c>
      <c r="G424" s="164">
        <v>135</v>
      </c>
      <c r="H424" s="164">
        <v>141</v>
      </c>
      <c r="K424" s="185">
        <v>44091</v>
      </c>
      <c r="L424" s="182">
        <v>126.33</v>
      </c>
      <c r="M424" s="184">
        <f t="shared" si="1"/>
        <v>-6.4222222222222181E-2</v>
      </c>
    </row>
    <row r="425" spans="1:13" ht="15.75" thickBot="1" x14ac:dyDescent="0.3">
      <c r="A425" s="173">
        <v>44092</v>
      </c>
      <c r="B425" s="163">
        <v>74.59</v>
      </c>
      <c r="C425" s="163">
        <v>79.59</v>
      </c>
      <c r="F425" s="173">
        <v>44092</v>
      </c>
      <c r="G425" s="163">
        <v>134</v>
      </c>
      <c r="H425" s="163">
        <v>140</v>
      </c>
      <c r="K425" s="186">
        <v>44092</v>
      </c>
      <c r="L425" s="181">
        <v>129.72</v>
      </c>
      <c r="M425" s="184">
        <f t="shared" si="1"/>
        <v>-3.1940298507462717E-2</v>
      </c>
    </row>
    <row r="426" spans="1:13" ht="15.75" thickBot="1" x14ac:dyDescent="0.3">
      <c r="A426" s="172">
        <v>44095</v>
      </c>
      <c r="B426" s="164">
        <v>74.709999999999994</v>
      </c>
      <c r="C426" s="164">
        <v>79.709999999999994</v>
      </c>
      <c r="F426" s="172">
        <v>44095</v>
      </c>
      <c r="G426" s="164">
        <v>135</v>
      </c>
      <c r="H426" s="164">
        <v>141</v>
      </c>
      <c r="K426" s="185">
        <v>44095</v>
      </c>
      <c r="L426" s="182">
        <v>130.97999999999999</v>
      </c>
      <c r="M426" s="184">
        <f t="shared" si="1"/>
        <v>-2.9777777777777903E-2</v>
      </c>
    </row>
    <row r="427" spans="1:13" ht="15.75" thickBot="1" x14ac:dyDescent="0.3">
      <c r="A427" s="173">
        <v>44096</v>
      </c>
      <c r="B427" s="163">
        <v>74.86</v>
      </c>
      <c r="C427" s="163">
        <v>79.86</v>
      </c>
      <c r="F427" s="173">
        <v>44096</v>
      </c>
      <c r="G427" s="163">
        <v>138</v>
      </c>
      <c r="H427" s="163">
        <v>144</v>
      </c>
      <c r="K427" s="186">
        <v>44096</v>
      </c>
      <c r="L427" s="181">
        <v>134.38999999999999</v>
      </c>
      <c r="M427" s="184">
        <f t="shared" si="1"/>
        <v>-2.6159420289855184E-2</v>
      </c>
    </row>
    <row r="428" spans="1:13" ht="15.75" thickBot="1" x14ac:dyDescent="0.3">
      <c r="A428" s="172">
        <v>44097</v>
      </c>
      <c r="B428" s="164">
        <v>74.89</v>
      </c>
      <c r="C428" s="164">
        <v>79.89</v>
      </c>
      <c r="F428" s="172">
        <v>44097</v>
      </c>
      <c r="G428" s="164">
        <v>139</v>
      </c>
      <c r="H428" s="164">
        <v>145</v>
      </c>
      <c r="K428" s="185">
        <v>44097</v>
      </c>
      <c r="L428" s="182">
        <v>134.69</v>
      </c>
      <c r="M428" s="184">
        <f t="shared" si="1"/>
        <v>-3.1007194244604297E-2</v>
      </c>
    </row>
    <row r="429" spans="1:13" ht="15.75" thickBot="1" x14ac:dyDescent="0.3">
      <c r="A429" s="173">
        <v>44098</v>
      </c>
      <c r="B429" s="163">
        <v>74.989999999999995</v>
      </c>
      <c r="C429" s="163">
        <v>79.989999999999995</v>
      </c>
      <c r="F429" s="173">
        <v>44098</v>
      </c>
      <c r="G429" s="163">
        <v>141</v>
      </c>
      <c r="H429" s="163">
        <v>147</v>
      </c>
      <c r="K429" s="186">
        <v>44098</v>
      </c>
      <c r="L429" s="181">
        <v>130.87</v>
      </c>
      <c r="M429" s="184">
        <f t="shared" si="1"/>
        <v>-7.1843971631205594E-2</v>
      </c>
    </row>
    <row r="430" spans="1:13" ht="15.75" thickBot="1" x14ac:dyDescent="0.3">
      <c r="A430" s="172">
        <v>44099</v>
      </c>
      <c r="B430" s="164">
        <v>75.05</v>
      </c>
      <c r="C430" s="164">
        <v>80.05</v>
      </c>
      <c r="F430" s="172">
        <v>44099</v>
      </c>
      <c r="G430" s="164">
        <v>139</v>
      </c>
      <c r="H430" s="164">
        <v>145</v>
      </c>
      <c r="K430" s="185">
        <v>44099</v>
      </c>
      <c r="L430" s="182">
        <v>135.29</v>
      </c>
      <c r="M430" s="184">
        <f t="shared" si="1"/>
        <v>-2.669064748201444E-2</v>
      </c>
    </row>
    <row r="431" spans="1:13" ht="15.75" thickBot="1" x14ac:dyDescent="0.3">
      <c r="A431" s="173">
        <v>44102</v>
      </c>
      <c r="B431" s="163">
        <v>75.150000000000006</v>
      </c>
      <c r="C431" s="163">
        <v>80.150000000000006</v>
      </c>
      <c r="F431" s="173">
        <v>44102</v>
      </c>
      <c r="G431" s="163">
        <v>139</v>
      </c>
      <c r="H431" s="163">
        <v>145</v>
      </c>
      <c r="K431" s="186">
        <v>44102</v>
      </c>
      <c r="L431" s="181">
        <v>137.31</v>
      </c>
      <c r="M431" s="184">
        <f t="shared" si="1"/>
        <v>-1.2158273381294937E-2</v>
      </c>
    </row>
    <row r="432" spans="1:13" ht="15.75" thickBot="1" x14ac:dyDescent="0.3">
      <c r="A432" s="172">
        <v>44103</v>
      </c>
      <c r="B432" s="164">
        <v>75.239999999999995</v>
      </c>
      <c r="C432" s="164">
        <v>80.239999999999995</v>
      </c>
      <c r="F432" s="172">
        <v>44103</v>
      </c>
      <c r="G432" s="164">
        <v>140</v>
      </c>
      <c r="H432" s="164">
        <v>146</v>
      </c>
      <c r="K432" s="185">
        <v>44103</v>
      </c>
      <c r="L432" s="182">
        <v>138.80000000000001</v>
      </c>
      <c r="M432" s="184">
        <f t="shared" si="1"/>
        <v>-8.5714285714284522E-3</v>
      </c>
    </row>
    <row r="433" spans="1:13" ht="15.75" thickBot="1" x14ac:dyDescent="0.3">
      <c r="A433" s="173">
        <v>44104</v>
      </c>
      <c r="B433" s="163">
        <v>75.62</v>
      </c>
      <c r="C433" s="163">
        <v>80.62</v>
      </c>
      <c r="F433" s="173">
        <v>44104</v>
      </c>
      <c r="G433" s="163">
        <v>140</v>
      </c>
      <c r="H433" s="163">
        <v>146</v>
      </c>
      <c r="K433" s="186">
        <v>44104</v>
      </c>
      <c r="L433" s="181">
        <v>138.79</v>
      </c>
      <c r="M433" s="184">
        <f t="shared" ref="M433:M496" si="2">+L433/G433-1</f>
        <v>-8.6428571428571743E-3</v>
      </c>
    </row>
    <row r="434" spans="1:13" ht="15.75" thickBot="1" x14ac:dyDescent="0.3">
      <c r="A434" s="173">
        <v>44105</v>
      </c>
      <c r="B434" s="163">
        <v>75.8</v>
      </c>
      <c r="C434" s="163">
        <v>80.8</v>
      </c>
      <c r="F434" s="172">
        <v>44105</v>
      </c>
      <c r="G434" s="164">
        <v>141</v>
      </c>
      <c r="H434" s="164">
        <v>147</v>
      </c>
      <c r="K434" s="185">
        <v>44105</v>
      </c>
      <c r="L434" s="182">
        <v>139.04</v>
      </c>
      <c r="M434" s="184">
        <f t="shared" si="2"/>
        <v>-1.3900709219858198E-2</v>
      </c>
    </row>
    <row r="435" spans="1:13" ht="15.75" thickBot="1" x14ac:dyDescent="0.3">
      <c r="A435" s="172">
        <v>44106</v>
      </c>
      <c r="B435" s="164">
        <v>76.44</v>
      </c>
      <c r="C435" s="164">
        <v>82.44</v>
      </c>
      <c r="F435" s="173">
        <v>44106</v>
      </c>
      <c r="G435" s="163">
        <v>144</v>
      </c>
      <c r="H435" s="163">
        <v>150</v>
      </c>
      <c r="K435" s="186">
        <v>44106</v>
      </c>
      <c r="L435" s="181">
        <v>138.15</v>
      </c>
      <c r="M435" s="184">
        <f t="shared" si="2"/>
        <v>-4.0624999999999911E-2</v>
      </c>
    </row>
    <row r="436" spans="1:13" ht="15.75" thickBot="1" x14ac:dyDescent="0.3">
      <c r="A436" s="173">
        <v>44109</v>
      </c>
      <c r="B436" s="163">
        <v>76.64</v>
      </c>
      <c r="C436" s="163">
        <v>82.64</v>
      </c>
      <c r="F436" s="172">
        <v>44109</v>
      </c>
      <c r="G436" s="164">
        <v>144</v>
      </c>
      <c r="H436" s="164">
        <v>150</v>
      </c>
      <c r="K436" s="185">
        <v>44109</v>
      </c>
      <c r="L436" s="182">
        <v>140.79</v>
      </c>
      <c r="M436" s="184">
        <f t="shared" si="2"/>
        <v>-2.229166666666671E-2</v>
      </c>
    </row>
    <row r="437" spans="1:13" ht="15.75" thickBot="1" x14ac:dyDescent="0.3">
      <c r="A437" s="172">
        <v>44110</v>
      </c>
      <c r="B437" s="164">
        <v>76.72</v>
      </c>
      <c r="C437" s="164">
        <v>82.72</v>
      </c>
      <c r="F437" s="173">
        <v>44110</v>
      </c>
      <c r="G437" s="163">
        <v>146</v>
      </c>
      <c r="H437" s="163">
        <v>152</v>
      </c>
      <c r="K437" s="186">
        <v>44110</v>
      </c>
      <c r="L437" s="181">
        <v>140.16</v>
      </c>
      <c r="M437" s="184">
        <f t="shared" si="2"/>
        <v>-4.0000000000000036E-2</v>
      </c>
    </row>
    <row r="438" spans="1:13" ht="15.75" thickBot="1" x14ac:dyDescent="0.3">
      <c r="A438" s="173">
        <v>44111</v>
      </c>
      <c r="B438" s="163">
        <v>76.72</v>
      </c>
      <c r="C438" s="163">
        <v>82.72</v>
      </c>
      <c r="F438" s="172">
        <v>44111</v>
      </c>
      <c r="G438" s="164">
        <v>149</v>
      </c>
      <c r="H438" s="164">
        <v>155</v>
      </c>
      <c r="K438" s="185">
        <v>44111</v>
      </c>
      <c r="L438" s="182">
        <v>138.97</v>
      </c>
      <c r="M438" s="184">
        <f t="shared" si="2"/>
        <v>-6.7315436241610738E-2</v>
      </c>
    </row>
    <row r="439" spans="1:13" ht="15.75" thickBot="1" x14ac:dyDescent="0.3">
      <c r="A439" s="172">
        <v>44112</v>
      </c>
      <c r="B439" s="164">
        <v>76.790000000000006</v>
      </c>
      <c r="C439" s="164">
        <v>82.79</v>
      </c>
      <c r="F439" s="173">
        <v>44112</v>
      </c>
      <c r="G439" s="163">
        <v>152</v>
      </c>
      <c r="H439" s="163">
        <v>158</v>
      </c>
      <c r="K439" s="186">
        <v>44112</v>
      </c>
      <c r="L439" s="181">
        <v>140.94</v>
      </c>
      <c r="M439" s="184">
        <f t="shared" si="2"/>
        <v>-7.2763157894736863E-2</v>
      </c>
    </row>
    <row r="440" spans="1:13" ht="15.75" thickBot="1" x14ac:dyDescent="0.3">
      <c r="A440" s="172">
        <v>44113</v>
      </c>
      <c r="B440" s="164">
        <v>76.739999999999995</v>
      </c>
      <c r="C440" s="164">
        <v>82.74</v>
      </c>
      <c r="F440" s="172">
        <v>44113</v>
      </c>
      <c r="G440" s="164">
        <v>161</v>
      </c>
      <c r="H440" s="164">
        <v>167</v>
      </c>
      <c r="K440" s="185">
        <v>44113</v>
      </c>
      <c r="L440" s="182">
        <v>143.41999999999999</v>
      </c>
      <c r="M440" s="184">
        <f t="shared" si="2"/>
        <v>-0.10919254658385102</v>
      </c>
    </row>
    <row r="441" spans="1:13" ht="15.75" thickBot="1" x14ac:dyDescent="0.3">
      <c r="A441" s="173">
        <v>44117</v>
      </c>
      <c r="B441" s="163">
        <v>76.92</v>
      </c>
      <c r="C441" s="163">
        <v>82.92</v>
      </c>
      <c r="F441" s="173">
        <v>44117</v>
      </c>
      <c r="G441" s="163">
        <v>160</v>
      </c>
      <c r="H441" s="163">
        <v>166</v>
      </c>
      <c r="K441" s="186">
        <v>44117</v>
      </c>
      <c r="L441" s="181">
        <v>144.94999999999999</v>
      </c>
      <c r="M441" s="184">
        <f t="shared" si="2"/>
        <v>-9.4062500000000049E-2</v>
      </c>
    </row>
    <row r="442" spans="1:13" ht="15.75" thickBot="1" x14ac:dyDescent="0.3">
      <c r="A442" s="172">
        <v>44118</v>
      </c>
      <c r="B442" s="164">
        <v>76.95</v>
      </c>
      <c r="C442" s="164">
        <v>82.95</v>
      </c>
      <c r="F442" s="172">
        <v>44118</v>
      </c>
      <c r="G442" s="164">
        <v>161</v>
      </c>
      <c r="H442" s="164">
        <v>167</v>
      </c>
      <c r="K442" s="185">
        <v>44118</v>
      </c>
      <c r="L442" s="182">
        <v>150.28</v>
      </c>
      <c r="M442" s="184">
        <f t="shared" si="2"/>
        <v>-6.6583850931676958E-2</v>
      </c>
    </row>
    <row r="443" spans="1:13" ht="15.75" thickBot="1" x14ac:dyDescent="0.3">
      <c r="A443" s="173">
        <v>44119</v>
      </c>
      <c r="B443" s="163">
        <v>76.989999999999995</v>
      </c>
      <c r="C443" s="163">
        <v>82.99</v>
      </c>
      <c r="F443" s="173">
        <v>44119</v>
      </c>
      <c r="G443" s="163">
        <v>165</v>
      </c>
      <c r="H443" s="163">
        <v>171</v>
      </c>
      <c r="K443" s="186">
        <v>44119</v>
      </c>
      <c r="L443" s="181">
        <v>154.97</v>
      </c>
      <c r="M443" s="184">
        <f t="shared" si="2"/>
        <v>-6.0787878787878835E-2</v>
      </c>
    </row>
    <row r="444" spans="1:13" ht="15.75" thickBot="1" x14ac:dyDescent="0.3">
      <c r="A444" s="172">
        <v>44120</v>
      </c>
      <c r="B444" s="164">
        <v>77.2</v>
      </c>
      <c r="C444" s="164">
        <v>83.2</v>
      </c>
      <c r="F444" s="172">
        <v>44120</v>
      </c>
      <c r="G444" s="164">
        <v>172</v>
      </c>
      <c r="H444" s="164">
        <v>178</v>
      </c>
      <c r="K444" s="185">
        <v>44120</v>
      </c>
      <c r="L444" s="182">
        <v>152.07</v>
      </c>
      <c r="M444" s="184">
        <f t="shared" si="2"/>
        <v>-0.11587209302325585</v>
      </c>
    </row>
    <row r="445" spans="1:13" ht="15.75" thickBot="1" x14ac:dyDescent="0.3">
      <c r="A445" s="173">
        <v>44123</v>
      </c>
      <c r="B445" s="163">
        <v>77.209999999999994</v>
      </c>
      <c r="C445" s="163">
        <v>83.21</v>
      </c>
      <c r="F445" s="173">
        <v>44123</v>
      </c>
      <c r="G445" s="163">
        <v>175</v>
      </c>
      <c r="H445" s="163">
        <v>181</v>
      </c>
      <c r="K445" s="186">
        <v>44123</v>
      </c>
      <c r="L445" s="181">
        <v>153.4</v>
      </c>
      <c r="M445" s="184">
        <f t="shared" si="2"/>
        <v>-0.12342857142857144</v>
      </c>
    </row>
    <row r="446" spans="1:13" ht="15.75" thickBot="1" x14ac:dyDescent="0.3">
      <c r="A446" s="172">
        <v>44124</v>
      </c>
      <c r="B446" s="164">
        <v>77.27</v>
      </c>
      <c r="C446" s="164">
        <v>83.27</v>
      </c>
      <c r="F446" s="172">
        <v>44124</v>
      </c>
      <c r="G446" s="164">
        <v>174</v>
      </c>
      <c r="H446" s="164">
        <v>180</v>
      </c>
      <c r="K446" s="185">
        <v>44124</v>
      </c>
      <c r="L446" s="182">
        <v>160.91999999999999</v>
      </c>
      <c r="M446" s="184">
        <f t="shared" si="2"/>
        <v>-7.5172413793103465E-2</v>
      </c>
    </row>
    <row r="447" spans="1:13" ht="15.75" thickBot="1" x14ac:dyDescent="0.3">
      <c r="A447" s="173">
        <v>44125</v>
      </c>
      <c r="B447" s="163">
        <v>77.319999999999993</v>
      </c>
      <c r="C447" s="163">
        <v>83.32</v>
      </c>
      <c r="F447" s="173">
        <v>44125</v>
      </c>
      <c r="G447" s="163">
        <v>177</v>
      </c>
      <c r="H447" s="163">
        <v>183</v>
      </c>
      <c r="K447" s="186">
        <v>44125</v>
      </c>
      <c r="L447" s="181">
        <v>162.66</v>
      </c>
      <c r="M447" s="184">
        <f t="shared" si="2"/>
        <v>-8.1016949152542428E-2</v>
      </c>
    </row>
    <row r="448" spans="1:13" ht="15.75" thickBot="1" x14ac:dyDescent="0.3">
      <c r="A448" s="172">
        <v>44126</v>
      </c>
      <c r="B448" s="164">
        <v>77.78</v>
      </c>
      <c r="C448" s="164">
        <v>83.78</v>
      </c>
      <c r="F448" s="172">
        <v>44126</v>
      </c>
      <c r="G448" s="164">
        <v>184</v>
      </c>
      <c r="H448" s="164">
        <v>190</v>
      </c>
      <c r="K448" s="185">
        <v>44126</v>
      </c>
      <c r="L448" s="182">
        <v>163.09</v>
      </c>
      <c r="M448" s="184">
        <f t="shared" si="2"/>
        <v>-0.11364130434782604</v>
      </c>
    </row>
    <row r="449" spans="1:13" ht="15.75" thickBot="1" x14ac:dyDescent="0.3">
      <c r="A449" s="173">
        <v>44127</v>
      </c>
      <c r="B449" s="163">
        <v>77.849999999999994</v>
      </c>
      <c r="C449" s="163">
        <v>83.85</v>
      </c>
      <c r="F449" s="173">
        <v>44127</v>
      </c>
      <c r="G449" s="163">
        <v>189</v>
      </c>
      <c r="H449" s="163">
        <v>195</v>
      </c>
      <c r="K449" s="186">
        <v>44127</v>
      </c>
      <c r="L449" s="181">
        <v>155.16999999999999</v>
      </c>
      <c r="M449" s="184">
        <f t="shared" si="2"/>
        <v>-0.17899470899470904</v>
      </c>
    </row>
    <row r="450" spans="1:13" ht="15.75" thickBot="1" x14ac:dyDescent="0.3">
      <c r="A450" s="172">
        <v>44130</v>
      </c>
      <c r="B450" s="164">
        <v>77.900000000000006</v>
      </c>
      <c r="C450" s="164">
        <v>83.9</v>
      </c>
      <c r="F450" s="172">
        <v>44130</v>
      </c>
      <c r="G450" s="164">
        <v>184</v>
      </c>
      <c r="H450" s="164">
        <v>190</v>
      </c>
      <c r="K450" s="185">
        <v>44130</v>
      </c>
      <c r="L450" s="182">
        <v>157.21</v>
      </c>
      <c r="M450" s="184">
        <f t="shared" si="2"/>
        <v>-0.14559782608695648</v>
      </c>
    </row>
    <row r="451" spans="1:13" ht="15.75" thickBot="1" x14ac:dyDescent="0.3">
      <c r="A451" s="173">
        <v>44131</v>
      </c>
      <c r="B451" s="163">
        <v>77.89</v>
      </c>
      <c r="C451" s="163">
        <v>83.89</v>
      </c>
      <c r="F451" s="173">
        <v>44131</v>
      </c>
      <c r="G451" s="163">
        <v>175</v>
      </c>
      <c r="H451" s="163">
        <v>181</v>
      </c>
      <c r="K451" s="186">
        <v>44131</v>
      </c>
      <c r="L451" s="181">
        <v>152.97999999999999</v>
      </c>
      <c r="M451" s="184">
        <f t="shared" si="2"/>
        <v>-0.12582857142857151</v>
      </c>
    </row>
    <row r="452" spans="1:13" ht="15.75" thickBot="1" x14ac:dyDescent="0.3">
      <c r="A452" s="172">
        <v>44132</v>
      </c>
      <c r="B452" s="164">
        <v>77.900000000000006</v>
      </c>
      <c r="C452" s="164">
        <v>83.9</v>
      </c>
      <c r="F452" s="172">
        <v>44132</v>
      </c>
      <c r="G452" s="164">
        <v>172</v>
      </c>
      <c r="H452" s="164">
        <v>178</v>
      </c>
      <c r="K452" s="185">
        <v>44132</v>
      </c>
      <c r="L452" s="182">
        <v>144.85</v>
      </c>
      <c r="M452" s="184">
        <f t="shared" si="2"/>
        <v>-0.15784883720930232</v>
      </c>
    </row>
    <row r="453" spans="1:13" ht="15.75" thickBot="1" x14ac:dyDescent="0.3">
      <c r="A453" s="173">
        <v>44133</v>
      </c>
      <c r="B453" s="163">
        <v>77.900000000000006</v>
      </c>
      <c r="C453" s="163">
        <v>83.9</v>
      </c>
      <c r="F453" s="173">
        <v>44133</v>
      </c>
      <c r="G453" s="163">
        <v>169</v>
      </c>
      <c r="H453" s="163">
        <v>175</v>
      </c>
      <c r="K453" s="186">
        <v>44133</v>
      </c>
      <c r="L453" s="181">
        <v>144.04</v>
      </c>
      <c r="M453" s="184">
        <f t="shared" si="2"/>
        <v>-0.14769230769230779</v>
      </c>
    </row>
    <row r="454" spans="1:13" ht="15.75" thickBot="1" x14ac:dyDescent="0.3">
      <c r="A454" s="172">
        <v>44134</v>
      </c>
      <c r="B454" s="164">
        <v>77.89</v>
      </c>
      <c r="C454" s="164">
        <v>83.89</v>
      </c>
      <c r="F454" s="172">
        <v>44134</v>
      </c>
      <c r="G454" s="164">
        <v>163</v>
      </c>
      <c r="H454" s="164">
        <v>169</v>
      </c>
      <c r="K454" s="185">
        <v>44134</v>
      </c>
      <c r="L454" s="182">
        <v>143.22999999999999</v>
      </c>
      <c r="M454" s="184">
        <f t="shared" si="2"/>
        <v>-0.12128834355828222</v>
      </c>
    </row>
    <row r="455" spans="1:13" ht="15.75" thickBot="1" x14ac:dyDescent="0.3">
      <c r="A455" s="173">
        <v>44137</v>
      </c>
      <c r="B455" s="163">
        <v>78.41</v>
      </c>
      <c r="C455" s="163">
        <v>84.41</v>
      </c>
      <c r="F455" s="173">
        <v>44137</v>
      </c>
      <c r="G455" s="163">
        <v>162</v>
      </c>
      <c r="H455" s="163">
        <v>168</v>
      </c>
      <c r="K455" s="186">
        <v>44137</v>
      </c>
      <c r="L455" s="181">
        <v>139.22999999999999</v>
      </c>
      <c r="M455" s="184">
        <f t="shared" si="2"/>
        <v>-0.14055555555555566</v>
      </c>
    </row>
    <row r="456" spans="1:13" ht="15.75" thickBot="1" x14ac:dyDescent="0.3">
      <c r="A456" s="172">
        <v>44138</v>
      </c>
      <c r="B456" s="164">
        <v>78.52</v>
      </c>
      <c r="C456" s="164">
        <v>84.52</v>
      </c>
      <c r="F456" s="172">
        <v>44138</v>
      </c>
      <c r="G456" s="164">
        <v>159</v>
      </c>
      <c r="H456" s="164">
        <v>165</v>
      </c>
      <c r="K456" s="185">
        <v>44138</v>
      </c>
      <c r="L456" s="182">
        <v>140.18</v>
      </c>
      <c r="M456" s="184">
        <f t="shared" si="2"/>
        <v>-0.11836477987421379</v>
      </c>
    </row>
    <row r="457" spans="1:13" ht="15.75" thickBot="1" x14ac:dyDescent="0.3">
      <c r="A457" s="173">
        <v>44139</v>
      </c>
      <c r="B457" s="163">
        <v>78.62</v>
      </c>
      <c r="C457" s="163">
        <v>84.62</v>
      </c>
      <c r="F457" s="173">
        <v>44139</v>
      </c>
      <c r="G457" s="163">
        <v>155</v>
      </c>
      <c r="H457" s="163">
        <v>161</v>
      </c>
      <c r="K457" s="186">
        <v>44139</v>
      </c>
      <c r="L457" s="181">
        <v>139.75</v>
      </c>
      <c r="M457" s="184">
        <f t="shared" si="2"/>
        <v>-9.838709677419355E-2</v>
      </c>
    </row>
    <row r="458" spans="1:13" ht="15.75" thickBot="1" x14ac:dyDescent="0.3">
      <c r="A458" s="172">
        <v>44140</v>
      </c>
      <c r="B458" s="164">
        <v>78.63</v>
      </c>
      <c r="C458" s="164">
        <v>84.63</v>
      </c>
      <c r="F458" s="172">
        <v>44140</v>
      </c>
      <c r="G458" s="164">
        <v>151</v>
      </c>
      <c r="H458" s="164">
        <v>157</v>
      </c>
      <c r="K458" s="185">
        <v>44140</v>
      </c>
      <c r="L458" s="182">
        <v>141.88</v>
      </c>
      <c r="M458" s="184">
        <f t="shared" si="2"/>
        <v>-6.0397350993377508E-2</v>
      </c>
    </row>
    <row r="459" spans="1:13" ht="15.75" thickBot="1" x14ac:dyDescent="0.3">
      <c r="A459" s="171">
        <v>44141</v>
      </c>
      <c r="B459" s="167">
        <f>+B458</f>
        <v>78.63</v>
      </c>
      <c r="C459" s="167">
        <f>+C458</f>
        <v>84.63</v>
      </c>
      <c r="F459" s="173">
        <v>44141</v>
      </c>
      <c r="G459" s="163">
        <v>151</v>
      </c>
      <c r="H459" s="163">
        <v>157</v>
      </c>
      <c r="K459" s="186">
        <v>44141</v>
      </c>
      <c r="L459" s="181">
        <v>141.58000000000001</v>
      </c>
      <c r="M459" s="184">
        <f t="shared" si="2"/>
        <v>-6.238410596026478E-2</v>
      </c>
    </row>
    <row r="460" spans="1:13" ht="15.75" thickBot="1" x14ac:dyDescent="0.3">
      <c r="A460" s="173">
        <v>44144</v>
      </c>
      <c r="B460" s="163">
        <v>78.95</v>
      </c>
      <c r="C460" s="163">
        <v>84.95</v>
      </c>
      <c r="F460" s="172">
        <v>44144</v>
      </c>
      <c r="G460" s="164">
        <v>145</v>
      </c>
      <c r="H460" s="164">
        <v>151</v>
      </c>
      <c r="K460" s="185">
        <v>44144</v>
      </c>
      <c r="L460" s="182">
        <v>141.97999999999999</v>
      </c>
      <c r="M460" s="184">
        <f t="shared" si="2"/>
        <v>-2.082758620689662E-2</v>
      </c>
    </row>
    <row r="461" spans="1:13" ht="15.75" thickBot="1" x14ac:dyDescent="0.3">
      <c r="A461" s="172">
        <v>44145</v>
      </c>
      <c r="B461" s="164">
        <v>79.03</v>
      </c>
      <c r="C461" s="164">
        <v>85.03</v>
      </c>
      <c r="F461" s="173">
        <v>44145</v>
      </c>
      <c r="G461" s="163">
        <v>143</v>
      </c>
      <c r="H461" s="163">
        <v>149</v>
      </c>
      <c r="K461" s="186">
        <v>44145</v>
      </c>
      <c r="L461" s="181">
        <v>141.43</v>
      </c>
      <c r="M461" s="184">
        <f t="shared" si="2"/>
        <v>-1.0979020979020926E-2</v>
      </c>
    </row>
    <row r="462" spans="1:13" ht="15.75" thickBot="1" x14ac:dyDescent="0.3">
      <c r="A462" s="173">
        <v>44146</v>
      </c>
      <c r="B462" s="163">
        <v>79.040000000000006</v>
      </c>
      <c r="C462" s="163">
        <v>85.04</v>
      </c>
      <c r="F462" s="172">
        <v>44146</v>
      </c>
      <c r="G462" s="164">
        <v>156</v>
      </c>
      <c r="H462" s="164">
        <v>162</v>
      </c>
      <c r="K462" s="185">
        <v>44146</v>
      </c>
      <c r="L462" s="182">
        <v>145.54</v>
      </c>
      <c r="M462" s="184">
        <f t="shared" si="2"/>
        <v>-6.705128205128208E-2</v>
      </c>
    </row>
    <row r="463" spans="1:13" ht="15.75" thickBot="1" x14ac:dyDescent="0.3">
      <c r="A463" s="172">
        <v>44147</v>
      </c>
      <c r="B463" s="164">
        <v>79.14</v>
      </c>
      <c r="C463" s="164">
        <v>85.14</v>
      </c>
      <c r="F463" s="173">
        <v>44147</v>
      </c>
      <c r="G463" s="163">
        <v>161</v>
      </c>
      <c r="H463" s="163">
        <v>167</v>
      </c>
      <c r="K463" s="186">
        <v>44147</v>
      </c>
      <c r="L463" s="181">
        <v>141.5</v>
      </c>
      <c r="M463" s="184">
        <f t="shared" si="2"/>
        <v>-0.1211180124223602</v>
      </c>
    </row>
    <row r="464" spans="1:13" ht="15.75" thickBot="1" x14ac:dyDescent="0.3">
      <c r="A464" s="173">
        <v>44148</v>
      </c>
      <c r="B464" s="163">
        <v>79.27</v>
      </c>
      <c r="C464" s="163">
        <v>85.27</v>
      </c>
      <c r="F464" s="172">
        <v>44148</v>
      </c>
      <c r="G464" s="164">
        <v>166</v>
      </c>
      <c r="H464" s="164">
        <v>172</v>
      </c>
      <c r="K464" s="185">
        <v>44148</v>
      </c>
      <c r="L464" s="182">
        <v>141.22999999999999</v>
      </c>
      <c r="M464" s="184">
        <f t="shared" si="2"/>
        <v>-0.14921686746987961</v>
      </c>
    </row>
    <row r="465" spans="1:13" ht="15.75" thickBot="1" x14ac:dyDescent="0.3">
      <c r="A465" s="172">
        <v>44151</v>
      </c>
      <c r="B465" s="164">
        <v>79.599999999999994</v>
      </c>
      <c r="C465" s="164">
        <v>85.6</v>
      </c>
      <c r="F465" s="173">
        <v>44151</v>
      </c>
      <c r="G465" s="163">
        <v>156</v>
      </c>
      <c r="H465" s="163">
        <v>162</v>
      </c>
      <c r="K465" s="186">
        <v>44151</v>
      </c>
      <c r="L465" s="181">
        <v>142.82</v>
      </c>
      <c r="M465" s="184">
        <f t="shared" si="2"/>
        <v>-8.4487179487179542E-2</v>
      </c>
    </row>
    <row r="466" spans="1:13" ht="15.75" thickBot="1" x14ac:dyDescent="0.3">
      <c r="A466" s="173">
        <v>44152</v>
      </c>
      <c r="B466" s="163">
        <v>79.599999999999994</v>
      </c>
      <c r="C466" s="163">
        <v>85.6</v>
      </c>
      <c r="F466" s="172">
        <v>44152</v>
      </c>
      <c r="G466" s="164">
        <v>157</v>
      </c>
      <c r="H466" s="164">
        <v>163</v>
      </c>
      <c r="K466" s="185">
        <v>44152</v>
      </c>
      <c r="L466" s="182">
        <v>144.1</v>
      </c>
      <c r="M466" s="184">
        <f t="shared" si="2"/>
        <v>-8.2165605095541383E-2</v>
      </c>
    </row>
    <row r="467" spans="1:13" ht="15.75" thickBot="1" x14ac:dyDescent="0.3">
      <c r="A467" s="172">
        <v>44153</v>
      </c>
      <c r="B467" s="164">
        <v>79.569999999999993</v>
      </c>
      <c r="C467" s="164">
        <v>85.57</v>
      </c>
      <c r="F467" s="173">
        <v>44153</v>
      </c>
      <c r="G467" s="163">
        <v>158</v>
      </c>
      <c r="H467" s="163">
        <v>164</v>
      </c>
      <c r="K467" s="186">
        <v>44153</v>
      </c>
      <c r="L467" s="181">
        <v>145.94999999999999</v>
      </c>
      <c r="M467" s="184">
        <f t="shared" si="2"/>
        <v>-7.62658227848102E-2</v>
      </c>
    </row>
    <row r="468" spans="1:13" ht="15.75" thickBot="1" x14ac:dyDescent="0.3">
      <c r="A468" s="173">
        <v>44154</v>
      </c>
      <c r="B468" s="163">
        <v>79.739999999999995</v>
      </c>
      <c r="C468" s="163">
        <v>85.74</v>
      </c>
      <c r="F468" s="172">
        <v>44154</v>
      </c>
      <c r="G468" s="164">
        <v>157</v>
      </c>
      <c r="H468" s="164">
        <v>163</v>
      </c>
      <c r="K468" s="185">
        <v>44154</v>
      </c>
      <c r="L468" s="182">
        <v>146.53</v>
      </c>
      <c r="M468" s="184">
        <f t="shared" si="2"/>
        <v>-6.6687898089171971E-2</v>
      </c>
    </row>
    <row r="469" spans="1:13" ht="15.75" thickBot="1" x14ac:dyDescent="0.3">
      <c r="A469" s="172">
        <v>44155</v>
      </c>
      <c r="B469" s="164">
        <v>79.91</v>
      </c>
      <c r="C469" s="164">
        <v>85.91</v>
      </c>
      <c r="F469" s="173">
        <v>44155</v>
      </c>
      <c r="G469" s="163">
        <v>155</v>
      </c>
      <c r="H469" s="163">
        <v>161</v>
      </c>
      <c r="K469" s="186">
        <v>44155</v>
      </c>
      <c r="L469" s="181">
        <v>147.16999999999999</v>
      </c>
      <c r="M469" s="184">
        <f t="shared" si="2"/>
        <v>-5.0516129032258106E-2</v>
      </c>
    </row>
    <row r="470" spans="1:13" ht="15.75" thickBot="1" x14ac:dyDescent="0.3">
      <c r="A470" s="173">
        <v>44159</v>
      </c>
      <c r="B470" s="163">
        <v>80.13</v>
      </c>
      <c r="C470" s="163">
        <v>86.13</v>
      </c>
      <c r="F470" s="172">
        <v>44159</v>
      </c>
      <c r="G470" s="164">
        <v>154</v>
      </c>
      <c r="H470" s="164">
        <v>160</v>
      </c>
      <c r="K470" s="185">
        <v>44159</v>
      </c>
      <c r="L470" s="182">
        <v>147.88</v>
      </c>
      <c r="M470" s="184">
        <f t="shared" si="2"/>
        <v>-3.9740259740259742E-2</v>
      </c>
    </row>
    <row r="471" spans="1:13" ht="15.75" thickBot="1" x14ac:dyDescent="0.3">
      <c r="A471" s="172">
        <v>44160</v>
      </c>
      <c r="B471" s="164">
        <v>80.19</v>
      </c>
      <c r="C471" s="164">
        <v>86.19</v>
      </c>
      <c r="F471" s="173">
        <v>44160</v>
      </c>
      <c r="G471" s="163">
        <v>152</v>
      </c>
      <c r="H471" s="163">
        <v>158</v>
      </c>
      <c r="K471" s="186">
        <v>44160</v>
      </c>
      <c r="L471" s="181">
        <v>146.68</v>
      </c>
      <c r="M471" s="184">
        <f t="shared" si="2"/>
        <v>-3.499999999999992E-2</v>
      </c>
    </row>
    <row r="472" spans="1:13" ht="15.75" thickBot="1" x14ac:dyDescent="0.3">
      <c r="A472" s="173">
        <v>44161</v>
      </c>
      <c r="B472" s="163">
        <v>80.53</v>
      </c>
      <c r="C472" s="163">
        <v>86.53</v>
      </c>
      <c r="F472" s="172">
        <v>44161</v>
      </c>
      <c r="G472" s="164">
        <v>151</v>
      </c>
      <c r="H472" s="164">
        <v>157</v>
      </c>
      <c r="K472" s="185">
        <v>44161</v>
      </c>
      <c r="L472" s="182">
        <v>146.59</v>
      </c>
      <c r="M472" s="184">
        <f t="shared" si="2"/>
        <v>-2.9205298013245007E-2</v>
      </c>
    </row>
    <row r="473" spans="1:13" ht="15.75" thickBot="1" x14ac:dyDescent="0.3">
      <c r="A473" s="172">
        <v>44162</v>
      </c>
      <c r="B473" s="164">
        <v>80.61</v>
      </c>
      <c r="C473" s="164">
        <v>86.61</v>
      </c>
      <c r="F473" s="173">
        <v>44162</v>
      </c>
      <c r="G473" s="163">
        <v>150</v>
      </c>
      <c r="H473" s="163">
        <v>156</v>
      </c>
      <c r="K473" s="186">
        <v>44162</v>
      </c>
      <c r="L473" s="181">
        <v>145.44999999999999</v>
      </c>
      <c r="M473" s="184">
        <f t="shared" si="2"/>
        <v>-3.0333333333333434E-2</v>
      </c>
    </row>
    <row r="474" spans="1:13" ht="15.75" thickBot="1" x14ac:dyDescent="0.3">
      <c r="A474" s="173">
        <v>44165</v>
      </c>
      <c r="B474" s="163">
        <v>80.72</v>
      </c>
      <c r="C474" s="163">
        <v>86.72</v>
      </c>
      <c r="F474" s="172">
        <v>44165</v>
      </c>
      <c r="G474" s="164">
        <v>149</v>
      </c>
      <c r="H474" s="164">
        <v>155</v>
      </c>
      <c r="K474" s="185">
        <v>44165</v>
      </c>
      <c r="L474" s="182">
        <v>144.55000000000001</v>
      </c>
      <c r="M474" s="184">
        <f t="shared" si="2"/>
        <v>-2.9865771812080499E-2</v>
      </c>
    </row>
    <row r="475" spans="1:13" ht="15.75" thickBot="1" x14ac:dyDescent="0.3">
      <c r="A475" s="172">
        <v>44166</v>
      </c>
      <c r="B475" s="164">
        <v>80.95</v>
      </c>
      <c r="C475" s="164">
        <v>86.95</v>
      </c>
      <c r="F475" s="173">
        <v>44166</v>
      </c>
      <c r="G475" s="163">
        <v>147</v>
      </c>
      <c r="H475" s="163">
        <v>153</v>
      </c>
      <c r="K475" s="186">
        <v>44166</v>
      </c>
      <c r="L475" s="181">
        <v>144.69999999999999</v>
      </c>
      <c r="M475" s="184">
        <f t="shared" si="2"/>
        <v>-1.56462585034014E-2</v>
      </c>
    </row>
    <row r="476" spans="1:13" ht="15.75" thickBot="1" x14ac:dyDescent="0.3">
      <c r="A476" s="173">
        <v>44167</v>
      </c>
      <c r="B476" s="163">
        <v>81</v>
      </c>
      <c r="C476" s="163">
        <v>87</v>
      </c>
      <c r="F476" s="172">
        <v>44167</v>
      </c>
      <c r="G476" s="164">
        <v>147</v>
      </c>
      <c r="H476" s="164">
        <v>153</v>
      </c>
      <c r="K476" s="185">
        <v>44167</v>
      </c>
      <c r="L476" s="182">
        <v>144.36000000000001</v>
      </c>
      <c r="M476" s="184">
        <f t="shared" si="2"/>
        <v>-1.795918367346927E-2</v>
      </c>
    </row>
    <row r="477" spans="1:13" ht="15.75" thickBot="1" x14ac:dyDescent="0.3">
      <c r="A477" s="172">
        <v>44168</v>
      </c>
      <c r="B477" s="164">
        <v>81.14</v>
      </c>
      <c r="C477" s="164">
        <v>87.14</v>
      </c>
      <c r="F477" s="173">
        <v>44168</v>
      </c>
      <c r="G477" s="163">
        <v>145</v>
      </c>
      <c r="H477" s="163">
        <v>151</v>
      </c>
      <c r="K477" s="186">
        <v>44168</v>
      </c>
      <c r="L477" s="181">
        <v>139.74</v>
      </c>
      <c r="M477" s="184">
        <f t="shared" si="2"/>
        <v>-3.6275862068965492E-2</v>
      </c>
    </row>
    <row r="478" spans="1:13" ht="15.75" thickBot="1" x14ac:dyDescent="0.3">
      <c r="A478" s="173">
        <v>44169</v>
      </c>
      <c r="B478" s="163">
        <v>81.17</v>
      </c>
      <c r="C478" s="163">
        <v>87.17</v>
      </c>
      <c r="F478" s="172">
        <v>44169</v>
      </c>
      <c r="G478" s="164">
        <v>144</v>
      </c>
      <c r="H478" s="164">
        <v>150</v>
      </c>
      <c r="K478" s="185">
        <v>44169</v>
      </c>
      <c r="L478" s="182">
        <v>142.05000000000001</v>
      </c>
      <c r="M478" s="184">
        <f t="shared" si="2"/>
        <v>-1.3541666666666563E-2</v>
      </c>
    </row>
    <row r="479" spans="1:13" ht="15.75" thickBot="1" x14ac:dyDescent="0.3">
      <c r="A479" s="172">
        <v>44174</v>
      </c>
      <c r="B479" s="164">
        <v>81.38</v>
      </c>
      <c r="C479" s="164">
        <v>87.38</v>
      </c>
      <c r="F479" s="173">
        <v>44174</v>
      </c>
      <c r="G479" s="163">
        <v>143</v>
      </c>
      <c r="H479" s="163">
        <v>149</v>
      </c>
      <c r="K479" s="186">
        <v>44174</v>
      </c>
      <c r="L479" s="181">
        <v>139.49</v>
      </c>
      <c r="M479" s="184">
        <f t="shared" si="2"/>
        <v>-2.4545454545454537E-2</v>
      </c>
    </row>
    <row r="480" spans="1:13" ht="15.75" thickBot="1" x14ac:dyDescent="0.3">
      <c r="A480" s="173">
        <v>44175</v>
      </c>
      <c r="B480" s="163">
        <v>81.84</v>
      </c>
      <c r="C480" s="163">
        <v>87.84</v>
      </c>
      <c r="F480" s="172">
        <v>44175</v>
      </c>
      <c r="G480" s="164">
        <v>140</v>
      </c>
      <c r="H480" s="164">
        <v>146</v>
      </c>
      <c r="K480" s="185">
        <v>44175</v>
      </c>
      <c r="L480" s="182">
        <v>138.22</v>
      </c>
      <c r="M480" s="184">
        <f t="shared" si="2"/>
        <v>-1.2714285714285678E-2</v>
      </c>
    </row>
    <row r="481" spans="1:13" ht="15.75" thickBot="1" x14ac:dyDescent="0.3">
      <c r="A481" s="172">
        <v>44176</v>
      </c>
      <c r="B481" s="164">
        <v>81.849999999999994</v>
      </c>
      <c r="C481" s="164">
        <v>87.85</v>
      </c>
      <c r="F481" s="173">
        <v>44176</v>
      </c>
      <c r="G481" s="163">
        <v>142</v>
      </c>
      <c r="H481" s="163">
        <v>148</v>
      </c>
      <c r="K481" s="186">
        <v>44176</v>
      </c>
      <c r="L481" s="181">
        <v>138.22</v>
      </c>
      <c r="M481" s="184">
        <f t="shared" si="2"/>
        <v>-2.6619718309859208E-2</v>
      </c>
    </row>
    <row r="482" spans="1:13" ht="15.75" thickBot="1" x14ac:dyDescent="0.3">
      <c r="A482" s="173">
        <v>44179</v>
      </c>
      <c r="B482" s="163">
        <v>81.96</v>
      </c>
      <c r="C482" s="163">
        <v>87.96</v>
      </c>
      <c r="F482" s="172">
        <v>44179</v>
      </c>
      <c r="G482" s="164">
        <v>145</v>
      </c>
      <c r="H482" s="164">
        <v>151</v>
      </c>
      <c r="K482" s="185">
        <v>44179</v>
      </c>
      <c r="L482" s="182">
        <v>140.29</v>
      </c>
      <c r="M482" s="184">
        <f t="shared" si="2"/>
        <v>-3.2482758620689722E-2</v>
      </c>
    </row>
    <row r="483" spans="1:13" ht="15.75" thickBot="1" x14ac:dyDescent="0.3">
      <c r="A483" s="172">
        <v>44180</v>
      </c>
      <c r="B483" s="164">
        <v>82.12</v>
      </c>
      <c r="C483" s="164">
        <v>88.12</v>
      </c>
      <c r="F483" s="173">
        <v>44180</v>
      </c>
      <c r="G483" s="163">
        <v>145</v>
      </c>
      <c r="H483" s="163">
        <v>151</v>
      </c>
      <c r="K483" s="186">
        <v>44180</v>
      </c>
      <c r="L483" s="181">
        <v>141.82</v>
      </c>
      <c r="M483" s="184">
        <f t="shared" si="2"/>
        <v>-2.1931034482758682E-2</v>
      </c>
    </row>
    <row r="484" spans="1:13" ht="15.75" thickBot="1" x14ac:dyDescent="0.3">
      <c r="A484" s="173">
        <v>44181</v>
      </c>
      <c r="B484" s="163">
        <v>82.13</v>
      </c>
      <c r="C484" s="163">
        <v>88.13</v>
      </c>
      <c r="F484" s="172">
        <v>44181</v>
      </c>
      <c r="G484" s="164">
        <v>144</v>
      </c>
      <c r="H484" s="164">
        <v>150</v>
      </c>
      <c r="K484" s="185">
        <v>44181</v>
      </c>
      <c r="L484" s="182">
        <v>141.26</v>
      </c>
      <c r="M484" s="184">
        <f t="shared" si="2"/>
        <v>-1.9027777777777866E-2</v>
      </c>
    </row>
    <row r="485" spans="1:13" ht="15.75" thickBot="1" x14ac:dyDescent="0.3">
      <c r="A485" s="172">
        <v>44182</v>
      </c>
      <c r="B485" s="164">
        <v>82.18</v>
      </c>
      <c r="C485" s="164">
        <v>88.18</v>
      </c>
      <c r="F485" s="173">
        <v>44182</v>
      </c>
      <c r="G485" s="163">
        <v>143</v>
      </c>
      <c r="H485" s="163">
        <v>149</v>
      </c>
      <c r="K485" s="186">
        <v>44182</v>
      </c>
      <c r="L485" s="181">
        <v>140.79</v>
      </c>
      <c r="M485" s="184">
        <f t="shared" si="2"/>
        <v>-1.5454545454545499E-2</v>
      </c>
    </row>
    <row r="486" spans="1:13" ht="15.75" thickBot="1" x14ac:dyDescent="0.3">
      <c r="A486" s="173">
        <v>44183</v>
      </c>
      <c r="B486" s="163">
        <v>82.26</v>
      </c>
      <c r="C486" s="163">
        <v>88.26</v>
      </c>
      <c r="F486" s="172">
        <v>44183</v>
      </c>
      <c r="G486" s="164">
        <v>144</v>
      </c>
      <c r="H486" s="164">
        <v>150</v>
      </c>
      <c r="K486" s="185">
        <v>44183</v>
      </c>
      <c r="L486" s="182">
        <v>140.72999999999999</v>
      </c>
      <c r="M486" s="184">
        <f t="shared" si="2"/>
        <v>-2.2708333333333441E-2</v>
      </c>
    </row>
    <row r="487" spans="1:13" ht="15.75" thickBot="1" x14ac:dyDescent="0.3">
      <c r="A487" s="172">
        <v>44186</v>
      </c>
      <c r="B487" s="164">
        <v>82.76</v>
      </c>
      <c r="C487" s="164">
        <v>88.76</v>
      </c>
      <c r="F487" s="173">
        <v>44186</v>
      </c>
      <c r="G487" s="163">
        <v>144</v>
      </c>
      <c r="H487" s="163">
        <v>150</v>
      </c>
      <c r="K487" s="186">
        <v>44186</v>
      </c>
      <c r="L487" s="181">
        <v>138.81</v>
      </c>
      <c r="M487" s="184">
        <f t="shared" si="2"/>
        <v>-3.6041666666666639E-2</v>
      </c>
    </row>
    <row r="488" spans="1:13" ht="15.75" thickBot="1" x14ac:dyDescent="0.3">
      <c r="A488" s="173">
        <v>44187</v>
      </c>
      <c r="B488" s="163">
        <v>82.8</v>
      </c>
      <c r="C488" s="163">
        <v>88.8</v>
      </c>
      <c r="F488" s="173">
        <v>44187</v>
      </c>
      <c r="G488" s="163">
        <v>146</v>
      </c>
      <c r="H488" s="163">
        <v>152</v>
      </c>
      <c r="K488" s="186">
        <v>44187</v>
      </c>
      <c r="L488" s="181">
        <v>140.04</v>
      </c>
      <c r="M488" s="184">
        <f t="shared" si="2"/>
        <v>-4.0821917808219199E-2</v>
      </c>
    </row>
    <row r="489" spans="1:13" ht="15.75" thickBot="1" x14ac:dyDescent="0.3">
      <c r="A489" s="172">
        <v>44188</v>
      </c>
      <c r="B489" s="164">
        <v>82.92</v>
      </c>
      <c r="C489" s="164">
        <v>88.92</v>
      </c>
      <c r="F489" s="172">
        <v>44188</v>
      </c>
      <c r="G489" s="164">
        <v>153</v>
      </c>
      <c r="H489" s="164">
        <v>159</v>
      </c>
      <c r="K489" s="185">
        <v>44188</v>
      </c>
      <c r="L489" s="182">
        <v>140.35</v>
      </c>
      <c r="M489" s="184">
        <f t="shared" si="2"/>
        <v>-8.2679738562091543E-2</v>
      </c>
    </row>
    <row r="490" spans="1:13" ht="15.75" thickBot="1" x14ac:dyDescent="0.3">
      <c r="A490" s="173">
        <v>44193</v>
      </c>
      <c r="B490" s="163">
        <v>83.24</v>
      </c>
      <c r="C490" s="163">
        <v>89.24</v>
      </c>
      <c r="F490" s="173">
        <v>44193</v>
      </c>
      <c r="G490" s="163">
        <v>158</v>
      </c>
      <c r="H490" s="163">
        <v>164</v>
      </c>
      <c r="K490" s="186">
        <v>44193</v>
      </c>
      <c r="L490" s="181">
        <v>140</v>
      </c>
      <c r="M490" s="184">
        <f t="shared" si="2"/>
        <v>-0.11392405063291144</v>
      </c>
    </row>
    <row r="491" spans="1:13" ht="15.75" thickBot="1" x14ac:dyDescent="0.3">
      <c r="A491" s="172">
        <v>44194</v>
      </c>
      <c r="B491" s="164">
        <v>83.7</v>
      </c>
      <c r="C491" s="164">
        <v>89.7</v>
      </c>
      <c r="F491" s="172">
        <v>44194</v>
      </c>
      <c r="G491" s="164">
        <v>159</v>
      </c>
      <c r="H491" s="164">
        <v>165</v>
      </c>
      <c r="K491" s="185">
        <v>44194</v>
      </c>
      <c r="L491" s="182">
        <v>140.04</v>
      </c>
      <c r="M491" s="184">
        <f t="shared" si="2"/>
        <v>-0.11924528301886794</v>
      </c>
    </row>
    <row r="492" spans="1:13" ht="15.75" thickBot="1" x14ac:dyDescent="0.3">
      <c r="A492" s="173">
        <v>44195</v>
      </c>
      <c r="B492" s="163">
        <v>83.87</v>
      </c>
      <c r="C492" s="163">
        <v>89.87</v>
      </c>
      <c r="F492" s="173">
        <v>44195</v>
      </c>
      <c r="G492" s="163">
        <v>160</v>
      </c>
      <c r="H492" s="163">
        <v>166</v>
      </c>
      <c r="K492" s="186">
        <v>44195</v>
      </c>
      <c r="L492" s="181">
        <v>139.99</v>
      </c>
      <c r="M492" s="184">
        <f t="shared" si="2"/>
        <v>-0.12506249999999997</v>
      </c>
    </row>
    <row r="493" spans="1:13" ht="15.75" thickBot="1" x14ac:dyDescent="0.3">
      <c r="A493" s="172">
        <v>44200</v>
      </c>
      <c r="B493" s="164">
        <v>84.22</v>
      </c>
      <c r="C493" s="164">
        <v>90.22</v>
      </c>
      <c r="F493" s="172">
        <v>44200</v>
      </c>
      <c r="G493" s="164">
        <v>159</v>
      </c>
      <c r="H493" s="164">
        <v>165</v>
      </c>
      <c r="K493" s="185">
        <v>44200</v>
      </c>
      <c r="L493" s="182">
        <v>142.32</v>
      </c>
      <c r="M493" s="184">
        <f t="shared" si="2"/>
        <v>-0.10490566037735849</v>
      </c>
    </row>
    <row r="494" spans="1:13" ht="15.75" thickBot="1" x14ac:dyDescent="0.3">
      <c r="A494" s="173">
        <v>44201</v>
      </c>
      <c r="B494" s="163">
        <v>84.55</v>
      </c>
      <c r="C494" s="163">
        <v>90.55</v>
      </c>
      <c r="F494" s="173">
        <v>44201</v>
      </c>
      <c r="G494" s="163">
        <v>154</v>
      </c>
      <c r="H494" s="163">
        <v>160</v>
      </c>
      <c r="K494" s="186">
        <v>44201</v>
      </c>
      <c r="L494" s="181">
        <v>143.55000000000001</v>
      </c>
      <c r="M494" s="184">
        <f t="shared" si="2"/>
        <v>-6.7857142857142838E-2</v>
      </c>
    </row>
    <row r="495" spans="1:13" ht="15.75" thickBot="1" x14ac:dyDescent="0.3">
      <c r="A495" s="172">
        <v>44202</v>
      </c>
      <c r="B495" s="164">
        <v>84.55</v>
      </c>
      <c r="C495" s="164">
        <v>90.55</v>
      </c>
      <c r="F495" s="172">
        <v>44202</v>
      </c>
      <c r="G495" s="164">
        <v>154</v>
      </c>
      <c r="H495" s="164">
        <v>160</v>
      </c>
      <c r="K495" s="185">
        <v>44202</v>
      </c>
      <c r="L495" s="182">
        <v>144.38999999999999</v>
      </c>
      <c r="M495" s="184">
        <f t="shared" si="2"/>
        <v>-6.2402597402597459E-2</v>
      </c>
    </row>
    <row r="496" spans="1:13" ht="15.75" thickBot="1" x14ac:dyDescent="0.3">
      <c r="A496" s="173">
        <v>44203</v>
      </c>
      <c r="B496" s="163">
        <v>84.68</v>
      </c>
      <c r="C496" s="163">
        <v>90.68</v>
      </c>
      <c r="F496" s="173">
        <v>44203</v>
      </c>
      <c r="G496" s="163">
        <v>156</v>
      </c>
      <c r="H496" s="163">
        <v>162</v>
      </c>
      <c r="K496" s="186">
        <v>44203</v>
      </c>
      <c r="L496" s="181">
        <v>145.84</v>
      </c>
      <c r="M496" s="184">
        <f t="shared" si="2"/>
        <v>-6.5128205128205052E-2</v>
      </c>
    </row>
    <row r="497" spans="1:13" ht="15.75" thickBot="1" x14ac:dyDescent="0.3">
      <c r="A497" s="172">
        <v>44204</v>
      </c>
      <c r="B497" s="164">
        <v>84.79</v>
      </c>
      <c r="C497" s="164">
        <v>90.79</v>
      </c>
      <c r="F497" s="172">
        <v>44204</v>
      </c>
      <c r="G497" s="164">
        <v>155</v>
      </c>
      <c r="H497" s="164">
        <v>161</v>
      </c>
      <c r="K497" s="185">
        <v>44204</v>
      </c>
      <c r="L497" s="182">
        <v>145.06</v>
      </c>
      <c r="M497" s="184">
        <f t="shared" ref="M497:M560" si="3">+L497/G497-1</f>
        <v>-6.4129032258064544E-2</v>
      </c>
    </row>
    <row r="498" spans="1:13" ht="15.75" thickBot="1" x14ac:dyDescent="0.3">
      <c r="A498" s="173">
        <v>44207</v>
      </c>
      <c r="B498" s="163">
        <v>84.99</v>
      </c>
      <c r="C498" s="163">
        <v>90.99</v>
      </c>
      <c r="F498" s="173">
        <v>44207</v>
      </c>
      <c r="G498" s="163">
        <v>153</v>
      </c>
      <c r="H498" s="163">
        <v>159</v>
      </c>
      <c r="K498" s="186">
        <v>44207</v>
      </c>
      <c r="L498" s="181">
        <v>145.80000000000001</v>
      </c>
      <c r="M498" s="184">
        <f t="shared" si="3"/>
        <v>-4.7058823529411709E-2</v>
      </c>
    </row>
    <row r="499" spans="1:13" ht="15.75" thickBot="1" x14ac:dyDescent="0.3">
      <c r="A499" s="172">
        <v>44208</v>
      </c>
      <c r="B499" s="164">
        <v>85.07</v>
      </c>
      <c r="C499" s="164">
        <v>91.07</v>
      </c>
      <c r="F499" s="172">
        <v>44208</v>
      </c>
      <c r="G499" s="164">
        <v>153</v>
      </c>
      <c r="H499" s="164">
        <v>159</v>
      </c>
      <c r="K499" s="185">
        <v>44208</v>
      </c>
      <c r="L499" s="182">
        <v>144.97999999999999</v>
      </c>
      <c r="M499" s="184">
        <f t="shared" si="3"/>
        <v>-5.2418300653594874E-2</v>
      </c>
    </row>
    <row r="500" spans="1:13" ht="15.75" thickBot="1" x14ac:dyDescent="0.3">
      <c r="A500" s="173">
        <v>44209</v>
      </c>
      <c r="B500" s="163">
        <v>85.03</v>
      </c>
      <c r="C500" s="163">
        <v>91.03</v>
      </c>
      <c r="F500" s="173">
        <v>44209</v>
      </c>
      <c r="G500" s="163">
        <v>154</v>
      </c>
      <c r="H500" s="163">
        <v>160</v>
      </c>
      <c r="K500" s="186">
        <v>44209</v>
      </c>
      <c r="L500" s="181">
        <v>144.72</v>
      </c>
      <c r="M500" s="184">
        <f t="shared" si="3"/>
        <v>-6.0259740259740235E-2</v>
      </c>
    </row>
    <row r="501" spans="1:13" ht="15.75" thickBot="1" x14ac:dyDescent="0.3">
      <c r="A501" s="172">
        <v>44210</v>
      </c>
      <c r="B501" s="164">
        <v>85.19</v>
      </c>
      <c r="C501" s="164">
        <v>91.19</v>
      </c>
      <c r="F501" s="172">
        <v>44210</v>
      </c>
      <c r="G501" s="164">
        <v>153</v>
      </c>
      <c r="H501" s="164">
        <v>159</v>
      </c>
      <c r="K501" s="185">
        <v>44210</v>
      </c>
      <c r="L501" s="182">
        <v>145.41999999999999</v>
      </c>
      <c r="M501" s="184">
        <f t="shared" si="3"/>
        <v>-4.9542483660130809E-2</v>
      </c>
    </row>
    <row r="502" spans="1:13" ht="15.75" thickBot="1" x14ac:dyDescent="0.3">
      <c r="A502" s="173">
        <v>44211</v>
      </c>
      <c r="B502" s="163">
        <v>85.14</v>
      </c>
      <c r="C502" s="163">
        <v>91.14</v>
      </c>
      <c r="F502" s="173">
        <v>44211</v>
      </c>
      <c r="G502" s="163">
        <v>153</v>
      </c>
      <c r="H502" s="163">
        <v>159</v>
      </c>
      <c r="K502" s="186">
        <v>44211</v>
      </c>
      <c r="L502" s="181">
        <v>145.38999999999999</v>
      </c>
      <c r="M502" s="184">
        <f t="shared" si="3"/>
        <v>-4.9738562091503402E-2</v>
      </c>
    </row>
    <row r="503" spans="1:13" ht="15.75" thickBot="1" x14ac:dyDescent="0.3">
      <c r="A503" s="172">
        <v>44214</v>
      </c>
      <c r="B503" s="164">
        <v>85.31</v>
      </c>
      <c r="C503" s="164">
        <v>91.31</v>
      </c>
      <c r="F503" s="171">
        <v>44214</v>
      </c>
      <c r="G503" s="167">
        <f>+G502</f>
        <v>153</v>
      </c>
      <c r="H503" s="167">
        <f>+H502</f>
        <v>159</v>
      </c>
      <c r="K503" s="187">
        <v>44214</v>
      </c>
      <c r="L503" s="183">
        <v>145.36000000000001</v>
      </c>
      <c r="M503" s="184">
        <f t="shared" si="3"/>
        <v>-4.9934640522875773E-2</v>
      </c>
    </row>
    <row r="504" spans="1:13" ht="15.75" thickBot="1" x14ac:dyDescent="0.3">
      <c r="A504" s="173">
        <v>44215</v>
      </c>
      <c r="B504" s="163">
        <v>85.77</v>
      </c>
      <c r="C504" s="163">
        <v>91.77</v>
      </c>
      <c r="F504" s="172">
        <v>44215</v>
      </c>
      <c r="G504" s="164">
        <v>152</v>
      </c>
      <c r="H504" s="164">
        <v>157</v>
      </c>
      <c r="K504" s="185">
        <v>44215</v>
      </c>
      <c r="L504" s="182">
        <v>145.47999999999999</v>
      </c>
      <c r="M504" s="184">
        <f t="shared" si="3"/>
        <v>-4.2894736842105319E-2</v>
      </c>
    </row>
    <row r="505" spans="1:13" ht="15.75" thickBot="1" x14ac:dyDescent="0.3">
      <c r="A505" s="172">
        <v>44216</v>
      </c>
      <c r="B505" s="164">
        <v>85.76</v>
      </c>
      <c r="C505" s="164">
        <v>91.76</v>
      </c>
      <c r="F505" s="173">
        <v>44216</v>
      </c>
      <c r="G505" s="163">
        <v>151</v>
      </c>
      <c r="H505" s="163">
        <v>156</v>
      </c>
      <c r="K505" s="186">
        <v>44216</v>
      </c>
      <c r="L505" s="181">
        <v>145.72</v>
      </c>
      <c r="M505" s="184">
        <f t="shared" si="3"/>
        <v>-3.496688741721854E-2</v>
      </c>
    </row>
    <row r="506" spans="1:13" ht="15.75" thickBot="1" x14ac:dyDescent="0.3">
      <c r="A506" s="173">
        <v>44217</v>
      </c>
      <c r="B506" s="163">
        <v>85.91</v>
      </c>
      <c r="C506" s="163">
        <v>91.91</v>
      </c>
      <c r="F506" s="172">
        <v>44217</v>
      </c>
      <c r="G506" s="164">
        <v>151</v>
      </c>
      <c r="H506" s="164">
        <v>156</v>
      </c>
      <c r="K506" s="185">
        <v>44217</v>
      </c>
      <c r="L506" s="182">
        <v>145.96</v>
      </c>
      <c r="M506" s="184">
        <f t="shared" si="3"/>
        <v>-3.3377483443708611E-2</v>
      </c>
    </row>
    <row r="507" spans="1:13" ht="15.75" thickBot="1" x14ac:dyDescent="0.3">
      <c r="A507" s="172">
        <v>44218</v>
      </c>
      <c r="B507" s="164">
        <v>86</v>
      </c>
      <c r="C507" s="164">
        <v>92</v>
      </c>
      <c r="F507" s="172">
        <v>44218</v>
      </c>
      <c r="G507" s="164">
        <v>151</v>
      </c>
      <c r="H507" s="164">
        <v>156</v>
      </c>
      <c r="K507" s="185">
        <v>44218</v>
      </c>
      <c r="L507" s="182">
        <v>145.88</v>
      </c>
      <c r="M507" s="184">
        <f t="shared" si="3"/>
        <v>-3.3907284768211921E-2</v>
      </c>
    </row>
    <row r="508" spans="1:13" ht="15.75" thickBot="1" x14ac:dyDescent="0.3">
      <c r="A508" s="173">
        <v>44221</v>
      </c>
      <c r="B508" s="163">
        <v>86.35</v>
      </c>
      <c r="C508" s="163">
        <v>92.35</v>
      </c>
      <c r="F508" s="173">
        <v>44221</v>
      </c>
      <c r="G508" s="163">
        <v>151</v>
      </c>
      <c r="H508" s="163">
        <v>156</v>
      </c>
      <c r="K508" s="186">
        <v>44221</v>
      </c>
      <c r="L508" s="181">
        <v>146.38</v>
      </c>
      <c r="M508" s="184">
        <f t="shared" si="3"/>
        <v>-3.0596026490066208E-2</v>
      </c>
    </row>
    <row r="509" spans="1:13" ht="15.75" thickBot="1" x14ac:dyDescent="0.3">
      <c r="A509" s="172">
        <v>44222</v>
      </c>
      <c r="B509" s="164">
        <v>86.4</v>
      </c>
      <c r="C509" s="164">
        <v>92.4</v>
      </c>
      <c r="F509" s="172">
        <v>44222</v>
      </c>
      <c r="G509" s="164">
        <v>151</v>
      </c>
      <c r="H509" s="164">
        <v>156</v>
      </c>
      <c r="K509" s="185">
        <v>44222</v>
      </c>
      <c r="L509" s="182">
        <v>146.88999999999999</v>
      </c>
      <c r="M509" s="184">
        <f t="shared" si="3"/>
        <v>-2.7218543046357735E-2</v>
      </c>
    </row>
    <row r="510" spans="1:13" ht="15.75" thickBot="1" x14ac:dyDescent="0.3">
      <c r="A510" s="173">
        <v>44223</v>
      </c>
      <c r="B510" s="163">
        <v>86.44</v>
      </c>
      <c r="C510" s="163">
        <v>92.44</v>
      </c>
      <c r="F510" s="173">
        <v>44223</v>
      </c>
      <c r="G510" s="163">
        <v>149</v>
      </c>
      <c r="H510" s="163">
        <v>154</v>
      </c>
      <c r="K510" s="186">
        <v>44223</v>
      </c>
      <c r="L510" s="181">
        <v>147.38</v>
      </c>
      <c r="M510" s="184">
        <f t="shared" si="3"/>
        <v>-1.0872483221476492E-2</v>
      </c>
    </row>
    <row r="511" spans="1:13" ht="15.75" thickBot="1" x14ac:dyDescent="0.3">
      <c r="A511" s="172">
        <v>44224</v>
      </c>
      <c r="B511" s="164">
        <v>86.58</v>
      </c>
      <c r="C511" s="164">
        <v>92.58</v>
      </c>
      <c r="F511" s="172">
        <v>44224</v>
      </c>
      <c r="G511" s="164">
        <v>149</v>
      </c>
      <c r="H511" s="164">
        <v>154</v>
      </c>
      <c r="K511" s="185">
        <v>44224</v>
      </c>
      <c r="L511" s="182">
        <v>147.9</v>
      </c>
      <c r="M511" s="184">
        <f t="shared" si="3"/>
        <v>-7.382550335570448E-3</v>
      </c>
    </row>
    <row r="512" spans="1:13" ht="15.75" thickBot="1" x14ac:dyDescent="0.3">
      <c r="A512" s="173">
        <v>44225</v>
      </c>
      <c r="B512" s="163">
        <v>86.7</v>
      </c>
      <c r="C512" s="163">
        <v>92.7</v>
      </c>
      <c r="F512" s="173">
        <v>44225</v>
      </c>
      <c r="G512" s="163">
        <v>148</v>
      </c>
      <c r="H512" s="163">
        <v>153</v>
      </c>
      <c r="K512" s="186">
        <v>44225</v>
      </c>
      <c r="L512" s="181">
        <v>147.88</v>
      </c>
      <c r="M512" s="184">
        <f t="shared" si="3"/>
        <v>-8.1081081081080253E-4</v>
      </c>
    </row>
    <row r="513" spans="1:13" ht="15.75" thickBot="1" x14ac:dyDescent="0.3">
      <c r="A513" s="172">
        <v>44228</v>
      </c>
      <c r="B513" s="164">
        <v>86.99</v>
      </c>
      <c r="C513" s="164">
        <v>92.99</v>
      </c>
      <c r="F513" s="172">
        <v>44228</v>
      </c>
      <c r="G513" s="164">
        <v>148</v>
      </c>
      <c r="H513" s="164">
        <v>153</v>
      </c>
      <c r="K513" s="185">
        <v>44228</v>
      </c>
      <c r="L513" s="182">
        <v>148.33000000000001</v>
      </c>
      <c r="M513" s="184">
        <f t="shared" si="3"/>
        <v>2.2297297297297902E-3</v>
      </c>
    </row>
    <row r="514" spans="1:13" ht="15.75" thickBot="1" x14ac:dyDescent="0.3">
      <c r="A514" s="173">
        <v>44229</v>
      </c>
      <c r="B514" s="163">
        <v>87.06</v>
      </c>
      <c r="C514" s="163">
        <v>93.06</v>
      </c>
      <c r="F514" s="173">
        <v>44229</v>
      </c>
      <c r="G514" s="163">
        <v>148</v>
      </c>
      <c r="H514" s="163">
        <v>153</v>
      </c>
      <c r="K514" s="186">
        <v>44229</v>
      </c>
      <c r="L514" s="181">
        <v>148.83000000000001</v>
      </c>
      <c r="M514" s="184">
        <f t="shared" si="3"/>
        <v>5.6081081081083006E-3</v>
      </c>
    </row>
    <row r="515" spans="1:13" ht="15.75" thickBot="1" x14ac:dyDescent="0.3">
      <c r="A515" s="172">
        <v>44230</v>
      </c>
      <c r="B515" s="164">
        <v>86.96</v>
      </c>
      <c r="C515" s="164">
        <v>92.96</v>
      </c>
      <c r="F515" s="172">
        <v>44230</v>
      </c>
      <c r="G515" s="164">
        <v>148</v>
      </c>
      <c r="H515" s="164">
        <v>153</v>
      </c>
      <c r="K515" s="185">
        <v>44230</v>
      </c>
      <c r="L515" s="182">
        <v>149.34</v>
      </c>
      <c r="M515" s="184">
        <f t="shared" si="3"/>
        <v>9.0540540540540171E-3</v>
      </c>
    </row>
    <row r="516" spans="1:13" ht="15.75" thickBot="1" x14ac:dyDescent="0.3">
      <c r="A516" s="173">
        <v>44231</v>
      </c>
      <c r="B516" s="163">
        <v>87.19</v>
      </c>
      <c r="C516" s="163">
        <v>93.19</v>
      </c>
      <c r="F516" s="173">
        <v>44231</v>
      </c>
      <c r="G516" s="163">
        <v>145</v>
      </c>
      <c r="H516" s="163">
        <v>150</v>
      </c>
      <c r="K516" s="186">
        <v>44231</v>
      </c>
      <c r="L516" s="181">
        <v>149.84</v>
      </c>
      <c r="M516" s="184">
        <f t="shared" si="3"/>
        <v>3.3379310344827662E-2</v>
      </c>
    </row>
    <row r="517" spans="1:13" ht="15.75" thickBot="1" x14ac:dyDescent="0.3">
      <c r="A517" s="172">
        <v>44232</v>
      </c>
      <c r="B517" s="164">
        <v>87.32</v>
      </c>
      <c r="C517" s="164">
        <v>93.32</v>
      </c>
      <c r="F517" s="172">
        <v>44232</v>
      </c>
      <c r="G517" s="164">
        <v>146</v>
      </c>
      <c r="H517" s="164">
        <v>151</v>
      </c>
      <c r="K517" s="185">
        <v>44232</v>
      </c>
      <c r="L517" s="182">
        <v>149.6</v>
      </c>
      <c r="M517" s="184">
        <f t="shared" si="3"/>
        <v>2.4657534246575352E-2</v>
      </c>
    </row>
    <row r="518" spans="1:13" ht="15.75" thickBot="1" x14ac:dyDescent="0.3">
      <c r="A518" s="173">
        <v>44235</v>
      </c>
      <c r="B518" s="163">
        <v>87.57</v>
      </c>
      <c r="C518" s="163">
        <v>93.57</v>
      </c>
      <c r="F518" s="172">
        <v>44235</v>
      </c>
      <c r="G518" s="164">
        <v>146</v>
      </c>
      <c r="H518" s="164">
        <v>151</v>
      </c>
      <c r="K518" s="185">
        <v>44235</v>
      </c>
      <c r="L518" s="182">
        <v>149.6</v>
      </c>
      <c r="M518" s="184">
        <f t="shared" si="3"/>
        <v>2.4657534246575352E-2</v>
      </c>
    </row>
    <row r="519" spans="1:13" ht="15.75" thickBot="1" x14ac:dyDescent="0.3">
      <c r="A519" s="172">
        <v>44236</v>
      </c>
      <c r="B519" s="164">
        <v>87.58</v>
      </c>
      <c r="C519" s="164">
        <v>93.58</v>
      </c>
      <c r="F519" s="173">
        <v>44236</v>
      </c>
      <c r="G519" s="163">
        <v>147</v>
      </c>
      <c r="H519" s="163">
        <v>152</v>
      </c>
      <c r="K519" s="186">
        <v>44236</v>
      </c>
      <c r="L519" s="181">
        <v>150</v>
      </c>
      <c r="M519" s="184">
        <f t="shared" si="3"/>
        <v>2.0408163265306145E-2</v>
      </c>
    </row>
    <row r="520" spans="1:13" ht="15.75" thickBot="1" x14ac:dyDescent="0.3">
      <c r="A520" s="173">
        <v>44237</v>
      </c>
      <c r="B520" s="163">
        <v>87.73</v>
      </c>
      <c r="C520" s="163">
        <v>93.73</v>
      </c>
      <c r="F520" s="172">
        <v>44237</v>
      </c>
      <c r="G520" s="164">
        <v>146</v>
      </c>
      <c r="H520" s="164">
        <v>151</v>
      </c>
      <c r="K520" s="185">
        <v>44237</v>
      </c>
      <c r="L520" s="182">
        <v>149.75</v>
      </c>
      <c r="M520" s="184">
        <f t="shared" si="3"/>
        <v>2.5684931506849251E-2</v>
      </c>
    </row>
    <row r="521" spans="1:13" ht="15.75" thickBot="1" x14ac:dyDescent="0.3">
      <c r="A521" s="172">
        <v>44238</v>
      </c>
      <c r="B521" s="164">
        <v>87.87</v>
      </c>
      <c r="C521" s="164">
        <v>93.87</v>
      </c>
      <c r="F521" s="173">
        <v>44238</v>
      </c>
      <c r="G521" s="163">
        <v>144</v>
      </c>
      <c r="H521" s="163">
        <v>149</v>
      </c>
      <c r="K521" s="186">
        <v>44238</v>
      </c>
      <c r="L521" s="181">
        <v>148.34</v>
      </c>
      <c r="M521" s="184">
        <f t="shared" si="3"/>
        <v>3.0138888888888937E-2</v>
      </c>
    </row>
    <row r="522" spans="1:13" ht="15.75" thickBot="1" x14ac:dyDescent="0.3">
      <c r="A522" s="173">
        <v>44239</v>
      </c>
      <c r="B522" s="163">
        <v>87.95</v>
      </c>
      <c r="C522" s="163">
        <v>93.95</v>
      </c>
      <c r="F522" s="172">
        <v>44239</v>
      </c>
      <c r="G522" s="164">
        <v>145</v>
      </c>
      <c r="H522" s="164">
        <v>150</v>
      </c>
      <c r="K522" s="185">
        <v>44239</v>
      </c>
      <c r="L522" s="182">
        <v>147.65</v>
      </c>
      <c r="M522" s="184">
        <f t="shared" si="3"/>
        <v>1.8275862068965587E-2</v>
      </c>
    </row>
    <row r="523" spans="1:13" ht="15.75" thickBot="1" x14ac:dyDescent="0.3">
      <c r="A523" s="172">
        <v>44244</v>
      </c>
      <c r="B523" s="164">
        <v>88.23</v>
      </c>
      <c r="C523" s="164">
        <v>94.23</v>
      </c>
      <c r="F523" s="173">
        <v>44244</v>
      </c>
      <c r="G523" s="163">
        <v>144</v>
      </c>
      <c r="H523" s="163">
        <v>149</v>
      </c>
      <c r="K523" s="186">
        <v>44244</v>
      </c>
      <c r="L523" s="181">
        <v>143.47</v>
      </c>
      <c r="M523" s="184">
        <f t="shared" si="3"/>
        <v>-3.6805555555555758E-3</v>
      </c>
    </row>
    <row r="524" spans="1:13" ht="15.75" thickBot="1" x14ac:dyDescent="0.3">
      <c r="A524" s="173">
        <v>44245</v>
      </c>
      <c r="B524" s="163">
        <v>88.29</v>
      </c>
      <c r="C524" s="163">
        <v>94.29</v>
      </c>
      <c r="F524" s="172">
        <v>44245</v>
      </c>
      <c r="G524" s="164">
        <v>148</v>
      </c>
      <c r="H524" s="164">
        <v>148</v>
      </c>
      <c r="K524" s="185">
        <v>44245</v>
      </c>
      <c r="L524" s="182">
        <v>141.77000000000001</v>
      </c>
      <c r="M524" s="184">
        <f t="shared" si="3"/>
        <v>-4.2094594594594525E-2</v>
      </c>
    </row>
    <row r="525" spans="1:13" ht="15.75" thickBot="1" x14ac:dyDescent="0.3">
      <c r="A525" s="172">
        <v>44246</v>
      </c>
      <c r="B525" s="164">
        <v>88.4</v>
      </c>
      <c r="C525" s="164">
        <v>94.4</v>
      </c>
      <c r="F525" s="173">
        <v>44246</v>
      </c>
      <c r="G525" s="163">
        <v>142</v>
      </c>
      <c r="H525" s="163">
        <v>147</v>
      </c>
      <c r="K525" s="186">
        <v>44246</v>
      </c>
      <c r="L525" s="181">
        <v>140.65</v>
      </c>
      <c r="M525" s="184">
        <f t="shared" si="3"/>
        <v>-9.5070422535210586E-3</v>
      </c>
    </row>
    <row r="526" spans="1:13" ht="15.75" thickBot="1" x14ac:dyDescent="0.3">
      <c r="A526" s="173">
        <v>44249</v>
      </c>
      <c r="B526" s="163">
        <v>88.77</v>
      </c>
      <c r="C526" s="163">
        <v>94.77</v>
      </c>
      <c r="F526" s="172">
        <v>44249</v>
      </c>
      <c r="G526" s="164">
        <v>142</v>
      </c>
      <c r="H526" s="164">
        <v>147</v>
      </c>
      <c r="K526" s="185">
        <v>44249</v>
      </c>
      <c r="L526" s="182">
        <v>138.79</v>
      </c>
      <c r="M526" s="184">
        <f t="shared" si="3"/>
        <v>-2.2605633802816993E-2</v>
      </c>
    </row>
    <row r="527" spans="1:13" ht="15.75" thickBot="1" x14ac:dyDescent="0.3">
      <c r="A527" s="172">
        <v>44250</v>
      </c>
      <c r="B527" s="164">
        <v>88.83</v>
      </c>
      <c r="C527" s="164">
        <v>94.83</v>
      </c>
      <c r="F527" s="173">
        <v>44250</v>
      </c>
      <c r="G527" s="163">
        <v>141</v>
      </c>
      <c r="H527" s="163">
        <v>146</v>
      </c>
      <c r="K527" s="186">
        <v>44250</v>
      </c>
      <c r="L527" s="181">
        <v>139.86000000000001</v>
      </c>
      <c r="M527" s="184">
        <f t="shared" si="3"/>
        <v>-8.0851063829786574E-3</v>
      </c>
    </row>
    <row r="528" spans="1:13" ht="15.75" thickBot="1" x14ac:dyDescent="0.3">
      <c r="A528" s="173">
        <v>44251</v>
      </c>
      <c r="B528" s="163">
        <v>89.02</v>
      </c>
      <c r="C528" s="163">
        <v>95.02</v>
      </c>
      <c r="F528" s="172">
        <v>44251</v>
      </c>
      <c r="G528" s="164">
        <v>140</v>
      </c>
      <c r="H528" s="164">
        <v>145</v>
      </c>
      <c r="K528" s="185">
        <v>44251</v>
      </c>
      <c r="L528" s="182">
        <v>140.94</v>
      </c>
      <c r="M528" s="184">
        <f t="shared" si="3"/>
        <v>6.7142857142856727E-3</v>
      </c>
    </row>
    <row r="529" spans="1:13" ht="15.75" thickBot="1" x14ac:dyDescent="0.3">
      <c r="A529" s="172">
        <v>44252</v>
      </c>
      <c r="B529" s="164">
        <v>89.08</v>
      </c>
      <c r="C529" s="164">
        <v>95.08</v>
      </c>
      <c r="F529" s="173">
        <v>44252</v>
      </c>
      <c r="G529" s="163">
        <v>138</v>
      </c>
      <c r="H529" s="163">
        <v>143</v>
      </c>
      <c r="K529" s="186">
        <v>44252</v>
      </c>
      <c r="L529" s="181">
        <v>141.91999999999999</v>
      </c>
      <c r="M529" s="184">
        <f t="shared" si="3"/>
        <v>2.8405797101449082E-2</v>
      </c>
    </row>
    <row r="530" spans="1:13" ht="15.75" thickBot="1" x14ac:dyDescent="0.3">
      <c r="A530" s="173">
        <v>44253</v>
      </c>
      <c r="B530" s="163">
        <v>89.12</v>
      </c>
      <c r="C530" s="163">
        <v>95.12</v>
      </c>
      <c r="F530" s="172">
        <v>44253</v>
      </c>
      <c r="G530" s="164">
        <v>141</v>
      </c>
      <c r="H530" s="164">
        <v>146</v>
      </c>
      <c r="K530" s="185">
        <v>44253</v>
      </c>
      <c r="L530" s="182">
        <v>141.91999999999999</v>
      </c>
      <c r="M530" s="184">
        <f t="shared" si="3"/>
        <v>6.5248226950354038E-3</v>
      </c>
    </row>
    <row r="531" spans="1:13" ht="15.75" thickBot="1" x14ac:dyDescent="0.3">
      <c r="A531" s="173">
        <v>44256</v>
      </c>
      <c r="B531" s="163">
        <v>89.49</v>
      </c>
      <c r="C531" s="163">
        <v>95.49</v>
      </c>
      <c r="F531" s="173">
        <v>44256</v>
      </c>
      <c r="G531" s="163">
        <v>142</v>
      </c>
      <c r="H531" s="163">
        <v>147</v>
      </c>
      <c r="K531" s="186">
        <v>44256</v>
      </c>
      <c r="L531" s="181">
        <v>143.80000000000001</v>
      </c>
      <c r="M531" s="184">
        <f t="shared" si="3"/>
        <v>1.2676056338028152E-2</v>
      </c>
    </row>
    <row r="532" spans="1:13" ht="15.75" thickBot="1" x14ac:dyDescent="0.3">
      <c r="A532" s="172">
        <v>44257</v>
      </c>
      <c r="B532" s="164">
        <v>89.67</v>
      </c>
      <c r="C532" s="164">
        <v>95.67</v>
      </c>
      <c r="F532" s="172">
        <v>44257</v>
      </c>
      <c r="G532" s="164">
        <v>140</v>
      </c>
      <c r="H532" s="164">
        <v>145</v>
      </c>
      <c r="K532" s="185">
        <v>44257</v>
      </c>
      <c r="L532" s="182">
        <v>146.13</v>
      </c>
      <c r="M532" s="184">
        <f t="shared" si="3"/>
        <v>4.3785714285714317E-2</v>
      </c>
    </row>
    <row r="533" spans="1:13" ht="15.75" thickBot="1" x14ac:dyDescent="0.3">
      <c r="A533" s="172">
        <v>44258</v>
      </c>
      <c r="B533" s="164">
        <v>89.73</v>
      </c>
      <c r="C533" s="164">
        <v>95.73</v>
      </c>
      <c r="F533" s="173">
        <v>44258</v>
      </c>
      <c r="G533" s="163">
        <v>140</v>
      </c>
      <c r="H533" s="163">
        <v>145</v>
      </c>
      <c r="K533" s="186">
        <v>44258</v>
      </c>
      <c r="L533" s="181">
        <v>146.11000000000001</v>
      </c>
      <c r="M533" s="184">
        <f t="shared" si="3"/>
        <v>4.3642857142857316E-2</v>
      </c>
    </row>
    <row r="534" spans="1:13" ht="15.75" thickBot="1" x14ac:dyDescent="0.3">
      <c r="A534" s="173">
        <v>44259</v>
      </c>
      <c r="B534" s="163">
        <v>89.75</v>
      </c>
      <c r="C534" s="163">
        <v>95.75</v>
      </c>
      <c r="F534" s="172">
        <v>44259</v>
      </c>
      <c r="G534" s="164">
        <v>139</v>
      </c>
      <c r="H534" s="164">
        <v>144</v>
      </c>
      <c r="K534" s="185">
        <v>44259</v>
      </c>
      <c r="L534" s="182">
        <v>145.11000000000001</v>
      </c>
      <c r="M534" s="184">
        <f t="shared" si="3"/>
        <v>4.39568345323742E-2</v>
      </c>
    </row>
    <row r="535" spans="1:13" ht="15.75" thickBot="1" x14ac:dyDescent="0.3">
      <c r="A535" s="172">
        <v>44260</v>
      </c>
      <c r="B535" s="164">
        <v>89.69</v>
      </c>
      <c r="C535" s="164">
        <v>95.69</v>
      </c>
      <c r="F535" s="173">
        <v>44260</v>
      </c>
      <c r="G535" s="163">
        <v>139</v>
      </c>
      <c r="H535" s="163">
        <v>144</v>
      </c>
      <c r="K535" s="186">
        <v>44260</v>
      </c>
      <c r="L535" s="181">
        <v>145.87</v>
      </c>
      <c r="M535" s="184">
        <f t="shared" si="3"/>
        <v>4.9424460431654715E-2</v>
      </c>
    </row>
    <row r="536" spans="1:13" ht="15.75" thickBot="1" x14ac:dyDescent="0.3">
      <c r="A536" s="173">
        <v>44263</v>
      </c>
      <c r="B536" s="163">
        <v>90</v>
      </c>
      <c r="C536" s="163">
        <v>96</v>
      </c>
      <c r="F536" s="172">
        <v>44263</v>
      </c>
      <c r="G536" s="164">
        <v>139</v>
      </c>
      <c r="H536" s="164">
        <v>144</v>
      </c>
      <c r="K536" s="185">
        <v>44263</v>
      </c>
      <c r="L536" s="182">
        <v>145.87</v>
      </c>
      <c r="M536" s="184">
        <f t="shared" si="3"/>
        <v>4.9424460431654715E-2</v>
      </c>
    </row>
    <row r="537" spans="1:13" ht="15.75" thickBot="1" x14ac:dyDescent="0.3">
      <c r="A537" s="172">
        <v>44264</v>
      </c>
      <c r="B537" s="164">
        <v>90.07</v>
      </c>
      <c r="C537" s="164">
        <v>96.07</v>
      </c>
      <c r="F537" s="173">
        <v>44264</v>
      </c>
      <c r="G537" s="163">
        <v>139</v>
      </c>
      <c r="H537" s="163">
        <v>144</v>
      </c>
      <c r="K537" s="186">
        <v>44264</v>
      </c>
      <c r="L537" s="181">
        <v>145.38999999999999</v>
      </c>
      <c r="M537" s="184">
        <f t="shared" si="3"/>
        <v>4.5971223021582741E-2</v>
      </c>
    </row>
    <row r="538" spans="1:13" ht="15.75" thickBot="1" x14ac:dyDescent="0.3">
      <c r="A538" s="173">
        <v>44265</v>
      </c>
      <c r="B538" s="163">
        <v>90.31</v>
      </c>
      <c r="C538" s="163">
        <v>96.31</v>
      </c>
      <c r="F538" s="172">
        <v>44265</v>
      </c>
      <c r="G538" s="164">
        <v>138</v>
      </c>
      <c r="H538" s="164">
        <v>143</v>
      </c>
      <c r="K538" s="185">
        <v>44265</v>
      </c>
      <c r="L538" s="182">
        <v>144.43</v>
      </c>
      <c r="M538" s="184">
        <f t="shared" si="3"/>
        <v>4.6594202898550874E-2</v>
      </c>
    </row>
    <row r="539" spans="1:13" ht="15.75" thickBot="1" x14ac:dyDescent="0.3">
      <c r="A539" s="172">
        <v>44266</v>
      </c>
      <c r="B539" s="164">
        <v>90.45</v>
      </c>
      <c r="C539" s="164">
        <v>96.45</v>
      </c>
      <c r="F539" s="173">
        <v>44266</v>
      </c>
      <c r="G539" s="163">
        <v>135</v>
      </c>
      <c r="H539" s="163">
        <v>140</v>
      </c>
      <c r="K539" s="186">
        <v>44266</v>
      </c>
      <c r="L539" s="181">
        <v>144.30000000000001</v>
      </c>
      <c r="M539" s="184">
        <f t="shared" si="3"/>
        <v>6.8888888888888999E-2</v>
      </c>
    </row>
    <row r="540" spans="1:13" ht="15.75" thickBot="1" x14ac:dyDescent="0.3">
      <c r="A540" s="173">
        <v>44267</v>
      </c>
      <c r="B540" s="163">
        <v>90.49</v>
      </c>
      <c r="C540" s="163">
        <v>96.49</v>
      </c>
      <c r="F540" s="172">
        <v>44267</v>
      </c>
      <c r="G540" s="164">
        <v>137</v>
      </c>
      <c r="H540" s="164">
        <v>142</v>
      </c>
      <c r="K540" s="185">
        <v>44267</v>
      </c>
      <c r="L540" s="182">
        <v>144.84</v>
      </c>
      <c r="M540" s="184">
        <f t="shared" si="3"/>
        <v>5.7226277372262713E-2</v>
      </c>
    </row>
    <row r="541" spans="1:13" ht="15.75" thickBot="1" x14ac:dyDescent="0.3">
      <c r="A541" s="172">
        <v>44270</v>
      </c>
      <c r="B541" s="164">
        <v>90.69</v>
      </c>
      <c r="C541" s="164">
        <v>96.69</v>
      </c>
      <c r="F541" s="173">
        <v>44270</v>
      </c>
      <c r="G541" s="163">
        <v>141</v>
      </c>
      <c r="H541" s="163">
        <v>146</v>
      </c>
      <c r="K541" s="186">
        <v>44270</v>
      </c>
      <c r="L541" s="181">
        <v>144.59</v>
      </c>
      <c r="M541" s="184">
        <f t="shared" si="3"/>
        <v>2.546099290780135E-2</v>
      </c>
    </row>
    <row r="542" spans="1:13" ht="15.75" thickBot="1" x14ac:dyDescent="0.3">
      <c r="A542" s="172">
        <v>44271</v>
      </c>
      <c r="B542" s="164">
        <v>90.69</v>
      </c>
      <c r="C542" s="164">
        <v>96.69</v>
      </c>
      <c r="F542" s="172">
        <v>44271</v>
      </c>
      <c r="G542" s="164">
        <v>139</v>
      </c>
      <c r="H542" s="164">
        <v>144</v>
      </c>
      <c r="K542" s="185">
        <v>44271</v>
      </c>
      <c r="L542" s="182">
        <v>144.6</v>
      </c>
      <c r="M542" s="184">
        <f t="shared" si="3"/>
        <v>4.0287769784172589E-2</v>
      </c>
    </row>
    <row r="543" spans="1:13" ht="15.75" thickBot="1" x14ac:dyDescent="0.3">
      <c r="A543" s="172">
        <v>44272</v>
      </c>
      <c r="B543" s="164">
        <v>90.76</v>
      </c>
      <c r="C543" s="164">
        <v>96.76</v>
      </c>
      <c r="F543" s="173">
        <v>44272</v>
      </c>
      <c r="G543" s="163">
        <v>139</v>
      </c>
      <c r="H543" s="163">
        <v>144</v>
      </c>
      <c r="K543" s="186">
        <v>44272</v>
      </c>
      <c r="L543" s="181">
        <v>145.28</v>
      </c>
      <c r="M543" s="184">
        <f t="shared" si="3"/>
        <v>4.5179856115107997E-2</v>
      </c>
    </row>
    <row r="544" spans="1:13" ht="15.75" thickBot="1" x14ac:dyDescent="0.3">
      <c r="A544" s="172">
        <v>44273</v>
      </c>
      <c r="B544" s="164">
        <v>90.83</v>
      </c>
      <c r="C544" s="164">
        <v>96.83</v>
      </c>
      <c r="F544" s="172">
        <v>44273</v>
      </c>
      <c r="G544" s="164">
        <v>139</v>
      </c>
      <c r="H544" s="164">
        <v>144</v>
      </c>
      <c r="K544" s="185">
        <v>44273</v>
      </c>
      <c r="L544" s="182">
        <v>144.71</v>
      </c>
      <c r="M544" s="184">
        <f t="shared" si="3"/>
        <v>4.1079136690647555E-2</v>
      </c>
    </row>
    <row r="545" spans="1:13" ht="15.75" thickBot="1" x14ac:dyDescent="0.3">
      <c r="A545" s="173">
        <v>44274</v>
      </c>
      <c r="B545" s="163">
        <v>90.98</v>
      </c>
      <c r="C545" s="163">
        <v>96.98</v>
      </c>
      <c r="F545" s="173">
        <v>44274</v>
      </c>
      <c r="G545" s="163">
        <v>139</v>
      </c>
      <c r="H545" s="163">
        <v>144</v>
      </c>
      <c r="K545" s="186">
        <v>44274</v>
      </c>
      <c r="L545" s="181">
        <v>144</v>
      </c>
      <c r="M545" s="184">
        <f t="shared" si="3"/>
        <v>3.5971223021582732E-2</v>
      </c>
    </row>
    <row r="546" spans="1:13" ht="15.75" thickBot="1" x14ac:dyDescent="0.3">
      <c r="A546" s="173">
        <v>44277</v>
      </c>
      <c r="B546" s="163">
        <v>91.1</v>
      </c>
      <c r="C546" s="163">
        <v>97.1</v>
      </c>
      <c r="F546" s="172">
        <v>44277</v>
      </c>
      <c r="G546" s="164">
        <v>138</v>
      </c>
      <c r="H546" s="164">
        <v>143</v>
      </c>
      <c r="K546" s="185">
        <v>44277</v>
      </c>
      <c r="L546" s="182">
        <v>143.15</v>
      </c>
      <c r="M546" s="184">
        <f t="shared" si="3"/>
        <v>3.7318840579710244E-2</v>
      </c>
    </row>
    <row r="547" spans="1:13" ht="15.75" thickBot="1" x14ac:dyDescent="0.3">
      <c r="A547" s="172">
        <v>44278</v>
      </c>
      <c r="B547" s="164">
        <v>91.33</v>
      </c>
      <c r="C547" s="164">
        <v>97.33</v>
      </c>
      <c r="F547" s="173">
        <v>44278</v>
      </c>
      <c r="G547" s="163">
        <v>138</v>
      </c>
      <c r="H547" s="163">
        <v>143</v>
      </c>
      <c r="K547" s="186">
        <v>44278</v>
      </c>
      <c r="L547" s="181">
        <v>142.78</v>
      </c>
      <c r="M547" s="184">
        <f t="shared" si="3"/>
        <v>3.4637681159420231E-2</v>
      </c>
    </row>
    <row r="548" spans="1:13" ht="15.75" thickBot="1" x14ac:dyDescent="0.3">
      <c r="A548" s="173">
        <v>44280</v>
      </c>
      <c r="B548" s="163">
        <v>91.45</v>
      </c>
      <c r="C548" s="163">
        <v>97.45</v>
      </c>
      <c r="F548" s="172">
        <v>44280</v>
      </c>
      <c r="G548" s="164">
        <v>138</v>
      </c>
      <c r="H548" s="164">
        <v>143</v>
      </c>
      <c r="K548" s="185">
        <v>44280</v>
      </c>
      <c r="L548" s="182">
        <v>141.19</v>
      </c>
      <c r="M548" s="184">
        <f t="shared" si="3"/>
        <v>2.3115942028985481E-2</v>
      </c>
    </row>
    <row r="549" spans="1:13" ht="15.75" thickBot="1" x14ac:dyDescent="0.3">
      <c r="A549" s="172">
        <v>44281</v>
      </c>
      <c r="B549" s="164">
        <v>91.57</v>
      </c>
      <c r="C549" s="164">
        <v>97.57</v>
      </c>
      <c r="F549" s="173">
        <v>44281</v>
      </c>
      <c r="G549" s="163">
        <v>137</v>
      </c>
      <c r="H549" s="163">
        <v>142</v>
      </c>
      <c r="K549" s="186">
        <v>44281</v>
      </c>
      <c r="L549" s="181">
        <v>138.44999999999999</v>
      </c>
      <c r="M549" s="184">
        <f t="shared" si="3"/>
        <v>1.0583941605839309E-2</v>
      </c>
    </row>
    <row r="550" spans="1:13" ht="15.75" thickBot="1" x14ac:dyDescent="0.3">
      <c r="A550" s="173">
        <v>44284</v>
      </c>
      <c r="B550" s="163">
        <v>91.61</v>
      </c>
      <c r="C550" s="163">
        <v>97.61</v>
      </c>
      <c r="F550" s="172">
        <v>44284</v>
      </c>
      <c r="G550" s="164">
        <v>137</v>
      </c>
      <c r="H550" s="164">
        <v>142</v>
      </c>
      <c r="K550" s="185">
        <v>44284</v>
      </c>
      <c r="L550" s="182">
        <v>138.47999999999999</v>
      </c>
      <c r="M550" s="184">
        <f t="shared" si="3"/>
        <v>1.0802919708029046E-2</v>
      </c>
    </row>
    <row r="551" spans="1:13" ht="15.75" thickBot="1" x14ac:dyDescent="0.3">
      <c r="A551" s="172">
        <v>44285</v>
      </c>
      <c r="B551" s="164">
        <v>91.61</v>
      </c>
      <c r="C551" s="164">
        <v>97.61</v>
      </c>
      <c r="F551" s="173">
        <v>44285</v>
      </c>
      <c r="G551" s="163">
        <v>136</v>
      </c>
      <c r="H551" s="163">
        <v>141</v>
      </c>
      <c r="K551" s="186">
        <v>44285</v>
      </c>
      <c r="L551" s="181">
        <v>140.38999999999999</v>
      </c>
      <c r="M551" s="184">
        <f t="shared" si="3"/>
        <v>3.2279411764705834E-2</v>
      </c>
    </row>
    <row r="552" spans="1:13" ht="15.75" thickBot="1" x14ac:dyDescent="0.3">
      <c r="A552" s="173">
        <v>44286</v>
      </c>
      <c r="B552" s="163">
        <v>91.69</v>
      </c>
      <c r="C552" s="163">
        <v>97.69</v>
      </c>
      <c r="F552" s="172">
        <v>44286</v>
      </c>
      <c r="G552" s="164">
        <v>136</v>
      </c>
      <c r="H552" s="164">
        <v>141</v>
      </c>
      <c r="K552" s="185">
        <v>44286</v>
      </c>
      <c r="L552" s="182">
        <v>142.19</v>
      </c>
      <c r="M552" s="184">
        <f t="shared" si="3"/>
        <v>4.5514705882352846E-2</v>
      </c>
    </row>
    <row r="553" spans="1:13" ht="15.75" thickBot="1" x14ac:dyDescent="0.3">
      <c r="A553" s="172">
        <v>44291</v>
      </c>
      <c r="B553" s="164">
        <v>92.1</v>
      </c>
      <c r="C553" s="164">
        <v>98.1</v>
      </c>
      <c r="F553" s="173">
        <v>44291</v>
      </c>
      <c r="G553" s="163">
        <v>135</v>
      </c>
      <c r="H553" s="163">
        <v>140</v>
      </c>
      <c r="K553" s="186">
        <v>44291</v>
      </c>
      <c r="L553" s="181">
        <v>141.81</v>
      </c>
      <c r="M553" s="184">
        <f t="shared" si="3"/>
        <v>5.0444444444444514E-2</v>
      </c>
    </row>
    <row r="554" spans="1:13" ht="15.75" thickBot="1" x14ac:dyDescent="0.3">
      <c r="A554" s="173">
        <v>44292</v>
      </c>
      <c r="B554" s="163">
        <v>92.1</v>
      </c>
      <c r="C554" s="163">
        <v>98.1</v>
      </c>
      <c r="F554" s="172">
        <v>44292</v>
      </c>
      <c r="G554" s="164">
        <v>135</v>
      </c>
      <c r="H554" s="164">
        <v>140</v>
      </c>
      <c r="K554" s="185">
        <v>44292</v>
      </c>
      <c r="L554" s="182">
        <v>143.66</v>
      </c>
      <c r="M554" s="184">
        <f t="shared" si="3"/>
        <v>6.4148148148148065E-2</v>
      </c>
    </row>
    <row r="555" spans="1:13" ht="15.75" thickBot="1" x14ac:dyDescent="0.3">
      <c r="A555" s="172">
        <v>44293</v>
      </c>
      <c r="B555" s="164">
        <v>92.19</v>
      </c>
      <c r="C555" s="164">
        <v>98.19</v>
      </c>
      <c r="F555" s="173">
        <v>44293</v>
      </c>
      <c r="G555" s="163">
        <v>134</v>
      </c>
      <c r="H555" s="163">
        <v>139</v>
      </c>
      <c r="K555" s="186">
        <v>44293</v>
      </c>
      <c r="L555" s="181">
        <v>143.77000000000001</v>
      </c>
      <c r="M555" s="184">
        <f t="shared" si="3"/>
        <v>7.2910447761194153E-2</v>
      </c>
    </row>
    <row r="556" spans="1:13" ht="15.75" thickBot="1" x14ac:dyDescent="0.3">
      <c r="A556" s="172">
        <v>44294</v>
      </c>
      <c r="B556" s="164">
        <v>92.2</v>
      </c>
      <c r="C556" s="164">
        <v>98.2</v>
      </c>
      <c r="F556" s="172">
        <v>44294</v>
      </c>
      <c r="G556" s="164">
        <v>135</v>
      </c>
      <c r="H556" s="164">
        <v>140</v>
      </c>
      <c r="K556" s="185">
        <v>44294</v>
      </c>
      <c r="L556" s="182">
        <v>144.66</v>
      </c>
      <c r="M556" s="184">
        <f t="shared" si="3"/>
        <v>7.1555555555555594E-2</v>
      </c>
    </row>
    <row r="557" spans="1:13" ht="15.75" thickBot="1" x14ac:dyDescent="0.3">
      <c r="A557" s="173">
        <v>44295</v>
      </c>
      <c r="B557" s="163">
        <v>92.21</v>
      </c>
      <c r="C557" s="163">
        <v>98.21</v>
      </c>
      <c r="F557" s="173">
        <v>44295</v>
      </c>
      <c r="G557" s="163">
        <v>135</v>
      </c>
      <c r="H557" s="163">
        <v>140</v>
      </c>
      <c r="K557" s="186">
        <v>44295</v>
      </c>
      <c r="L557" s="181">
        <v>144.38</v>
      </c>
      <c r="M557" s="184">
        <f t="shared" si="3"/>
        <v>6.9481481481481477E-2</v>
      </c>
    </row>
    <row r="558" spans="1:13" ht="15.75" thickBot="1" x14ac:dyDescent="0.3">
      <c r="A558" s="172">
        <v>44298</v>
      </c>
      <c r="B558" s="164">
        <v>92.31</v>
      </c>
      <c r="C558" s="164">
        <v>98.31</v>
      </c>
      <c r="F558" s="172">
        <v>44298</v>
      </c>
      <c r="G558" s="164">
        <v>137</v>
      </c>
      <c r="H558" s="164">
        <v>142</v>
      </c>
      <c r="K558" s="185">
        <v>44298</v>
      </c>
      <c r="L558" s="182">
        <v>143.26</v>
      </c>
      <c r="M558" s="184">
        <f t="shared" si="3"/>
        <v>4.569343065693432E-2</v>
      </c>
    </row>
    <row r="559" spans="1:13" ht="15.75" thickBot="1" x14ac:dyDescent="0.3">
      <c r="A559" s="173">
        <v>44299</v>
      </c>
      <c r="B559" s="163">
        <v>92.33</v>
      </c>
      <c r="C559" s="163">
        <v>98.33</v>
      </c>
      <c r="F559" s="173">
        <v>44299</v>
      </c>
      <c r="G559" s="163">
        <v>137</v>
      </c>
      <c r="H559" s="163">
        <v>142</v>
      </c>
      <c r="K559" s="186">
        <v>44299</v>
      </c>
      <c r="L559" s="181">
        <v>142.79</v>
      </c>
      <c r="M559" s="184">
        <f t="shared" si="3"/>
        <v>4.2262773722627767E-2</v>
      </c>
    </row>
    <row r="560" spans="1:13" ht="15.75" thickBot="1" x14ac:dyDescent="0.3">
      <c r="A560" s="173">
        <v>44300</v>
      </c>
      <c r="B560" s="163">
        <v>92.32</v>
      </c>
      <c r="C560" s="163">
        <v>98.32</v>
      </c>
      <c r="F560" s="172">
        <v>44300</v>
      </c>
      <c r="G560" s="164">
        <v>138</v>
      </c>
      <c r="H560" s="164">
        <v>143</v>
      </c>
      <c r="K560" s="185">
        <v>44300</v>
      </c>
      <c r="L560" s="182">
        <v>143.80000000000001</v>
      </c>
      <c r="M560" s="184">
        <f t="shared" si="3"/>
        <v>4.202898550724643E-2</v>
      </c>
    </row>
    <row r="561" spans="1:13" ht="15.75" thickBot="1" x14ac:dyDescent="0.3">
      <c r="A561" s="172">
        <v>44301</v>
      </c>
      <c r="B561" s="164">
        <v>92.47</v>
      </c>
      <c r="C561" s="164">
        <v>98.47</v>
      </c>
      <c r="F561" s="173">
        <v>44301</v>
      </c>
      <c r="G561" s="163">
        <v>138</v>
      </c>
      <c r="H561" s="163">
        <v>143</v>
      </c>
      <c r="K561" s="186">
        <v>44301</v>
      </c>
      <c r="L561" s="181">
        <v>143.65</v>
      </c>
      <c r="M561" s="184">
        <f t="shared" ref="M561:M624" si="4">+L561/G561-1</f>
        <v>4.0942028985507362E-2</v>
      </c>
    </row>
    <row r="562" spans="1:13" ht="15.75" thickBot="1" x14ac:dyDescent="0.3">
      <c r="A562" s="173">
        <v>44302</v>
      </c>
      <c r="B562" s="163">
        <v>92.52</v>
      </c>
      <c r="C562" s="163">
        <v>98.52</v>
      </c>
      <c r="F562" s="172">
        <v>44302</v>
      </c>
      <c r="G562" s="164">
        <v>137</v>
      </c>
      <c r="H562" s="164">
        <v>142</v>
      </c>
      <c r="K562" s="185">
        <v>44302</v>
      </c>
      <c r="L562" s="182">
        <v>143.71</v>
      </c>
      <c r="M562" s="184">
        <f t="shared" si="4"/>
        <v>4.8978102189781048E-2</v>
      </c>
    </row>
    <row r="563" spans="1:13" ht="15.75" thickBot="1" x14ac:dyDescent="0.3">
      <c r="A563" s="172">
        <v>44305</v>
      </c>
      <c r="B563" s="164">
        <v>92.59</v>
      </c>
      <c r="C563" s="164">
        <v>98.59</v>
      </c>
      <c r="F563" s="173">
        <v>44305</v>
      </c>
      <c r="G563" s="163">
        <v>138</v>
      </c>
      <c r="H563" s="163">
        <v>143</v>
      </c>
      <c r="K563" s="186">
        <v>44305</v>
      </c>
      <c r="L563" s="181">
        <v>144.37</v>
      </c>
      <c r="M563" s="184">
        <f t="shared" si="4"/>
        <v>4.6159420289855202E-2</v>
      </c>
    </row>
    <row r="564" spans="1:13" ht="15.75" thickBot="1" x14ac:dyDescent="0.3">
      <c r="A564" s="173">
        <v>44306</v>
      </c>
      <c r="B564" s="163">
        <v>92.59</v>
      </c>
      <c r="C564" s="163">
        <v>98.59</v>
      </c>
      <c r="F564" s="172">
        <v>44306</v>
      </c>
      <c r="G564" s="164">
        <v>138</v>
      </c>
      <c r="H564" s="164">
        <v>143</v>
      </c>
      <c r="K564" s="185">
        <v>44306</v>
      </c>
      <c r="L564" s="182">
        <v>145.94</v>
      </c>
      <c r="M564" s="184">
        <f t="shared" si="4"/>
        <v>5.7536231884057987E-2</v>
      </c>
    </row>
    <row r="565" spans="1:13" ht="15.75" thickBot="1" x14ac:dyDescent="0.3">
      <c r="A565" s="172">
        <v>44307</v>
      </c>
      <c r="B565" s="164">
        <v>92.61</v>
      </c>
      <c r="C565" s="164">
        <v>98.61</v>
      </c>
      <c r="F565" s="173">
        <v>44307</v>
      </c>
      <c r="G565" s="163">
        <v>139</v>
      </c>
      <c r="H565" s="163">
        <v>144</v>
      </c>
      <c r="K565" s="186">
        <v>44307</v>
      </c>
      <c r="L565" s="181">
        <v>145.44</v>
      </c>
      <c r="M565" s="184">
        <f t="shared" si="4"/>
        <v>4.6330935251798655E-2</v>
      </c>
    </row>
    <row r="566" spans="1:13" ht="15.75" thickBot="1" x14ac:dyDescent="0.3">
      <c r="A566" s="173">
        <v>44308</v>
      </c>
      <c r="B566" s="163">
        <v>92.64</v>
      </c>
      <c r="C566" s="163">
        <v>98.64</v>
      </c>
      <c r="F566" s="172">
        <v>44308</v>
      </c>
      <c r="G566" s="164">
        <v>142</v>
      </c>
      <c r="H566" s="164">
        <v>147</v>
      </c>
      <c r="K566" s="185">
        <v>44308</v>
      </c>
      <c r="L566" s="182">
        <v>145.5</v>
      </c>
      <c r="M566" s="184">
        <f t="shared" si="4"/>
        <v>2.464788732394374E-2</v>
      </c>
    </row>
    <row r="567" spans="1:13" ht="15.75" thickBot="1" x14ac:dyDescent="0.3">
      <c r="A567" s="172">
        <v>44309</v>
      </c>
      <c r="B567" s="164">
        <v>92.78</v>
      </c>
      <c r="C567" s="164">
        <v>98.78</v>
      </c>
      <c r="F567" s="173">
        <v>44309</v>
      </c>
      <c r="G567" s="163">
        <v>147</v>
      </c>
      <c r="H567" s="163">
        <v>152</v>
      </c>
      <c r="K567" s="186">
        <v>44309</v>
      </c>
      <c r="L567" s="181">
        <v>148.36000000000001</v>
      </c>
      <c r="M567" s="184">
        <f t="shared" si="4"/>
        <v>9.2517006802721458E-3</v>
      </c>
    </row>
    <row r="568" spans="1:13" ht="15.75" thickBot="1" x14ac:dyDescent="0.3">
      <c r="A568" s="173">
        <v>44312</v>
      </c>
      <c r="B568" s="163">
        <v>92.88</v>
      </c>
      <c r="C568" s="163">
        <v>98.88</v>
      </c>
      <c r="F568" s="172">
        <v>44312</v>
      </c>
      <c r="G568" s="164">
        <v>153</v>
      </c>
      <c r="H568" s="164">
        <v>158</v>
      </c>
      <c r="K568" s="185">
        <v>44312</v>
      </c>
      <c r="L568" s="182">
        <v>150.27000000000001</v>
      </c>
      <c r="M568" s="184">
        <f t="shared" si="4"/>
        <v>-1.7843137254901942E-2</v>
      </c>
    </row>
    <row r="569" spans="1:13" ht="15.75" thickBot="1" x14ac:dyDescent="0.3">
      <c r="A569" s="172">
        <v>44313</v>
      </c>
      <c r="B569" s="164">
        <v>92.89</v>
      </c>
      <c r="C569" s="164">
        <v>98.89</v>
      </c>
      <c r="F569" s="173">
        <v>44313</v>
      </c>
      <c r="G569" s="163">
        <v>156</v>
      </c>
      <c r="H569" s="163">
        <v>161</v>
      </c>
      <c r="K569" s="186">
        <v>44313</v>
      </c>
      <c r="L569" s="181">
        <v>151.49</v>
      </c>
      <c r="M569" s="184">
        <f t="shared" si="4"/>
        <v>-2.8910256410256352E-2</v>
      </c>
    </row>
    <row r="570" spans="1:13" ht="15.75" thickBot="1" x14ac:dyDescent="0.3">
      <c r="A570" s="173">
        <v>44314</v>
      </c>
      <c r="B570" s="163">
        <v>92.91</v>
      </c>
      <c r="C570" s="163">
        <v>98.91</v>
      </c>
      <c r="F570" s="172">
        <v>44314</v>
      </c>
      <c r="G570" s="164">
        <v>157</v>
      </c>
      <c r="H570" s="164">
        <v>162</v>
      </c>
      <c r="K570" s="185">
        <v>44314</v>
      </c>
      <c r="L570" s="182">
        <v>151.80000000000001</v>
      </c>
      <c r="M570" s="184">
        <f t="shared" si="4"/>
        <v>-3.3121019108280136E-2</v>
      </c>
    </row>
    <row r="571" spans="1:13" ht="15.75" thickBot="1" x14ac:dyDescent="0.3">
      <c r="A571" s="172">
        <v>44315</v>
      </c>
      <c r="B571" s="164">
        <v>92.97</v>
      </c>
      <c r="C571" s="164">
        <v>98.97</v>
      </c>
      <c r="F571" s="173">
        <v>44315</v>
      </c>
      <c r="G571" s="163">
        <v>149</v>
      </c>
      <c r="H571" s="163">
        <v>154</v>
      </c>
      <c r="K571" s="186">
        <v>44315</v>
      </c>
      <c r="L571" s="181">
        <v>152.19999999999999</v>
      </c>
      <c r="M571" s="184">
        <f t="shared" si="4"/>
        <v>2.147651006711393E-2</v>
      </c>
    </row>
    <row r="572" spans="1:13" ht="15.75" thickBot="1" x14ac:dyDescent="0.3">
      <c r="A572" s="173">
        <v>44316</v>
      </c>
      <c r="B572" s="163">
        <v>92.9</v>
      </c>
      <c r="C572" s="163">
        <v>98.9</v>
      </c>
      <c r="F572" s="172">
        <v>44316</v>
      </c>
      <c r="G572" s="164">
        <v>145</v>
      </c>
      <c r="H572" s="164">
        <v>150</v>
      </c>
      <c r="K572" s="185">
        <v>44316</v>
      </c>
      <c r="L572" s="182">
        <v>152.19</v>
      </c>
      <c r="M572" s="184">
        <f t="shared" si="4"/>
        <v>4.9586206896551799E-2</v>
      </c>
    </row>
    <row r="573" spans="1:13" ht="15.75" thickBot="1" x14ac:dyDescent="0.3">
      <c r="A573" s="172">
        <v>44319</v>
      </c>
      <c r="B573" s="164">
        <v>93.21</v>
      </c>
      <c r="C573" s="164">
        <v>99.21</v>
      </c>
      <c r="F573" s="173">
        <v>44319</v>
      </c>
      <c r="G573" s="163">
        <v>148</v>
      </c>
      <c r="H573" s="163">
        <v>153</v>
      </c>
      <c r="K573" s="186">
        <v>44319</v>
      </c>
      <c r="L573" s="181">
        <v>152.96</v>
      </c>
      <c r="M573" s="184">
        <f t="shared" si="4"/>
        <v>3.3513513513513615E-2</v>
      </c>
    </row>
    <row r="574" spans="1:13" ht="15.75" thickBot="1" x14ac:dyDescent="0.3">
      <c r="A574" s="173">
        <v>44320</v>
      </c>
      <c r="B574" s="163">
        <v>93.3</v>
      </c>
      <c r="C574" s="163">
        <v>99.3</v>
      </c>
      <c r="F574" s="172">
        <v>44320</v>
      </c>
      <c r="G574" s="164">
        <v>149</v>
      </c>
      <c r="H574" s="164">
        <v>154</v>
      </c>
      <c r="K574" s="185">
        <v>44320</v>
      </c>
      <c r="L574" s="182">
        <v>153.33000000000001</v>
      </c>
      <c r="M574" s="184">
        <f t="shared" si="4"/>
        <v>2.906040268456378E-2</v>
      </c>
    </row>
    <row r="575" spans="1:13" ht="15.75" thickBot="1" x14ac:dyDescent="0.3">
      <c r="A575" s="172">
        <v>44321</v>
      </c>
      <c r="B575" s="164">
        <v>93.33</v>
      </c>
      <c r="C575" s="164">
        <v>99.33</v>
      </c>
      <c r="F575" s="173">
        <v>44321</v>
      </c>
      <c r="G575" s="163">
        <v>146</v>
      </c>
      <c r="H575" s="163">
        <v>151</v>
      </c>
      <c r="K575" s="186">
        <v>44321</v>
      </c>
      <c r="L575" s="181">
        <v>153.82</v>
      </c>
      <c r="M575" s="184">
        <f t="shared" si="4"/>
        <v>5.3561643835616346E-2</v>
      </c>
    </row>
    <row r="576" spans="1:13" ht="15.75" thickBot="1" x14ac:dyDescent="0.3">
      <c r="A576" s="173">
        <v>44322</v>
      </c>
      <c r="B576" s="163">
        <v>93.34</v>
      </c>
      <c r="C576" s="163">
        <v>99.34</v>
      </c>
      <c r="F576" s="172">
        <v>44322</v>
      </c>
      <c r="G576" s="164">
        <v>145</v>
      </c>
      <c r="H576" s="164">
        <v>151</v>
      </c>
      <c r="K576" s="185">
        <v>44322</v>
      </c>
      <c r="L576" s="182">
        <v>154.30000000000001</v>
      </c>
      <c r="M576" s="184">
        <f t="shared" si="4"/>
        <v>6.4137931034482731E-2</v>
      </c>
    </row>
    <row r="577" spans="1:13" ht="15.75" thickBot="1" x14ac:dyDescent="0.3">
      <c r="A577" s="172">
        <v>44323</v>
      </c>
      <c r="B577" s="164">
        <v>93.43</v>
      </c>
      <c r="C577" s="164">
        <v>99.43</v>
      </c>
      <c r="F577" s="173">
        <v>44323</v>
      </c>
      <c r="G577" s="163">
        <v>145</v>
      </c>
      <c r="H577" s="163">
        <v>151</v>
      </c>
      <c r="K577" s="186">
        <v>44323</v>
      </c>
      <c r="L577" s="181">
        <v>154.4</v>
      </c>
      <c r="M577" s="184">
        <f t="shared" si="4"/>
        <v>6.4827586206896548E-2</v>
      </c>
    </row>
    <row r="578" spans="1:13" ht="15.75" thickBot="1" x14ac:dyDescent="0.3">
      <c r="A578" s="173">
        <v>44326</v>
      </c>
      <c r="B578" s="163">
        <v>93.5</v>
      </c>
      <c r="C578" s="163">
        <v>99.5</v>
      </c>
      <c r="F578" s="172">
        <v>44326</v>
      </c>
      <c r="G578" s="164">
        <v>147</v>
      </c>
      <c r="H578" s="164">
        <v>152</v>
      </c>
      <c r="K578" s="185">
        <v>44326</v>
      </c>
      <c r="L578" s="182">
        <v>153.94999999999999</v>
      </c>
      <c r="M578" s="184">
        <f t="shared" si="4"/>
        <v>4.7278911564625714E-2</v>
      </c>
    </row>
    <row r="579" spans="1:13" ht="15.75" thickBot="1" x14ac:dyDescent="0.3">
      <c r="A579" s="172">
        <v>44327</v>
      </c>
      <c r="B579" s="164">
        <v>93.5</v>
      </c>
      <c r="C579" s="164">
        <v>99.5</v>
      </c>
      <c r="F579" s="173">
        <v>44327</v>
      </c>
      <c r="G579" s="163">
        <v>146</v>
      </c>
      <c r="H579" s="163">
        <v>151</v>
      </c>
      <c r="K579" s="186">
        <v>44327</v>
      </c>
      <c r="L579" s="181">
        <v>153.16</v>
      </c>
      <c r="M579" s="184">
        <f t="shared" si="4"/>
        <v>4.9041095890410835E-2</v>
      </c>
    </row>
    <row r="580" spans="1:13" ht="15.75" thickBot="1" x14ac:dyDescent="0.3">
      <c r="A580" s="173">
        <v>44328</v>
      </c>
      <c r="B580" s="163">
        <v>93.51</v>
      </c>
      <c r="C580" s="163">
        <v>99.51</v>
      </c>
      <c r="F580" s="172">
        <v>44328</v>
      </c>
      <c r="G580" s="164">
        <v>147</v>
      </c>
      <c r="H580" s="164">
        <v>152</v>
      </c>
      <c r="K580" s="185">
        <v>44328</v>
      </c>
      <c r="L580" s="182">
        <v>153.21</v>
      </c>
      <c r="M580" s="184">
        <f t="shared" si="4"/>
        <v>4.2244897959183625E-2</v>
      </c>
    </row>
    <row r="581" spans="1:13" ht="15.75" thickBot="1" x14ac:dyDescent="0.3">
      <c r="A581" s="172">
        <v>44329</v>
      </c>
      <c r="B581" s="164">
        <v>93.51</v>
      </c>
      <c r="C581" s="164">
        <v>99.51</v>
      </c>
      <c r="F581" s="173">
        <v>44329</v>
      </c>
      <c r="G581" s="163">
        <v>146</v>
      </c>
      <c r="H581" s="163">
        <v>151</v>
      </c>
      <c r="K581" s="186">
        <v>44329</v>
      </c>
      <c r="L581" s="181">
        <v>153.71</v>
      </c>
      <c r="M581" s="184">
        <f t="shared" si="4"/>
        <v>5.2808219178082316E-2</v>
      </c>
    </row>
    <row r="582" spans="1:13" ht="15.75" thickBot="1" x14ac:dyDescent="0.3">
      <c r="A582" s="173">
        <v>44330</v>
      </c>
      <c r="B582" s="163">
        <v>93.51</v>
      </c>
      <c r="C582" s="163">
        <v>99.51</v>
      </c>
      <c r="F582" s="172">
        <v>44330</v>
      </c>
      <c r="G582" s="164">
        <v>148</v>
      </c>
      <c r="H582" s="164">
        <v>153</v>
      </c>
      <c r="K582" s="185">
        <v>44330</v>
      </c>
      <c r="L582" s="182">
        <v>154.16999999999999</v>
      </c>
      <c r="M582" s="184">
        <f t="shared" si="4"/>
        <v>4.1689189189189069E-2</v>
      </c>
    </row>
    <row r="583" spans="1:13" ht="15.75" thickBot="1" x14ac:dyDescent="0.3">
      <c r="A583" s="172">
        <v>44333</v>
      </c>
      <c r="B583" s="164">
        <v>93.64</v>
      </c>
      <c r="C583" s="164">
        <v>99.64</v>
      </c>
      <c r="F583" s="173">
        <v>44333</v>
      </c>
      <c r="G583" s="163">
        <v>148</v>
      </c>
      <c r="H583" s="163">
        <v>153</v>
      </c>
      <c r="K583" s="186">
        <v>44333</v>
      </c>
      <c r="L583" s="181">
        <v>154.65</v>
      </c>
      <c r="M583" s="184">
        <f t="shared" si="4"/>
        <v>4.4932432432432501E-2</v>
      </c>
    </row>
    <row r="584" spans="1:13" ht="15.75" thickBot="1" x14ac:dyDescent="0.3">
      <c r="A584" s="173">
        <v>44334</v>
      </c>
      <c r="B584" s="163">
        <v>93.64</v>
      </c>
      <c r="C584" s="163">
        <v>99.64</v>
      </c>
      <c r="F584" s="172">
        <v>44334</v>
      </c>
      <c r="G584" s="164">
        <v>151</v>
      </c>
      <c r="H584" s="164">
        <v>156</v>
      </c>
      <c r="K584" s="185">
        <v>44334</v>
      </c>
      <c r="L584" s="182">
        <v>154.65</v>
      </c>
      <c r="M584" s="184">
        <f t="shared" si="4"/>
        <v>2.4172185430463511E-2</v>
      </c>
    </row>
    <row r="585" spans="1:13" ht="15.75" thickBot="1" x14ac:dyDescent="0.3">
      <c r="A585" s="172">
        <v>44335</v>
      </c>
      <c r="B585" s="164">
        <v>93.7</v>
      </c>
      <c r="C585" s="164">
        <v>99.7</v>
      </c>
      <c r="F585" s="173">
        <v>44335</v>
      </c>
      <c r="G585" s="163">
        <v>150</v>
      </c>
      <c r="H585" s="163">
        <v>156</v>
      </c>
      <c r="K585" s="186">
        <v>44335</v>
      </c>
      <c r="L585" s="181">
        <v>156.49</v>
      </c>
      <c r="M585" s="184">
        <f t="shared" si="4"/>
        <v>4.3266666666666787E-2</v>
      </c>
    </row>
    <row r="586" spans="1:13" ht="15.75" thickBot="1" x14ac:dyDescent="0.3">
      <c r="A586" s="173">
        <v>44336</v>
      </c>
      <c r="B586" s="163">
        <v>93.71</v>
      </c>
      <c r="C586" s="163">
        <v>99.71</v>
      </c>
      <c r="F586" s="172">
        <v>44336</v>
      </c>
      <c r="G586" s="164">
        <v>149</v>
      </c>
      <c r="H586" s="164">
        <v>155</v>
      </c>
      <c r="K586" s="185">
        <v>44336</v>
      </c>
      <c r="L586" s="182">
        <v>157.22</v>
      </c>
      <c r="M586" s="184">
        <f t="shared" si="4"/>
        <v>5.5167785234899291E-2</v>
      </c>
    </row>
    <row r="587" spans="1:13" ht="15.75" thickBot="1" x14ac:dyDescent="0.3">
      <c r="A587" s="172">
        <v>44337</v>
      </c>
      <c r="B587" s="164">
        <v>93.71</v>
      </c>
      <c r="C587" s="164">
        <v>99.71</v>
      </c>
      <c r="F587" s="173">
        <v>44337</v>
      </c>
      <c r="G587" s="163">
        <v>148</v>
      </c>
      <c r="H587" s="163">
        <v>153</v>
      </c>
      <c r="K587" s="186">
        <v>44337</v>
      </c>
      <c r="L587" s="181">
        <v>158.37</v>
      </c>
      <c r="M587" s="184">
        <f t="shared" si="4"/>
        <v>7.006756756756749E-2</v>
      </c>
    </row>
    <row r="588" spans="1:13" ht="15.75" thickBot="1" x14ac:dyDescent="0.3">
      <c r="A588" s="171">
        <v>44340</v>
      </c>
      <c r="B588" s="167">
        <f>+B587</f>
        <v>93.71</v>
      </c>
      <c r="C588" s="167">
        <f>+C587</f>
        <v>99.71</v>
      </c>
      <c r="F588" s="172">
        <v>44340</v>
      </c>
      <c r="G588" s="164">
        <v>148</v>
      </c>
      <c r="H588" s="164">
        <v>153</v>
      </c>
      <c r="K588" s="185">
        <v>44340</v>
      </c>
      <c r="L588" s="182">
        <v>158.37</v>
      </c>
      <c r="M588" s="184">
        <f t="shared" si="4"/>
        <v>7.006756756756749E-2</v>
      </c>
    </row>
    <row r="589" spans="1:13" ht="15.75" thickBot="1" x14ac:dyDescent="0.3">
      <c r="A589" s="173">
        <v>44342</v>
      </c>
      <c r="B589" s="163">
        <v>93.96</v>
      </c>
      <c r="C589" s="163">
        <v>99.96</v>
      </c>
      <c r="F589" s="173">
        <v>44342</v>
      </c>
      <c r="G589" s="163">
        <v>150</v>
      </c>
      <c r="H589" s="163">
        <v>155</v>
      </c>
      <c r="K589" s="186">
        <v>44342</v>
      </c>
      <c r="L589" s="181">
        <v>158.05000000000001</v>
      </c>
      <c r="M589" s="184">
        <f t="shared" si="4"/>
        <v>5.3666666666666751E-2</v>
      </c>
    </row>
    <row r="590" spans="1:13" ht="15.75" thickBot="1" x14ac:dyDescent="0.3">
      <c r="A590" s="172">
        <v>44343</v>
      </c>
      <c r="B590" s="164">
        <v>94.02</v>
      </c>
      <c r="C590" s="164">
        <v>100.02</v>
      </c>
      <c r="F590" s="172">
        <v>44343</v>
      </c>
      <c r="G590" s="164">
        <v>152</v>
      </c>
      <c r="H590" s="164">
        <v>157</v>
      </c>
      <c r="K590" s="185">
        <v>44343</v>
      </c>
      <c r="L590" s="182">
        <v>158.72</v>
      </c>
      <c r="M590" s="184">
        <f t="shared" si="4"/>
        <v>4.4210526315789478E-2</v>
      </c>
    </row>
    <row r="591" spans="1:13" ht="15.75" thickBot="1" x14ac:dyDescent="0.3">
      <c r="A591" s="173">
        <v>44344</v>
      </c>
      <c r="B591" s="163">
        <v>94.04</v>
      </c>
      <c r="C591" s="163">
        <v>100.04</v>
      </c>
      <c r="F591" s="173">
        <v>44344</v>
      </c>
      <c r="G591" s="163">
        <v>152</v>
      </c>
      <c r="H591" s="163">
        <v>157</v>
      </c>
      <c r="K591" s="186">
        <v>44344</v>
      </c>
      <c r="L591" s="181">
        <v>159.49</v>
      </c>
      <c r="M591" s="184">
        <f t="shared" si="4"/>
        <v>4.9276315789473779E-2</v>
      </c>
    </row>
    <row r="592" spans="1:13" ht="15.75" thickBot="1" x14ac:dyDescent="0.3">
      <c r="A592" s="172">
        <v>44347</v>
      </c>
      <c r="B592" s="164">
        <v>94.09</v>
      </c>
      <c r="C592" s="164">
        <v>100.09</v>
      </c>
      <c r="F592" s="172">
        <v>44347</v>
      </c>
      <c r="G592" s="164">
        <v>152</v>
      </c>
      <c r="H592" s="164">
        <v>157</v>
      </c>
      <c r="K592" s="185">
        <v>44347</v>
      </c>
      <c r="L592" s="182">
        <v>160.22999999999999</v>
      </c>
      <c r="M592" s="184">
        <f t="shared" si="4"/>
        <v>5.4144736842105301E-2</v>
      </c>
    </row>
    <row r="593" spans="1:13" ht="15.75" thickBot="1" x14ac:dyDescent="0.3">
      <c r="A593" s="173">
        <v>44348</v>
      </c>
      <c r="B593" s="163">
        <v>94.23</v>
      </c>
      <c r="C593" s="163">
        <v>100.23</v>
      </c>
      <c r="F593" s="173">
        <v>44348</v>
      </c>
      <c r="G593" s="163">
        <v>150</v>
      </c>
      <c r="H593" s="163">
        <v>155</v>
      </c>
      <c r="K593" s="186">
        <v>44348</v>
      </c>
      <c r="L593" s="181">
        <v>160.96</v>
      </c>
      <c r="M593" s="184">
        <f t="shared" si="4"/>
        <v>7.3066666666666613E-2</v>
      </c>
    </row>
    <row r="594" spans="1:13" ht="15.75" thickBot="1" x14ac:dyDescent="0.3">
      <c r="A594" s="172">
        <v>44349</v>
      </c>
      <c r="B594" s="164">
        <v>94.26</v>
      </c>
      <c r="C594" s="164">
        <v>100.26</v>
      </c>
      <c r="F594" s="172">
        <v>44349</v>
      </c>
      <c r="G594" s="164">
        <v>151</v>
      </c>
      <c r="H594" s="164">
        <v>156</v>
      </c>
      <c r="K594" s="185">
        <v>44349</v>
      </c>
      <c r="L594" s="182">
        <v>161.71</v>
      </c>
      <c r="M594" s="184">
        <f t="shared" si="4"/>
        <v>7.0927152317880937E-2</v>
      </c>
    </row>
    <row r="595" spans="1:13" ht="15.75" thickBot="1" x14ac:dyDescent="0.3">
      <c r="A595" s="173">
        <v>44350</v>
      </c>
      <c r="B595" s="163">
        <v>94.26</v>
      </c>
      <c r="C595" s="163">
        <v>100.26</v>
      </c>
      <c r="F595" s="173">
        <v>44350</v>
      </c>
      <c r="G595" s="163">
        <v>151</v>
      </c>
      <c r="H595" s="163">
        <v>156</v>
      </c>
      <c r="K595" s="186">
        <v>44350</v>
      </c>
      <c r="L595" s="181">
        <v>161.33000000000001</v>
      </c>
      <c r="M595" s="184">
        <f t="shared" si="4"/>
        <v>6.8410596026490245E-2</v>
      </c>
    </row>
    <row r="596" spans="1:13" ht="15.75" thickBot="1" x14ac:dyDescent="0.3">
      <c r="A596" s="172">
        <v>44351</v>
      </c>
      <c r="B596" s="164">
        <v>94.28</v>
      </c>
      <c r="C596" s="164">
        <v>100.28</v>
      </c>
      <c r="F596" s="172">
        <v>44351</v>
      </c>
      <c r="G596" s="164">
        <v>152</v>
      </c>
      <c r="H596" s="164">
        <v>157</v>
      </c>
      <c r="K596" s="185">
        <v>44351</v>
      </c>
      <c r="L596" s="182">
        <v>160.86000000000001</v>
      </c>
      <c r="M596" s="184">
        <f t="shared" si="4"/>
        <v>5.8289473684210558E-2</v>
      </c>
    </row>
    <row r="597" spans="1:13" ht="15.75" thickBot="1" x14ac:dyDescent="0.3">
      <c r="A597" s="173">
        <v>44354</v>
      </c>
      <c r="B597" s="163">
        <v>94.34</v>
      </c>
      <c r="C597" s="163">
        <v>100.34</v>
      </c>
      <c r="F597" s="173">
        <v>44354</v>
      </c>
      <c r="G597" s="163">
        <v>152</v>
      </c>
      <c r="H597" s="163">
        <v>157</v>
      </c>
      <c r="K597" s="186">
        <v>44354</v>
      </c>
      <c r="L597" s="181">
        <v>160.55000000000001</v>
      </c>
      <c r="M597" s="184">
        <f t="shared" si="4"/>
        <v>5.6250000000000133E-2</v>
      </c>
    </row>
    <row r="598" spans="1:13" ht="15.75" thickBot="1" x14ac:dyDescent="0.3">
      <c r="A598" s="172">
        <v>44355</v>
      </c>
      <c r="B598" s="164">
        <v>94.37</v>
      </c>
      <c r="C598" s="164">
        <v>100.37</v>
      </c>
      <c r="F598" s="172">
        <v>44355</v>
      </c>
      <c r="G598" s="164">
        <v>151</v>
      </c>
      <c r="H598" s="164">
        <v>156</v>
      </c>
      <c r="K598" s="185">
        <v>44355</v>
      </c>
      <c r="L598" s="182">
        <v>160.47999999999999</v>
      </c>
      <c r="M598" s="184">
        <f t="shared" si="4"/>
        <v>6.2781456953642234E-2</v>
      </c>
    </row>
    <row r="599" spans="1:13" ht="15.75" thickBot="1" x14ac:dyDescent="0.3">
      <c r="A599" s="173">
        <v>44356</v>
      </c>
      <c r="B599" s="163">
        <v>94.36</v>
      </c>
      <c r="C599" s="163">
        <v>100.36</v>
      </c>
      <c r="F599" s="173">
        <v>44356</v>
      </c>
      <c r="G599" s="163">
        <v>151</v>
      </c>
      <c r="H599" s="163">
        <v>156</v>
      </c>
      <c r="K599" s="186">
        <v>44356</v>
      </c>
      <c r="L599" s="181">
        <v>159.68</v>
      </c>
      <c r="M599" s="184">
        <f t="shared" si="4"/>
        <v>5.7483443708609361E-2</v>
      </c>
    </row>
    <row r="600" spans="1:13" ht="15.75" thickBot="1" x14ac:dyDescent="0.3">
      <c r="A600" s="173">
        <v>44357</v>
      </c>
      <c r="B600" s="163">
        <v>94.37</v>
      </c>
      <c r="C600" s="163">
        <v>100.37</v>
      </c>
      <c r="F600" s="172">
        <v>44357</v>
      </c>
      <c r="G600" s="164">
        <v>152</v>
      </c>
      <c r="H600" s="164">
        <v>157</v>
      </c>
      <c r="K600" s="185">
        <v>44357</v>
      </c>
      <c r="L600" s="182">
        <v>159.07</v>
      </c>
      <c r="M600" s="184">
        <f t="shared" si="4"/>
        <v>4.6513157894736867E-2</v>
      </c>
    </row>
    <row r="601" spans="1:13" ht="15.75" thickBot="1" x14ac:dyDescent="0.3">
      <c r="A601" s="172">
        <v>44358</v>
      </c>
      <c r="B601" s="164">
        <v>94.39</v>
      </c>
      <c r="C601" s="164">
        <v>100.39</v>
      </c>
      <c r="F601" s="173">
        <v>44358</v>
      </c>
      <c r="G601" s="163">
        <v>153</v>
      </c>
      <c r="H601" s="163">
        <v>158</v>
      </c>
      <c r="K601" s="186">
        <v>44358</v>
      </c>
      <c r="L601" s="181">
        <v>158.09</v>
      </c>
      <c r="M601" s="184">
        <f t="shared" si="4"/>
        <v>3.3267973856209165E-2</v>
      </c>
    </row>
    <row r="602" spans="1:13" ht="15.75" thickBot="1" x14ac:dyDescent="0.3">
      <c r="A602" s="173">
        <v>44361</v>
      </c>
      <c r="B602" s="163">
        <v>94.53</v>
      </c>
      <c r="C602" s="163">
        <v>100.53</v>
      </c>
      <c r="F602" s="172">
        <v>44361</v>
      </c>
      <c r="G602" s="164">
        <v>153</v>
      </c>
      <c r="H602" s="164">
        <v>158</v>
      </c>
      <c r="K602" s="185">
        <v>44361</v>
      </c>
      <c r="L602" s="182">
        <v>157.94999999999999</v>
      </c>
      <c r="M602" s="184">
        <f t="shared" si="4"/>
        <v>3.2352941176470473E-2</v>
      </c>
    </row>
    <row r="603" spans="1:13" ht="15.75" thickBot="1" x14ac:dyDescent="0.3">
      <c r="A603" s="172">
        <v>44362</v>
      </c>
      <c r="B603" s="164">
        <v>94.67</v>
      </c>
      <c r="C603" s="164">
        <v>100.67</v>
      </c>
      <c r="F603" s="173">
        <v>44362</v>
      </c>
      <c r="G603" s="163">
        <v>155</v>
      </c>
      <c r="H603" s="163">
        <v>160</v>
      </c>
      <c r="K603" s="186">
        <v>44362</v>
      </c>
      <c r="L603" s="181">
        <v>158.72</v>
      </c>
      <c r="M603" s="184">
        <f t="shared" si="4"/>
        <v>2.4000000000000021E-2</v>
      </c>
    </row>
    <row r="604" spans="1:13" ht="15.75" thickBot="1" x14ac:dyDescent="0.3">
      <c r="A604" s="173">
        <v>44363</v>
      </c>
      <c r="B604" s="163">
        <v>94.62</v>
      </c>
      <c r="C604" s="163">
        <v>100.62</v>
      </c>
      <c r="F604" s="172">
        <v>44363</v>
      </c>
      <c r="G604" s="164">
        <v>158</v>
      </c>
      <c r="H604" s="164">
        <v>163</v>
      </c>
      <c r="K604" s="185">
        <v>44363</v>
      </c>
      <c r="L604" s="182">
        <v>159.19</v>
      </c>
      <c r="M604" s="184">
        <f t="shared" si="4"/>
        <v>7.5316455696201601E-3</v>
      </c>
    </row>
    <row r="605" spans="1:13" ht="15.75" thickBot="1" x14ac:dyDescent="0.3">
      <c r="A605" s="172">
        <v>44364</v>
      </c>
      <c r="B605" s="164">
        <v>94.71</v>
      </c>
      <c r="C605" s="164">
        <v>100.71</v>
      </c>
      <c r="F605" s="173">
        <v>44364</v>
      </c>
      <c r="G605" s="163">
        <v>158</v>
      </c>
      <c r="H605" s="163">
        <v>163</v>
      </c>
      <c r="K605" s="186">
        <v>44364</v>
      </c>
      <c r="L605" s="181">
        <v>160.41</v>
      </c>
      <c r="M605" s="184">
        <f t="shared" si="4"/>
        <v>1.5253164556962018E-2</v>
      </c>
    </row>
    <row r="606" spans="1:13" ht="15.75" thickBot="1" x14ac:dyDescent="0.3">
      <c r="A606" s="173">
        <v>44365</v>
      </c>
      <c r="B606" s="163">
        <v>94.71</v>
      </c>
      <c r="C606" s="163">
        <v>100.71</v>
      </c>
      <c r="F606" s="172">
        <v>44365</v>
      </c>
      <c r="G606" s="164">
        <v>159</v>
      </c>
      <c r="H606" s="164">
        <v>164</v>
      </c>
      <c r="K606" s="185">
        <v>44365</v>
      </c>
      <c r="L606" s="182">
        <v>159.84</v>
      </c>
      <c r="M606" s="184">
        <f t="shared" si="4"/>
        <v>5.2830188679244827E-3</v>
      </c>
    </row>
    <row r="607" spans="1:13" ht="15.75" thickBot="1" x14ac:dyDescent="0.3">
      <c r="A607" s="172">
        <v>44369</v>
      </c>
      <c r="B607" s="164">
        <v>94.69</v>
      </c>
      <c r="C607" s="164">
        <v>100.69</v>
      </c>
      <c r="F607" s="173">
        <v>44369</v>
      </c>
      <c r="G607" s="163">
        <v>160</v>
      </c>
      <c r="H607" s="163">
        <v>165</v>
      </c>
      <c r="K607" s="186">
        <v>44369</v>
      </c>
      <c r="L607" s="181">
        <v>160.63</v>
      </c>
      <c r="M607" s="184">
        <f t="shared" si="4"/>
        <v>3.9374999999999272E-3</v>
      </c>
    </row>
    <row r="608" spans="1:13" ht="15.75" thickBot="1" x14ac:dyDescent="0.3">
      <c r="A608" s="173">
        <v>44370</v>
      </c>
      <c r="B608" s="163">
        <v>94.89</v>
      </c>
      <c r="C608" s="163">
        <v>100.89</v>
      </c>
      <c r="F608" s="172">
        <v>44370</v>
      </c>
      <c r="G608" s="164">
        <v>161</v>
      </c>
      <c r="H608" s="164">
        <v>166</v>
      </c>
      <c r="K608" s="185">
        <v>44370</v>
      </c>
      <c r="L608" s="182">
        <v>160.91999999999999</v>
      </c>
      <c r="M608" s="184">
        <f t="shared" si="4"/>
        <v>-4.9689440993794243E-4</v>
      </c>
    </row>
    <row r="609" spans="1:13" ht="15.75" thickBot="1" x14ac:dyDescent="0.3">
      <c r="A609" s="172">
        <v>44371</v>
      </c>
      <c r="B609" s="164">
        <v>94.89</v>
      </c>
      <c r="C609" s="164">
        <v>100.89</v>
      </c>
      <c r="F609" s="173">
        <v>44371</v>
      </c>
      <c r="G609" s="163">
        <v>165</v>
      </c>
      <c r="H609" s="163">
        <v>170</v>
      </c>
      <c r="K609" s="186">
        <v>44371</v>
      </c>
      <c r="L609" s="181">
        <v>162.03</v>
      </c>
      <c r="M609" s="184">
        <f t="shared" si="4"/>
        <v>-1.8000000000000016E-2</v>
      </c>
    </row>
    <row r="610" spans="1:13" ht="15.75" thickBot="1" x14ac:dyDescent="0.3">
      <c r="A610" s="173">
        <v>44372</v>
      </c>
      <c r="B610" s="163">
        <v>94.99</v>
      </c>
      <c r="C610" s="163">
        <v>100.99</v>
      </c>
      <c r="F610" s="172">
        <v>44372</v>
      </c>
      <c r="G610" s="164">
        <v>169</v>
      </c>
      <c r="H610" s="164">
        <v>174</v>
      </c>
      <c r="K610" s="185">
        <v>44372</v>
      </c>
      <c r="L610" s="182">
        <v>163.53</v>
      </c>
      <c r="M610" s="184">
        <f t="shared" si="4"/>
        <v>-3.2366863905325394E-2</v>
      </c>
    </row>
    <row r="611" spans="1:13" ht="15.75" thickBot="1" x14ac:dyDescent="0.3">
      <c r="A611" s="172">
        <v>44375</v>
      </c>
      <c r="B611" s="164">
        <v>95.1</v>
      </c>
      <c r="C611" s="164">
        <v>101.1</v>
      </c>
      <c r="F611" s="173">
        <v>44375</v>
      </c>
      <c r="G611" s="163">
        <v>168</v>
      </c>
      <c r="H611" s="163">
        <v>173</v>
      </c>
      <c r="K611" s="186">
        <v>44375</v>
      </c>
      <c r="L611" s="181">
        <v>162.78</v>
      </c>
      <c r="M611" s="184">
        <f t="shared" si="4"/>
        <v>-3.1071428571428528E-2</v>
      </c>
    </row>
    <row r="612" spans="1:13" ht="15.75" thickBot="1" x14ac:dyDescent="0.3">
      <c r="A612" s="173">
        <v>44376</v>
      </c>
      <c r="B612" s="163">
        <v>95.14</v>
      </c>
      <c r="C612" s="163">
        <v>101.14</v>
      </c>
      <c r="F612" s="172">
        <v>44376</v>
      </c>
      <c r="G612" s="164">
        <v>165</v>
      </c>
      <c r="H612" s="164">
        <v>170</v>
      </c>
      <c r="K612" s="185">
        <v>44376</v>
      </c>
      <c r="L612" s="182">
        <v>163.75</v>
      </c>
      <c r="M612" s="184">
        <f t="shared" si="4"/>
        <v>-7.575757575757569E-3</v>
      </c>
    </row>
    <row r="613" spans="1:13" ht="15.75" thickBot="1" x14ac:dyDescent="0.3">
      <c r="A613" s="172">
        <v>44377</v>
      </c>
      <c r="B613" s="164">
        <v>95.17</v>
      </c>
      <c r="C613" s="164">
        <v>101.17</v>
      </c>
      <c r="F613" s="173">
        <v>44377</v>
      </c>
      <c r="G613" s="163">
        <v>163</v>
      </c>
      <c r="H613" s="163">
        <v>168</v>
      </c>
      <c r="K613" s="186">
        <v>44377</v>
      </c>
      <c r="L613" s="181">
        <v>163.57</v>
      </c>
      <c r="M613" s="184">
        <f t="shared" si="4"/>
        <v>3.4969325153373365E-3</v>
      </c>
    </row>
    <row r="614" spans="1:13" ht="15.75" thickBot="1" x14ac:dyDescent="0.3">
      <c r="A614" s="173">
        <v>44378</v>
      </c>
      <c r="B614" s="163">
        <v>95.23</v>
      </c>
      <c r="C614" s="163">
        <v>101.23</v>
      </c>
      <c r="F614" s="172">
        <v>44378</v>
      </c>
      <c r="G614" s="164">
        <v>164</v>
      </c>
      <c r="H614" s="164">
        <v>169</v>
      </c>
      <c r="K614" s="185">
        <v>44378</v>
      </c>
      <c r="L614" s="182">
        <v>165.77</v>
      </c>
      <c r="M614" s="184">
        <f t="shared" si="4"/>
        <v>1.0792682926829222E-2</v>
      </c>
    </row>
    <row r="615" spans="1:13" ht="15.75" thickBot="1" x14ac:dyDescent="0.3">
      <c r="A615" s="172">
        <v>44379</v>
      </c>
      <c r="B615" s="164">
        <v>95.19</v>
      </c>
      <c r="C615" s="164">
        <v>101.19</v>
      </c>
      <c r="F615" s="173">
        <v>44379</v>
      </c>
      <c r="G615" s="163">
        <v>165</v>
      </c>
      <c r="H615" s="163">
        <v>170</v>
      </c>
      <c r="K615" s="186">
        <v>44379</v>
      </c>
      <c r="L615" s="181">
        <v>166.35</v>
      </c>
      <c r="M615" s="184">
        <f t="shared" si="4"/>
        <v>8.181818181818068E-3</v>
      </c>
    </row>
    <row r="616" spans="1:13" ht="15.75" thickBot="1" x14ac:dyDescent="0.3">
      <c r="A616" s="173">
        <v>44382</v>
      </c>
      <c r="B616" s="163">
        <v>95.28</v>
      </c>
      <c r="C616" s="163">
        <v>101.28</v>
      </c>
      <c r="F616" s="172">
        <v>44382</v>
      </c>
      <c r="G616" s="164">
        <v>166</v>
      </c>
      <c r="H616" s="164">
        <v>171</v>
      </c>
      <c r="K616" s="185">
        <v>44382</v>
      </c>
      <c r="L616" s="182">
        <v>166.45</v>
      </c>
      <c r="M616" s="184">
        <f t="shared" si="4"/>
        <v>2.7108433734939208E-3</v>
      </c>
    </row>
    <row r="617" spans="1:13" ht="15.75" thickBot="1" x14ac:dyDescent="0.3">
      <c r="A617" s="172">
        <v>44383</v>
      </c>
      <c r="B617" s="164">
        <v>95.33</v>
      </c>
      <c r="C617" s="164">
        <v>101.33</v>
      </c>
      <c r="F617" s="173">
        <v>44383</v>
      </c>
      <c r="G617" s="163">
        <v>166</v>
      </c>
      <c r="H617" s="163">
        <v>171</v>
      </c>
      <c r="K617" s="186">
        <v>44383</v>
      </c>
      <c r="L617" s="181">
        <v>165.98</v>
      </c>
      <c r="M617" s="184">
        <f t="shared" si="4"/>
        <v>-1.2048192771085819E-4</v>
      </c>
    </row>
    <row r="618" spans="1:13" ht="15.75" thickBot="1" x14ac:dyDescent="0.3">
      <c r="A618" s="173">
        <v>44384</v>
      </c>
      <c r="B618" s="163">
        <v>95.34</v>
      </c>
      <c r="C618" s="163">
        <v>101.34</v>
      </c>
      <c r="F618" s="172">
        <v>44384</v>
      </c>
      <c r="G618" s="164">
        <v>167</v>
      </c>
      <c r="H618" s="164">
        <v>172</v>
      </c>
      <c r="K618" s="185">
        <v>44384</v>
      </c>
      <c r="L618" s="182">
        <v>166.2</v>
      </c>
      <c r="M618" s="184">
        <f t="shared" si="4"/>
        <v>-4.7904191616766623E-3</v>
      </c>
    </row>
    <row r="619" spans="1:13" ht="15.75" thickBot="1" x14ac:dyDescent="0.3">
      <c r="A619" s="173">
        <v>44385</v>
      </c>
      <c r="B619" s="163">
        <v>95.34</v>
      </c>
      <c r="C619" s="163">
        <v>101.34</v>
      </c>
      <c r="F619" s="173">
        <v>44385</v>
      </c>
      <c r="G619" s="163">
        <v>169</v>
      </c>
      <c r="H619" s="163">
        <v>174</v>
      </c>
      <c r="K619" s="186">
        <v>44385</v>
      </c>
      <c r="L619" s="181">
        <v>166.42</v>
      </c>
      <c r="M619" s="184">
        <f t="shared" si="4"/>
        <v>-1.5266272189349173E-2</v>
      </c>
    </row>
    <row r="620" spans="1:13" ht="15.75" thickBot="1" x14ac:dyDescent="0.3">
      <c r="A620" s="172">
        <v>44389</v>
      </c>
      <c r="B620" s="164">
        <v>95.42</v>
      </c>
      <c r="C620" s="164">
        <v>101.42</v>
      </c>
      <c r="F620" s="172">
        <v>44389</v>
      </c>
      <c r="G620" s="164">
        <v>172</v>
      </c>
      <c r="H620" s="164">
        <v>177</v>
      </c>
      <c r="K620" s="185">
        <v>44389</v>
      </c>
      <c r="L620" s="182">
        <v>166.05</v>
      </c>
      <c r="M620" s="184">
        <f t="shared" si="4"/>
        <v>-3.4593023255813926E-2</v>
      </c>
    </row>
    <row r="621" spans="1:13" ht="15.75" thickBot="1" x14ac:dyDescent="0.3">
      <c r="A621" s="173">
        <v>44390</v>
      </c>
      <c r="B621" s="163">
        <v>95.48</v>
      </c>
      <c r="C621" s="163">
        <v>101.48</v>
      </c>
      <c r="F621" s="173">
        <v>44390</v>
      </c>
      <c r="G621" s="163">
        <v>171</v>
      </c>
      <c r="H621" s="163">
        <v>176</v>
      </c>
      <c r="K621" s="186">
        <v>44390</v>
      </c>
      <c r="L621" s="181">
        <v>165.38</v>
      </c>
      <c r="M621" s="184">
        <f t="shared" si="4"/>
        <v>-3.2865497076023376E-2</v>
      </c>
    </row>
    <row r="622" spans="1:13" ht="15.75" thickBot="1" x14ac:dyDescent="0.3">
      <c r="A622" s="172">
        <v>44391</v>
      </c>
      <c r="B622" s="164">
        <v>95.63</v>
      </c>
      <c r="C622" s="164">
        <v>101.63</v>
      </c>
      <c r="F622" s="172">
        <v>44391</v>
      </c>
      <c r="G622" s="164">
        <v>172</v>
      </c>
      <c r="H622" s="164">
        <v>177</v>
      </c>
      <c r="K622" s="185">
        <v>44391</v>
      </c>
      <c r="L622" s="182">
        <v>165.29</v>
      </c>
      <c r="M622" s="184">
        <f t="shared" si="4"/>
        <v>-3.9011627906976765E-2</v>
      </c>
    </row>
    <row r="623" spans="1:13" ht="15.75" thickBot="1" x14ac:dyDescent="0.3">
      <c r="A623" s="173">
        <v>44392</v>
      </c>
      <c r="B623" s="163">
        <v>95.64</v>
      </c>
      <c r="C623" s="163">
        <v>101.64</v>
      </c>
      <c r="F623" s="173">
        <v>44392</v>
      </c>
      <c r="G623" s="163">
        <v>173</v>
      </c>
      <c r="H623" s="163">
        <v>178</v>
      </c>
      <c r="K623" s="186">
        <v>44392</v>
      </c>
      <c r="L623" s="181">
        <v>165.26</v>
      </c>
      <c r="M623" s="184">
        <f t="shared" si="4"/>
        <v>-4.4739884393063645E-2</v>
      </c>
    </row>
    <row r="624" spans="1:13" ht="15.75" thickBot="1" x14ac:dyDescent="0.3">
      <c r="A624" s="172">
        <v>44393</v>
      </c>
      <c r="B624" s="164">
        <v>95.65</v>
      </c>
      <c r="C624" s="164">
        <v>101.65</v>
      </c>
      <c r="F624" s="172">
        <v>44393</v>
      </c>
      <c r="G624" s="164">
        <v>174</v>
      </c>
      <c r="H624" s="164">
        <v>179</v>
      </c>
      <c r="K624" s="185">
        <v>44393</v>
      </c>
      <c r="L624" s="182">
        <v>165.5</v>
      </c>
      <c r="M624" s="184">
        <f t="shared" si="4"/>
        <v>-4.8850574712643646E-2</v>
      </c>
    </row>
    <row r="625" spans="1:13" ht="15.75" thickBot="1" x14ac:dyDescent="0.3">
      <c r="A625" s="173">
        <v>44396</v>
      </c>
      <c r="B625" s="163">
        <v>95.72</v>
      </c>
      <c r="C625" s="163">
        <v>101.72</v>
      </c>
      <c r="F625" s="173">
        <v>44396</v>
      </c>
      <c r="G625" s="163">
        <v>175</v>
      </c>
      <c r="H625" s="163">
        <v>180</v>
      </c>
      <c r="K625" s="186">
        <v>44396</v>
      </c>
      <c r="L625" s="181">
        <v>165.79</v>
      </c>
      <c r="M625" s="184">
        <f t="shared" ref="M625:M688" si="5">+L625/G625-1</f>
        <v>-5.2628571428571469E-2</v>
      </c>
    </row>
    <row r="626" spans="1:13" ht="15.75" thickBot="1" x14ac:dyDescent="0.3">
      <c r="A626" s="172">
        <v>44397</v>
      </c>
      <c r="B626" s="164">
        <v>95.75</v>
      </c>
      <c r="C626" s="164">
        <v>101.75</v>
      </c>
      <c r="F626" s="172">
        <v>44397</v>
      </c>
      <c r="G626" s="164">
        <v>177</v>
      </c>
      <c r="H626" s="164">
        <v>182</v>
      </c>
      <c r="K626" s="185">
        <v>44397</v>
      </c>
      <c r="L626" s="182">
        <v>166.07</v>
      </c>
      <c r="M626" s="184">
        <f t="shared" si="5"/>
        <v>-6.1751412429378538E-2</v>
      </c>
    </row>
    <row r="627" spans="1:13" ht="15.75" thickBot="1" x14ac:dyDescent="0.3">
      <c r="A627" s="173">
        <v>44398</v>
      </c>
      <c r="B627" s="163">
        <v>95.76</v>
      </c>
      <c r="C627" s="163">
        <v>101.76</v>
      </c>
      <c r="F627" s="173">
        <v>44398</v>
      </c>
      <c r="G627" s="163">
        <v>177.5</v>
      </c>
      <c r="H627" s="163">
        <v>182.5</v>
      </c>
      <c r="K627" s="186">
        <v>44398</v>
      </c>
      <c r="L627" s="181">
        <v>166.3</v>
      </c>
      <c r="M627" s="184">
        <f t="shared" si="5"/>
        <v>-6.3098591549295757E-2</v>
      </c>
    </row>
    <row r="628" spans="1:13" ht="15.75" thickBot="1" x14ac:dyDescent="0.3">
      <c r="A628" s="172">
        <v>44399</v>
      </c>
      <c r="B628" s="164">
        <v>95.69</v>
      </c>
      <c r="C628" s="164">
        <v>101.69</v>
      </c>
      <c r="F628" s="172">
        <v>44399</v>
      </c>
      <c r="G628" s="164">
        <v>179.5</v>
      </c>
      <c r="H628" s="164">
        <v>184.5</v>
      </c>
      <c r="K628" s="185">
        <v>44399</v>
      </c>
      <c r="L628" s="182">
        <v>166.39</v>
      </c>
      <c r="M628" s="184">
        <f t="shared" si="5"/>
        <v>-7.3036211699164411E-2</v>
      </c>
    </row>
    <row r="629" spans="1:13" ht="15.75" thickBot="1" x14ac:dyDescent="0.3">
      <c r="A629" s="173">
        <v>44400</v>
      </c>
      <c r="B629" s="163">
        <v>95.75</v>
      </c>
      <c r="C629" s="163">
        <v>101.75</v>
      </c>
      <c r="F629" s="172">
        <v>44400</v>
      </c>
      <c r="G629" s="164">
        <v>180</v>
      </c>
      <c r="H629" s="164">
        <v>185</v>
      </c>
      <c r="K629" s="185">
        <v>44400</v>
      </c>
      <c r="L629" s="182">
        <v>166.48</v>
      </c>
      <c r="M629" s="184">
        <f t="shared" si="5"/>
        <v>-7.5111111111111128E-2</v>
      </c>
    </row>
    <row r="630" spans="1:13" ht="15.75" thickBot="1" x14ac:dyDescent="0.3">
      <c r="A630" s="172">
        <v>44403</v>
      </c>
      <c r="B630" s="164">
        <v>95.77</v>
      </c>
      <c r="C630" s="164">
        <v>101.82</v>
      </c>
      <c r="F630" s="172">
        <v>44403</v>
      </c>
      <c r="G630" s="164">
        <v>179</v>
      </c>
      <c r="H630" s="164">
        <v>184</v>
      </c>
      <c r="K630" s="185">
        <v>44403</v>
      </c>
      <c r="L630" s="182">
        <v>166.81</v>
      </c>
      <c r="M630" s="184">
        <f t="shared" si="5"/>
        <v>-6.8100558659217825E-2</v>
      </c>
    </row>
    <row r="631" spans="1:13" ht="15.75" thickBot="1" x14ac:dyDescent="0.3">
      <c r="A631" s="173">
        <v>44404</v>
      </c>
      <c r="B631" s="163">
        <v>95.95</v>
      </c>
      <c r="C631" s="163">
        <v>101.95</v>
      </c>
      <c r="F631" s="173">
        <v>44404</v>
      </c>
      <c r="G631" s="163">
        <v>178</v>
      </c>
      <c r="H631" s="163">
        <v>183</v>
      </c>
      <c r="K631" s="186">
        <v>44404</v>
      </c>
      <c r="L631" s="181">
        <v>167.36</v>
      </c>
      <c r="M631" s="184">
        <f t="shared" si="5"/>
        <v>-5.9775280898876293E-2</v>
      </c>
    </row>
    <row r="632" spans="1:13" ht="15.75" thickBot="1" x14ac:dyDescent="0.3">
      <c r="A632" s="173">
        <v>44405</v>
      </c>
      <c r="B632" s="163">
        <v>96</v>
      </c>
      <c r="C632" s="163">
        <v>102</v>
      </c>
      <c r="F632" s="172">
        <v>44405</v>
      </c>
      <c r="G632" s="164">
        <v>175</v>
      </c>
      <c r="H632" s="164">
        <v>180</v>
      </c>
      <c r="K632" s="185">
        <v>44405</v>
      </c>
      <c r="L632" s="182">
        <v>167.9</v>
      </c>
      <c r="M632" s="184">
        <f t="shared" si="5"/>
        <v>-4.0571428571428592E-2</v>
      </c>
    </row>
    <row r="633" spans="1:13" ht="15.75" thickBot="1" x14ac:dyDescent="0.3">
      <c r="A633" s="172">
        <v>44406</v>
      </c>
      <c r="B633" s="164">
        <v>95.99</v>
      </c>
      <c r="C633" s="164">
        <v>101.99</v>
      </c>
      <c r="F633" s="173">
        <v>44406</v>
      </c>
      <c r="G633" s="163">
        <v>175</v>
      </c>
      <c r="H633" s="163">
        <v>180</v>
      </c>
      <c r="K633" s="186">
        <v>44406</v>
      </c>
      <c r="L633" s="181">
        <v>167.9</v>
      </c>
      <c r="M633" s="184">
        <f t="shared" si="5"/>
        <v>-4.0571428571428592E-2</v>
      </c>
    </row>
    <row r="634" spans="1:13" ht="15.75" thickBot="1" x14ac:dyDescent="0.3">
      <c r="A634" s="173">
        <v>44407</v>
      </c>
      <c r="B634" s="163">
        <v>96.06</v>
      </c>
      <c r="C634" s="163">
        <v>102.06</v>
      </c>
      <c r="F634" s="172">
        <v>44407</v>
      </c>
      <c r="G634" s="164">
        <v>175.5</v>
      </c>
      <c r="H634" s="164">
        <v>180.5</v>
      </c>
      <c r="K634" s="185">
        <v>44407</v>
      </c>
      <c r="L634" s="182">
        <v>168.19</v>
      </c>
      <c r="M634" s="184">
        <f t="shared" si="5"/>
        <v>-4.1652421652421667E-2</v>
      </c>
    </row>
    <row r="635" spans="1:13" ht="15.75" thickBot="1" x14ac:dyDescent="0.3">
      <c r="A635" s="172">
        <v>44410</v>
      </c>
      <c r="B635" s="164">
        <v>96.12</v>
      </c>
      <c r="C635" s="164">
        <v>102.12</v>
      </c>
      <c r="F635" s="172">
        <v>44410</v>
      </c>
      <c r="G635" s="164">
        <v>175.5</v>
      </c>
      <c r="H635" s="164">
        <v>180.5</v>
      </c>
      <c r="K635" s="185">
        <v>44410</v>
      </c>
      <c r="L635" s="182">
        <v>168.67</v>
      </c>
      <c r="M635" s="184">
        <f t="shared" si="5"/>
        <v>-3.8917378917379009E-2</v>
      </c>
    </row>
    <row r="636" spans="1:13" ht="15.75" thickBot="1" x14ac:dyDescent="0.3">
      <c r="A636" s="173">
        <v>44411</v>
      </c>
      <c r="B636" s="163">
        <v>96.18</v>
      </c>
      <c r="C636" s="163">
        <v>102.18</v>
      </c>
      <c r="F636" s="173">
        <v>44411</v>
      </c>
      <c r="G636" s="163">
        <v>175.5</v>
      </c>
      <c r="H636" s="163">
        <v>180.5</v>
      </c>
      <c r="K636" s="186">
        <v>44411</v>
      </c>
      <c r="L636" s="181">
        <v>169.57</v>
      </c>
      <c r="M636" s="184">
        <f t="shared" si="5"/>
        <v>-3.3789173789173788E-2</v>
      </c>
    </row>
    <row r="637" spans="1:13" ht="15.75" thickBot="1" x14ac:dyDescent="0.3">
      <c r="A637" s="172">
        <v>44412</v>
      </c>
      <c r="B637" s="164">
        <v>96.25</v>
      </c>
      <c r="C637" s="164">
        <v>102.25</v>
      </c>
      <c r="F637" s="173">
        <v>44412</v>
      </c>
      <c r="G637" s="163">
        <v>175.5</v>
      </c>
      <c r="H637" s="163">
        <v>180.5</v>
      </c>
      <c r="K637" s="186">
        <v>44412</v>
      </c>
      <c r="L637" s="181">
        <v>169.73</v>
      </c>
      <c r="M637" s="184">
        <f t="shared" si="5"/>
        <v>-3.2877492877492975E-2</v>
      </c>
    </row>
    <row r="638" spans="1:13" ht="15.75" thickBot="1" x14ac:dyDescent="0.3">
      <c r="A638" s="173">
        <v>44413</v>
      </c>
      <c r="B638" s="163">
        <v>96.28</v>
      </c>
      <c r="C638" s="163">
        <v>102.28</v>
      </c>
      <c r="F638" s="172">
        <v>44413</v>
      </c>
      <c r="G638" s="164">
        <v>174.5</v>
      </c>
      <c r="H638" s="164">
        <v>179.5</v>
      </c>
      <c r="K638" s="185">
        <v>44413</v>
      </c>
      <c r="L638" s="182">
        <v>169.93</v>
      </c>
      <c r="M638" s="184">
        <f t="shared" si="5"/>
        <v>-2.618911174785099E-2</v>
      </c>
    </row>
    <row r="639" spans="1:13" ht="15.75" thickBot="1" x14ac:dyDescent="0.3">
      <c r="A639" s="172">
        <v>44414</v>
      </c>
      <c r="B639" s="164">
        <v>96.3</v>
      </c>
      <c r="C639" s="164">
        <v>102.3</v>
      </c>
      <c r="F639" s="173">
        <v>44414</v>
      </c>
      <c r="G639" s="163">
        <v>173.5</v>
      </c>
      <c r="H639" s="163">
        <v>178.5</v>
      </c>
      <c r="K639" s="186">
        <v>44414</v>
      </c>
      <c r="L639" s="181">
        <v>170.09</v>
      </c>
      <c r="M639" s="184">
        <f t="shared" si="5"/>
        <v>-1.9654178674351597E-2</v>
      </c>
    </row>
    <row r="640" spans="1:13" ht="15.75" thickBot="1" x14ac:dyDescent="0.3">
      <c r="A640" s="173">
        <v>44417</v>
      </c>
      <c r="B640" s="163">
        <v>96.33</v>
      </c>
      <c r="C640" s="163">
        <v>102.33</v>
      </c>
      <c r="F640" s="172">
        <v>44417</v>
      </c>
      <c r="G640" s="164">
        <v>174</v>
      </c>
      <c r="H640" s="164">
        <v>179</v>
      </c>
      <c r="K640" s="185">
        <v>44417</v>
      </c>
      <c r="L640" s="182">
        <v>169.94</v>
      </c>
      <c r="M640" s="184">
        <f t="shared" si="5"/>
        <v>-2.3333333333333317E-2</v>
      </c>
    </row>
    <row r="641" spans="1:13" ht="15.75" thickBot="1" x14ac:dyDescent="0.3">
      <c r="A641" s="172">
        <v>44418</v>
      </c>
      <c r="B641" s="164">
        <v>96.34</v>
      </c>
      <c r="C641" s="164">
        <v>102.34</v>
      </c>
      <c r="F641" s="173">
        <v>44418</v>
      </c>
      <c r="G641" s="163">
        <v>173</v>
      </c>
      <c r="H641" s="163">
        <v>178</v>
      </c>
      <c r="K641" s="186">
        <v>44418</v>
      </c>
      <c r="L641" s="181">
        <v>169.87</v>
      </c>
      <c r="M641" s="184">
        <f t="shared" si="5"/>
        <v>-1.8092485549132897E-2</v>
      </c>
    </row>
    <row r="642" spans="1:13" ht="15.75" thickBot="1" x14ac:dyDescent="0.3">
      <c r="A642" s="173">
        <v>44419</v>
      </c>
      <c r="B642" s="163">
        <v>96.34</v>
      </c>
      <c r="C642" s="163">
        <v>102.34</v>
      </c>
      <c r="F642" s="172">
        <v>44419</v>
      </c>
      <c r="G642" s="164">
        <v>173</v>
      </c>
      <c r="H642" s="164">
        <v>178</v>
      </c>
      <c r="K642" s="185">
        <v>44419</v>
      </c>
      <c r="L642" s="182">
        <v>170.03</v>
      </c>
      <c r="M642" s="184">
        <f t="shared" si="5"/>
        <v>-1.7167630057803418E-2</v>
      </c>
    </row>
    <row r="643" spans="1:13" ht="15.75" thickBot="1" x14ac:dyDescent="0.3">
      <c r="A643" s="172">
        <v>44420</v>
      </c>
      <c r="B643" s="164">
        <v>96.36</v>
      </c>
      <c r="C643" s="164">
        <v>102.36</v>
      </c>
      <c r="F643" s="173">
        <v>44420</v>
      </c>
      <c r="G643" s="163">
        <v>173.5</v>
      </c>
      <c r="H643" s="163">
        <v>178.5</v>
      </c>
      <c r="K643" s="186">
        <v>44420</v>
      </c>
      <c r="L643" s="181">
        <v>169.62</v>
      </c>
      <c r="M643" s="184">
        <f t="shared" si="5"/>
        <v>-2.2363112391930784E-2</v>
      </c>
    </row>
    <row r="644" spans="1:13" ht="15.75" thickBot="1" x14ac:dyDescent="0.3">
      <c r="A644" s="173">
        <v>44421</v>
      </c>
      <c r="B644" s="163">
        <v>96.53</v>
      </c>
      <c r="C644" s="163">
        <v>102.53</v>
      </c>
      <c r="F644" s="172">
        <v>44421</v>
      </c>
      <c r="G644" s="164">
        <v>177</v>
      </c>
      <c r="H644" s="164">
        <v>182</v>
      </c>
      <c r="K644" s="185">
        <v>44421</v>
      </c>
      <c r="L644" s="182">
        <v>169.45</v>
      </c>
      <c r="M644" s="184">
        <f t="shared" si="5"/>
        <v>-4.265536723163843E-2</v>
      </c>
    </row>
    <row r="645" spans="1:13" ht="15.75" thickBot="1" x14ac:dyDescent="0.3">
      <c r="A645" s="172">
        <v>44425</v>
      </c>
      <c r="B645" s="164">
        <v>96.57</v>
      </c>
      <c r="C645" s="164">
        <v>102.57</v>
      </c>
      <c r="F645" s="173">
        <v>44425</v>
      </c>
      <c r="G645" s="163">
        <v>178</v>
      </c>
      <c r="H645" s="163">
        <v>183</v>
      </c>
      <c r="K645" s="186">
        <v>44425</v>
      </c>
      <c r="L645" s="181">
        <v>169.41</v>
      </c>
      <c r="M645" s="184">
        <f t="shared" si="5"/>
        <v>-4.8258426966292123E-2</v>
      </c>
    </row>
    <row r="646" spans="1:13" ht="15.75" thickBot="1" x14ac:dyDescent="0.3">
      <c r="A646" s="173">
        <v>44426</v>
      </c>
      <c r="B646" s="163">
        <v>96.57</v>
      </c>
      <c r="C646" s="163">
        <v>102.57</v>
      </c>
      <c r="F646" s="172">
        <v>44426</v>
      </c>
      <c r="G646" s="164">
        <v>177</v>
      </c>
      <c r="H646" s="164">
        <v>182</v>
      </c>
      <c r="K646" s="185">
        <v>44426</v>
      </c>
      <c r="L646" s="182">
        <v>169.39</v>
      </c>
      <c r="M646" s="184">
        <f t="shared" si="5"/>
        <v>-4.2994350282485994E-2</v>
      </c>
    </row>
    <row r="647" spans="1:13" ht="15.75" thickBot="1" x14ac:dyDescent="0.3">
      <c r="A647" s="172">
        <v>44427</v>
      </c>
      <c r="B647" s="164">
        <v>96.61</v>
      </c>
      <c r="C647" s="164">
        <v>102.61</v>
      </c>
      <c r="F647" s="173">
        <v>44427</v>
      </c>
      <c r="G647" s="163">
        <v>176.5</v>
      </c>
      <c r="H647" s="163">
        <v>181.5</v>
      </c>
      <c r="K647" s="186">
        <v>44427</v>
      </c>
      <c r="L647" s="181">
        <v>169.36</v>
      </c>
      <c r="M647" s="184">
        <f t="shared" si="5"/>
        <v>-4.0453257790368236E-2</v>
      </c>
    </row>
    <row r="648" spans="1:13" ht="15.75" thickBot="1" x14ac:dyDescent="0.3">
      <c r="A648" s="173">
        <v>44428</v>
      </c>
      <c r="B648" s="163">
        <v>96.64</v>
      </c>
      <c r="C648" s="163">
        <v>102.64</v>
      </c>
      <c r="F648" s="172">
        <v>44428</v>
      </c>
      <c r="G648" s="164">
        <v>177</v>
      </c>
      <c r="H648" s="164">
        <v>182</v>
      </c>
      <c r="K648" s="185">
        <v>44428</v>
      </c>
      <c r="L648" s="182">
        <v>169.32</v>
      </c>
      <c r="M648" s="184">
        <f t="shared" si="5"/>
        <v>-4.3389830508474669E-2</v>
      </c>
    </row>
    <row r="649" spans="1:13" ht="15.75" thickBot="1" x14ac:dyDescent="0.3">
      <c r="A649" s="172">
        <v>44431</v>
      </c>
      <c r="B649" s="164">
        <v>96.76</v>
      </c>
      <c r="C649" s="164">
        <v>102.76</v>
      </c>
      <c r="F649" s="173">
        <v>44431</v>
      </c>
      <c r="G649" s="163">
        <v>177</v>
      </c>
      <c r="H649" s="163">
        <v>182</v>
      </c>
      <c r="K649" s="186">
        <v>44431</v>
      </c>
      <c r="L649" s="181">
        <v>169.46</v>
      </c>
      <c r="M649" s="184">
        <f t="shared" si="5"/>
        <v>-4.2598870056497096E-2</v>
      </c>
    </row>
    <row r="650" spans="1:13" ht="15.75" thickBot="1" x14ac:dyDescent="0.3">
      <c r="A650" s="173">
        <v>44432</v>
      </c>
      <c r="B650" s="163">
        <v>96.79</v>
      </c>
      <c r="C650" s="163">
        <v>102.79</v>
      </c>
      <c r="F650" s="172">
        <v>44432</v>
      </c>
      <c r="G650" s="164">
        <v>177</v>
      </c>
      <c r="H650" s="164">
        <v>182</v>
      </c>
      <c r="K650" s="185">
        <v>44432</v>
      </c>
      <c r="L650" s="182">
        <v>169.43</v>
      </c>
      <c r="M650" s="184">
        <f t="shared" si="5"/>
        <v>-4.2768361581920877E-2</v>
      </c>
    </row>
    <row r="651" spans="1:13" ht="15.75" thickBot="1" x14ac:dyDescent="0.3">
      <c r="A651" s="172">
        <v>44433</v>
      </c>
      <c r="B651" s="164">
        <v>96.79</v>
      </c>
      <c r="C651" s="164">
        <v>102.79</v>
      </c>
      <c r="F651" s="173">
        <v>44433</v>
      </c>
      <c r="G651" s="163">
        <v>176.5</v>
      </c>
      <c r="H651" s="163">
        <v>181.5</v>
      </c>
      <c r="K651" s="186">
        <v>44433</v>
      </c>
      <c r="L651" s="181">
        <v>169.66</v>
      </c>
      <c r="M651" s="184">
        <f t="shared" si="5"/>
        <v>-3.8753541076487319E-2</v>
      </c>
    </row>
    <row r="652" spans="1:13" ht="15.75" thickBot="1" x14ac:dyDescent="0.3">
      <c r="A652" s="173">
        <v>44434</v>
      </c>
      <c r="B652" s="163">
        <v>96.97</v>
      </c>
      <c r="C652" s="163">
        <v>102.97</v>
      </c>
      <c r="F652" s="172">
        <v>44434</v>
      </c>
      <c r="G652" s="164">
        <v>176.5</v>
      </c>
      <c r="H652" s="164">
        <v>181.5</v>
      </c>
      <c r="K652" s="185">
        <v>44434</v>
      </c>
      <c r="L652" s="182">
        <v>169.96</v>
      </c>
      <c r="M652" s="184">
        <f t="shared" si="5"/>
        <v>-3.705382436260618E-2</v>
      </c>
    </row>
    <row r="653" spans="1:13" ht="15.75" thickBot="1" x14ac:dyDescent="0.3">
      <c r="A653" s="172">
        <v>44435</v>
      </c>
      <c r="B653" s="164">
        <v>96.97</v>
      </c>
      <c r="C653" s="164">
        <v>102.97</v>
      </c>
      <c r="F653" s="173">
        <v>44435</v>
      </c>
      <c r="G653" s="163">
        <v>177</v>
      </c>
      <c r="H653" s="163">
        <v>182</v>
      </c>
      <c r="K653" s="186">
        <v>44435</v>
      </c>
      <c r="L653" s="181">
        <v>169.97</v>
      </c>
      <c r="M653" s="184">
        <f t="shared" si="5"/>
        <v>-3.9717514124293807E-2</v>
      </c>
    </row>
    <row r="654" spans="1:13" ht="15.75" thickBot="1" x14ac:dyDescent="0.3">
      <c r="A654" s="173">
        <v>44438</v>
      </c>
      <c r="B654" s="163">
        <v>97.11</v>
      </c>
      <c r="C654" s="163">
        <v>103.11</v>
      </c>
      <c r="F654" s="172">
        <v>44438</v>
      </c>
      <c r="G654" s="164">
        <v>177</v>
      </c>
      <c r="H654" s="164">
        <v>182</v>
      </c>
      <c r="K654" s="185">
        <v>44438</v>
      </c>
      <c r="L654" s="182">
        <v>169.98</v>
      </c>
      <c r="M654" s="184">
        <f t="shared" si="5"/>
        <v>-3.9661016949152583E-2</v>
      </c>
    </row>
    <row r="655" spans="1:13" ht="15.75" thickBot="1" x14ac:dyDescent="0.3">
      <c r="A655" s="172">
        <v>44439</v>
      </c>
      <c r="B655" s="164">
        <v>97.14</v>
      </c>
      <c r="C655" s="164">
        <v>103.14</v>
      </c>
      <c r="F655" s="173">
        <v>44439</v>
      </c>
      <c r="G655" s="163">
        <v>176.5</v>
      </c>
      <c r="H655" s="163">
        <v>181.5</v>
      </c>
      <c r="K655" s="186">
        <v>44439</v>
      </c>
      <c r="L655" s="181">
        <v>170.26</v>
      </c>
      <c r="M655" s="184">
        <f t="shared" si="5"/>
        <v>-3.5354107648725264E-2</v>
      </c>
    </row>
    <row r="656" spans="1:13" ht="15.75" thickBot="1" x14ac:dyDescent="0.3">
      <c r="A656" s="173">
        <v>44440</v>
      </c>
      <c r="B656" s="163">
        <v>97.22</v>
      </c>
      <c r="C656" s="163">
        <v>103.22</v>
      </c>
      <c r="F656" s="172">
        <v>44440</v>
      </c>
      <c r="G656" s="164">
        <v>175.5</v>
      </c>
      <c r="H656" s="164">
        <v>180.5</v>
      </c>
      <c r="K656" s="185">
        <v>44440</v>
      </c>
      <c r="L656" s="182">
        <v>170.42</v>
      </c>
      <c r="M656" s="184">
        <f t="shared" si="5"/>
        <v>-2.8945868945869035E-2</v>
      </c>
    </row>
    <row r="657" spans="1:13" ht="15.75" thickBot="1" x14ac:dyDescent="0.3">
      <c r="A657" s="172">
        <v>44441</v>
      </c>
      <c r="B657" s="164">
        <v>97.31</v>
      </c>
      <c r="C657" s="164">
        <v>103.31</v>
      </c>
      <c r="F657" s="173">
        <v>44441</v>
      </c>
      <c r="G657" s="163">
        <v>176</v>
      </c>
      <c r="H657" s="163">
        <v>181</v>
      </c>
      <c r="K657" s="186">
        <v>44441</v>
      </c>
      <c r="L657" s="181">
        <v>170.58</v>
      </c>
      <c r="M657" s="184">
        <f t="shared" si="5"/>
        <v>-3.0795454545454515E-2</v>
      </c>
    </row>
    <row r="658" spans="1:13" ht="15.75" thickBot="1" x14ac:dyDescent="0.3">
      <c r="A658" s="173">
        <v>44442</v>
      </c>
      <c r="B658" s="163">
        <v>97.33</v>
      </c>
      <c r="C658" s="163">
        <v>103.33</v>
      </c>
      <c r="F658" s="172">
        <v>44442</v>
      </c>
      <c r="G658" s="164">
        <v>177</v>
      </c>
      <c r="H658" s="164">
        <v>182</v>
      </c>
      <c r="K658" s="185">
        <v>44442</v>
      </c>
      <c r="L658" s="182">
        <v>170.58</v>
      </c>
      <c r="M658" s="184">
        <f t="shared" si="5"/>
        <v>-3.6271186440677949E-2</v>
      </c>
    </row>
    <row r="659" spans="1:13" ht="15.75" thickBot="1" x14ac:dyDescent="0.3">
      <c r="A659" s="172">
        <v>44445</v>
      </c>
      <c r="B659" s="164">
        <v>97.45</v>
      </c>
      <c r="C659" s="164">
        <v>103.45</v>
      </c>
      <c r="F659" s="173">
        <v>44445</v>
      </c>
      <c r="G659" s="163">
        <v>178</v>
      </c>
      <c r="H659" s="163">
        <v>182</v>
      </c>
      <c r="K659" s="186">
        <v>44445</v>
      </c>
      <c r="L659" s="181">
        <v>170.82</v>
      </c>
      <c r="M659" s="184">
        <f t="shared" si="5"/>
        <v>-4.0337078651685454E-2</v>
      </c>
    </row>
    <row r="660" spans="1:13" ht="15.75" thickBot="1" x14ac:dyDescent="0.3">
      <c r="A660" s="173">
        <v>44446</v>
      </c>
      <c r="B660" s="163">
        <v>97.42</v>
      </c>
      <c r="C660" s="163">
        <v>103.42</v>
      </c>
      <c r="F660" s="172">
        <v>44446</v>
      </c>
      <c r="G660" s="164">
        <v>179.5</v>
      </c>
      <c r="H660" s="164">
        <v>183.5</v>
      </c>
      <c r="K660" s="185">
        <v>44446</v>
      </c>
      <c r="L660" s="182">
        <v>171.2</v>
      </c>
      <c r="M660" s="184">
        <f t="shared" si="5"/>
        <v>-4.6239554317548781E-2</v>
      </c>
    </row>
    <row r="661" spans="1:13" ht="15.75" thickBot="1" x14ac:dyDescent="0.3">
      <c r="A661" s="172">
        <v>44447</v>
      </c>
      <c r="B661" s="164">
        <v>97.53</v>
      </c>
      <c r="C661" s="164">
        <v>103.53</v>
      </c>
      <c r="F661" s="173">
        <v>44447</v>
      </c>
      <c r="G661" s="163">
        <v>183</v>
      </c>
      <c r="H661" s="163">
        <v>187</v>
      </c>
      <c r="K661" s="186">
        <v>44447</v>
      </c>
      <c r="L661" s="181">
        <v>170.68</v>
      </c>
      <c r="M661" s="184">
        <f t="shared" si="5"/>
        <v>-6.7322404371584654E-2</v>
      </c>
    </row>
    <row r="662" spans="1:13" ht="15.75" thickBot="1" x14ac:dyDescent="0.3">
      <c r="A662" s="173">
        <v>44448</v>
      </c>
      <c r="B662" s="163">
        <v>97.54</v>
      </c>
      <c r="C662" s="163">
        <v>103.54</v>
      </c>
      <c r="F662" s="172">
        <v>44448</v>
      </c>
      <c r="G662" s="164">
        <v>182.5</v>
      </c>
      <c r="H662" s="164">
        <v>186.5</v>
      </c>
      <c r="K662" s="185">
        <v>44448</v>
      </c>
      <c r="L662" s="182">
        <v>170.67</v>
      </c>
      <c r="M662" s="184">
        <f t="shared" si="5"/>
        <v>-6.482191780821922E-2</v>
      </c>
    </row>
    <row r="663" spans="1:13" ht="15.75" thickBot="1" x14ac:dyDescent="0.3">
      <c r="A663" s="172">
        <v>44449</v>
      </c>
      <c r="B663" s="164">
        <v>97.56</v>
      </c>
      <c r="C663" s="164">
        <v>103.56</v>
      </c>
      <c r="F663" s="173">
        <v>44449</v>
      </c>
      <c r="G663" s="163">
        <v>181</v>
      </c>
      <c r="H663" s="163">
        <v>185</v>
      </c>
      <c r="K663" s="186">
        <v>44449</v>
      </c>
      <c r="L663" s="181">
        <v>170.65</v>
      </c>
      <c r="M663" s="184">
        <f t="shared" si="5"/>
        <v>-5.7182320441988899E-2</v>
      </c>
    </row>
    <row r="664" spans="1:13" ht="15.75" thickBot="1" x14ac:dyDescent="0.3">
      <c r="A664" s="173">
        <v>44452</v>
      </c>
      <c r="B664" s="163">
        <v>97.62</v>
      </c>
      <c r="C664" s="163">
        <v>103.62</v>
      </c>
      <c r="F664" s="172">
        <v>44452</v>
      </c>
      <c r="G664" s="164">
        <v>177</v>
      </c>
      <c r="H664" s="164">
        <v>181</v>
      </c>
      <c r="K664" s="185">
        <v>44452</v>
      </c>
      <c r="L664" s="182">
        <v>171.04</v>
      </c>
      <c r="M664" s="184">
        <f t="shared" si="5"/>
        <v>-3.3672316384180889E-2</v>
      </c>
    </row>
    <row r="665" spans="1:13" ht="15.75" thickBot="1" x14ac:dyDescent="0.3">
      <c r="A665" s="172">
        <v>44453</v>
      </c>
      <c r="B665" s="164">
        <v>97.62</v>
      </c>
      <c r="C665" s="164">
        <v>103.62</v>
      </c>
      <c r="F665" s="173">
        <v>44453</v>
      </c>
      <c r="G665" s="163">
        <v>178.5</v>
      </c>
      <c r="H665" s="163">
        <v>182.5</v>
      </c>
      <c r="K665" s="186">
        <v>44453</v>
      </c>
      <c r="L665" s="181">
        <v>171.44</v>
      </c>
      <c r="M665" s="184">
        <f t="shared" si="5"/>
        <v>-3.9551820728291331E-2</v>
      </c>
    </row>
    <row r="666" spans="1:13" ht="15.75" thickBot="1" x14ac:dyDescent="0.3">
      <c r="A666" s="173">
        <v>44454</v>
      </c>
      <c r="B666" s="163">
        <v>97.65</v>
      </c>
      <c r="C666" s="163">
        <v>103.71</v>
      </c>
      <c r="F666" s="172">
        <v>44454</v>
      </c>
      <c r="G666" s="164">
        <v>181</v>
      </c>
      <c r="H666" s="164">
        <v>185</v>
      </c>
      <c r="K666" s="185">
        <v>44454</v>
      </c>
      <c r="L666" s="182">
        <v>171.83</v>
      </c>
      <c r="M666" s="184">
        <f t="shared" si="5"/>
        <v>-5.066298342541431E-2</v>
      </c>
    </row>
    <row r="667" spans="1:13" ht="15.75" thickBot="1" x14ac:dyDescent="0.3">
      <c r="A667" s="173">
        <v>44455</v>
      </c>
      <c r="B667" s="163">
        <v>97.65</v>
      </c>
      <c r="C667" s="163">
        <v>103.65</v>
      </c>
      <c r="F667" s="173">
        <v>44455</v>
      </c>
      <c r="G667" s="163">
        <v>182</v>
      </c>
      <c r="H667" s="163">
        <v>186</v>
      </c>
      <c r="K667" s="186">
        <v>44455</v>
      </c>
      <c r="L667" s="181">
        <v>172.32</v>
      </c>
      <c r="M667" s="184">
        <f t="shared" si="5"/>
        <v>-5.3186813186813175E-2</v>
      </c>
    </row>
    <row r="668" spans="1:13" ht="15.75" thickBot="1" x14ac:dyDescent="0.3">
      <c r="A668" s="172">
        <v>44456</v>
      </c>
      <c r="B668" s="164">
        <v>97.77</v>
      </c>
      <c r="C668" s="164">
        <v>103.77</v>
      </c>
      <c r="F668" s="172">
        <v>44456</v>
      </c>
      <c r="G668" s="164">
        <v>181</v>
      </c>
      <c r="H668" s="164">
        <v>185</v>
      </c>
      <c r="K668" s="185">
        <v>44456</v>
      </c>
      <c r="L668" s="182">
        <v>172.44</v>
      </c>
      <c r="M668" s="184">
        <f t="shared" si="5"/>
        <v>-4.7292817679558063E-2</v>
      </c>
    </row>
    <row r="669" spans="1:13" ht="15.75" thickBot="1" x14ac:dyDescent="0.3">
      <c r="A669" s="173">
        <v>44459</v>
      </c>
      <c r="B669" s="163">
        <v>98.09</v>
      </c>
      <c r="C669" s="163">
        <v>104.09</v>
      </c>
      <c r="F669" s="173">
        <v>44459</v>
      </c>
      <c r="G669" s="163">
        <v>180</v>
      </c>
      <c r="H669" s="163">
        <v>184</v>
      </c>
      <c r="K669" s="186">
        <v>44459</v>
      </c>
      <c r="L669" s="181">
        <v>172.68</v>
      </c>
      <c r="M669" s="184">
        <f t="shared" si="5"/>
        <v>-4.0666666666666629E-2</v>
      </c>
    </row>
    <row r="670" spans="1:13" ht="15.75" thickBot="1" x14ac:dyDescent="0.3">
      <c r="A670" s="173">
        <v>44460</v>
      </c>
      <c r="B670" s="163">
        <v>98.26</v>
      </c>
      <c r="C670" s="163">
        <v>104.26</v>
      </c>
      <c r="F670" s="172">
        <v>44460</v>
      </c>
      <c r="G670" s="164">
        <v>180</v>
      </c>
      <c r="H670" s="164">
        <v>184</v>
      </c>
      <c r="K670" s="185">
        <v>44460</v>
      </c>
      <c r="L670" s="182">
        <v>172.67</v>
      </c>
      <c r="M670" s="184">
        <f t="shared" si="5"/>
        <v>-4.0722222222222326E-2</v>
      </c>
    </row>
    <row r="671" spans="1:13" ht="15.75" thickBot="1" x14ac:dyDescent="0.3">
      <c r="A671" s="172">
        <v>44461</v>
      </c>
      <c r="B671" s="164">
        <v>98.1</v>
      </c>
      <c r="C671" s="164">
        <v>104.1</v>
      </c>
      <c r="F671" s="173">
        <v>44461</v>
      </c>
      <c r="G671" s="163">
        <v>181</v>
      </c>
      <c r="H671" s="163">
        <v>185</v>
      </c>
      <c r="K671" s="186">
        <v>44461</v>
      </c>
      <c r="L671" s="181">
        <v>172.99</v>
      </c>
      <c r="M671" s="184">
        <f t="shared" si="5"/>
        <v>-4.4254143646408783E-2</v>
      </c>
    </row>
    <row r="672" spans="1:13" ht="15.75" thickBot="1" x14ac:dyDescent="0.3">
      <c r="A672" s="173">
        <v>44462</v>
      </c>
      <c r="B672" s="163">
        <v>98.04</v>
      </c>
      <c r="C672" s="163">
        <v>104.04</v>
      </c>
      <c r="F672" s="172">
        <v>44462</v>
      </c>
      <c r="G672" s="164">
        <v>181</v>
      </c>
      <c r="H672" s="164">
        <v>185</v>
      </c>
      <c r="K672" s="185">
        <v>44462</v>
      </c>
      <c r="L672" s="182">
        <v>173.33</v>
      </c>
      <c r="M672" s="184">
        <f t="shared" si="5"/>
        <v>-4.2375690607734717E-2</v>
      </c>
    </row>
    <row r="673" spans="1:13" ht="15.75" thickBot="1" x14ac:dyDescent="0.3">
      <c r="A673" s="172">
        <v>44463</v>
      </c>
      <c r="B673" s="164">
        <v>98.12</v>
      </c>
      <c r="C673" s="164">
        <v>104.12</v>
      </c>
      <c r="F673" s="173">
        <v>44463</v>
      </c>
      <c r="G673" s="163">
        <v>182</v>
      </c>
      <c r="H673" s="163">
        <v>186</v>
      </c>
      <c r="K673" s="186">
        <v>44463</v>
      </c>
      <c r="L673" s="181">
        <v>173.42</v>
      </c>
      <c r="M673" s="184">
        <f t="shared" si="5"/>
        <v>-4.7142857142857264E-2</v>
      </c>
    </row>
    <row r="674" spans="1:13" ht="15.75" thickBot="1" x14ac:dyDescent="0.3">
      <c r="A674" s="172">
        <v>44466</v>
      </c>
      <c r="B674" s="164">
        <v>98.18</v>
      </c>
      <c r="C674" s="164">
        <v>104.18</v>
      </c>
      <c r="F674" s="172">
        <v>44466</v>
      </c>
      <c r="G674" s="164">
        <v>182.5</v>
      </c>
      <c r="H674" s="164">
        <v>186.5</v>
      </c>
      <c r="K674" s="185">
        <v>44466</v>
      </c>
      <c r="L674" s="182">
        <v>173.92</v>
      </c>
      <c r="M674" s="184">
        <f t="shared" si="5"/>
        <v>-4.7013698630137046E-2</v>
      </c>
    </row>
    <row r="675" spans="1:13" ht="15.75" thickBot="1" x14ac:dyDescent="0.3">
      <c r="A675" s="173">
        <v>44467</v>
      </c>
      <c r="B675" s="163">
        <v>98.19</v>
      </c>
      <c r="C675" s="163">
        <v>104.19</v>
      </c>
      <c r="F675" s="173">
        <v>44467</v>
      </c>
      <c r="G675" s="163">
        <v>183</v>
      </c>
      <c r="H675" s="163">
        <v>187</v>
      </c>
      <c r="K675" s="186">
        <v>44467</v>
      </c>
      <c r="L675" s="181">
        <v>174.41</v>
      </c>
      <c r="M675" s="184">
        <f t="shared" si="5"/>
        <v>-4.6939890710382515E-2</v>
      </c>
    </row>
    <row r="676" spans="1:13" ht="15.75" thickBot="1" x14ac:dyDescent="0.3">
      <c r="A676" s="172">
        <v>44468</v>
      </c>
      <c r="B676" s="164">
        <v>98.2</v>
      </c>
      <c r="C676" s="164">
        <v>104.2</v>
      </c>
      <c r="F676" s="172">
        <v>44468</v>
      </c>
      <c r="G676" s="164">
        <v>183</v>
      </c>
      <c r="H676" s="164">
        <v>187</v>
      </c>
      <c r="K676" s="185">
        <v>44468</v>
      </c>
      <c r="L676" s="182">
        <v>174.64</v>
      </c>
      <c r="M676" s="184">
        <f t="shared" si="5"/>
        <v>-4.5683060109289686E-2</v>
      </c>
    </row>
    <row r="677" spans="1:13" ht="15.75" thickBot="1" x14ac:dyDescent="0.3">
      <c r="A677" s="173">
        <v>44469</v>
      </c>
      <c r="B677" s="163">
        <v>98.3</v>
      </c>
      <c r="C677" s="163">
        <v>104.3</v>
      </c>
      <c r="F677" s="173">
        <v>44469</v>
      </c>
      <c r="G677" s="163">
        <v>182</v>
      </c>
      <c r="H677" s="163">
        <v>186</v>
      </c>
      <c r="K677" s="186">
        <v>44469</v>
      </c>
      <c r="L677" s="181">
        <v>175.03</v>
      </c>
      <c r="M677" s="184">
        <f t="shared" si="5"/>
        <v>-3.8296703296703316E-2</v>
      </c>
    </row>
    <row r="678" spans="1:13" ht="15.75" thickBot="1" x14ac:dyDescent="0.3">
      <c r="A678" s="172">
        <v>44470</v>
      </c>
      <c r="B678" s="164">
        <v>98.3</v>
      </c>
      <c r="C678" s="164">
        <v>104.3</v>
      </c>
      <c r="F678" s="172">
        <v>44470</v>
      </c>
      <c r="G678" s="164">
        <v>182</v>
      </c>
      <c r="H678" s="164">
        <v>186</v>
      </c>
      <c r="K678" s="185">
        <v>44470</v>
      </c>
      <c r="L678" s="182">
        <v>175.47</v>
      </c>
      <c r="M678" s="184">
        <f t="shared" si="5"/>
        <v>-3.5879120879120929E-2</v>
      </c>
    </row>
    <row r="679" spans="1:13" ht="15.75" thickBot="1" x14ac:dyDescent="0.3">
      <c r="A679" s="173">
        <v>44473</v>
      </c>
      <c r="B679" s="163">
        <v>98.34</v>
      </c>
      <c r="C679" s="163">
        <v>104.34</v>
      </c>
      <c r="F679" s="173">
        <v>44473</v>
      </c>
      <c r="G679" s="163">
        <v>181</v>
      </c>
      <c r="H679" s="163">
        <v>185</v>
      </c>
      <c r="K679" s="186">
        <v>44473</v>
      </c>
      <c r="L679" s="181">
        <v>175.89</v>
      </c>
      <c r="M679" s="184">
        <f t="shared" si="5"/>
        <v>-2.8232044198895134E-2</v>
      </c>
    </row>
    <row r="680" spans="1:13" ht="15.75" thickBot="1" x14ac:dyDescent="0.3">
      <c r="A680" s="173">
        <v>44474</v>
      </c>
      <c r="B680" s="163">
        <v>98.53</v>
      </c>
      <c r="C680" s="163">
        <v>104.53</v>
      </c>
      <c r="F680" s="172">
        <v>44474</v>
      </c>
      <c r="G680" s="164">
        <v>181</v>
      </c>
      <c r="H680" s="164">
        <v>185</v>
      </c>
      <c r="K680" s="185">
        <v>44474</v>
      </c>
      <c r="L680" s="182">
        <v>176.34</v>
      </c>
      <c r="M680" s="184">
        <f t="shared" si="5"/>
        <v>-2.5745856353591168E-2</v>
      </c>
    </row>
    <row r="681" spans="1:13" ht="15.75" thickBot="1" x14ac:dyDescent="0.3">
      <c r="A681" s="172">
        <v>44475</v>
      </c>
      <c r="B681" s="164">
        <v>98.53</v>
      </c>
      <c r="C681" s="164">
        <v>104.53</v>
      </c>
      <c r="F681" s="173">
        <v>44475</v>
      </c>
      <c r="G681" s="163">
        <v>181.5</v>
      </c>
      <c r="H681" s="163">
        <v>185.5</v>
      </c>
      <c r="K681" s="186">
        <v>44475</v>
      </c>
      <c r="L681" s="181">
        <v>176.33</v>
      </c>
      <c r="M681" s="184">
        <f t="shared" si="5"/>
        <v>-2.8484848484848446E-2</v>
      </c>
    </row>
    <row r="682" spans="1:13" ht="15.75" thickBot="1" x14ac:dyDescent="0.3">
      <c r="A682" s="173">
        <v>44476</v>
      </c>
      <c r="B682" s="163">
        <v>98.53</v>
      </c>
      <c r="C682" s="163">
        <v>104.53</v>
      </c>
      <c r="F682" s="172">
        <v>44476</v>
      </c>
      <c r="G682" s="164">
        <v>180.5</v>
      </c>
      <c r="H682" s="164">
        <v>184.5</v>
      </c>
      <c r="K682" s="185">
        <v>44476</v>
      </c>
      <c r="L682" s="182">
        <v>176.45</v>
      </c>
      <c r="M682" s="184">
        <f t="shared" si="5"/>
        <v>-2.2437673130193958E-2</v>
      </c>
    </row>
    <row r="683" spans="1:13" ht="15.75" thickBot="1" x14ac:dyDescent="0.3">
      <c r="A683" s="172">
        <v>44481</v>
      </c>
      <c r="B683" s="164">
        <v>98.47</v>
      </c>
      <c r="C683" s="164">
        <v>104.47</v>
      </c>
      <c r="F683" s="173">
        <v>44481</v>
      </c>
      <c r="G683" s="163">
        <v>181</v>
      </c>
      <c r="H683" s="163">
        <v>185</v>
      </c>
      <c r="K683" s="186">
        <v>44481</v>
      </c>
      <c r="L683" s="181">
        <v>176.78</v>
      </c>
      <c r="M683" s="184">
        <f t="shared" si="5"/>
        <v>-2.3314917127071788E-2</v>
      </c>
    </row>
    <row r="684" spans="1:13" ht="15.75" thickBot="1" x14ac:dyDescent="0.3">
      <c r="A684" s="173">
        <v>44482</v>
      </c>
      <c r="B684" s="163">
        <v>98.64</v>
      </c>
      <c r="C684" s="163">
        <v>104.64</v>
      </c>
      <c r="F684" s="172">
        <v>44482</v>
      </c>
      <c r="G684" s="164">
        <v>181</v>
      </c>
      <c r="H684" s="164">
        <v>185</v>
      </c>
      <c r="K684" s="185">
        <v>44482</v>
      </c>
      <c r="L684" s="182">
        <v>177.1</v>
      </c>
      <c r="M684" s="184">
        <f t="shared" si="5"/>
        <v>-2.1546961325966896E-2</v>
      </c>
    </row>
    <row r="685" spans="1:13" ht="15.75" thickBot="1" x14ac:dyDescent="0.3">
      <c r="A685" s="172">
        <v>44483</v>
      </c>
      <c r="B685" s="164">
        <v>98.59</v>
      </c>
      <c r="C685" s="164">
        <v>104.59</v>
      </c>
      <c r="F685" s="173">
        <v>44483</v>
      </c>
      <c r="G685" s="163">
        <v>181.5</v>
      </c>
      <c r="H685" s="163">
        <v>185.5</v>
      </c>
      <c r="K685" s="186">
        <v>44483</v>
      </c>
      <c r="L685" s="181">
        <v>177.43</v>
      </c>
      <c r="M685" s="184">
        <f t="shared" si="5"/>
        <v>-2.2424242424242347E-2</v>
      </c>
    </row>
    <row r="686" spans="1:13" ht="15.75" thickBot="1" x14ac:dyDescent="0.3">
      <c r="A686" s="173">
        <v>44484</v>
      </c>
      <c r="B686" s="163">
        <v>98.7</v>
      </c>
      <c r="C686" s="163">
        <v>104.7</v>
      </c>
      <c r="F686" s="172">
        <v>44484</v>
      </c>
      <c r="G686" s="164">
        <v>182.5</v>
      </c>
      <c r="H686" s="164">
        <v>186.5</v>
      </c>
      <c r="K686" s="185">
        <v>44484</v>
      </c>
      <c r="L686" s="182">
        <v>177.68</v>
      </c>
      <c r="M686" s="184">
        <f t="shared" si="5"/>
        <v>-2.6410958904109605E-2</v>
      </c>
    </row>
    <row r="687" spans="1:13" ht="15.75" thickBot="1" x14ac:dyDescent="0.3">
      <c r="A687" s="172">
        <v>44487</v>
      </c>
      <c r="B687" s="164">
        <v>98.79</v>
      </c>
      <c r="C687" s="164">
        <v>104.79</v>
      </c>
      <c r="F687" s="173">
        <v>44487</v>
      </c>
      <c r="G687" s="163">
        <v>181.5</v>
      </c>
      <c r="H687" s="163">
        <v>185.5</v>
      </c>
      <c r="K687" s="186">
        <v>44487</v>
      </c>
      <c r="L687" s="181">
        <v>178.02</v>
      </c>
      <c r="M687" s="184">
        <f t="shared" si="5"/>
        <v>-1.9173553719008196E-2</v>
      </c>
    </row>
    <row r="688" spans="1:13" ht="15.75" thickBot="1" x14ac:dyDescent="0.3">
      <c r="A688" s="173">
        <v>44488</v>
      </c>
      <c r="B688" s="163">
        <v>98.88</v>
      </c>
      <c r="C688" s="163">
        <v>104.88</v>
      </c>
      <c r="F688" s="172">
        <v>44488</v>
      </c>
      <c r="G688" s="164">
        <v>183</v>
      </c>
      <c r="H688" s="164">
        <v>187</v>
      </c>
      <c r="K688" s="185">
        <v>44488</v>
      </c>
      <c r="L688" s="182">
        <v>178.36</v>
      </c>
      <c r="M688" s="184">
        <f t="shared" si="5"/>
        <v>-2.53551912568305E-2</v>
      </c>
    </row>
    <row r="689" spans="1:13" ht="15.75" thickBot="1" x14ac:dyDescent="0.3">
      <c r="A689" s="172">
        <v>44489</v>
      </c>
      <c r="B689" s="164">
        <v>98.88</v>
      </c>
      <c r="C689" s="164">
        <v>104.88</v>
      </c>
      <c r="F689" s="173">
        <v>44489</v>
      </c>
      <c r="G689" s="163">
        <v>184</v>
      </c>
      <c r="H689" s="163">
        <v>188</v>
      </c>
      <c r="K689" s="186">
        <v>44489</v>
      </c>
      <c r="L689" s="181">
        <v>178.6</v>
      </c>
      <c r="M689" s="184">
        <f t="shared" ref="M689:M752" si="6">+L689/G689-1</f>
        <v>-2.9347826086956519E-2</v>
      </c>
    </row>
    <row r="690" spans="1:13" ht="15.75" thickBot="1" x14ac:dyDescent="0.3">
      <c r="A690" s="173">
        <v>44490</v>
      </c>
      <c r="B690" s="163">
        <v>98.89</v>
      </c>
      <c r="C690" s="163">
        <v>104.89</v>
      </c>
      <c r="F690" s="172">
        <v>44490</v>
      </c>
      <c r="G690" s="164">
        <v>187</v>
      </c>
      <c r="H690" s="164">
        <v>191</v>
      </c>
      <c r="K690" s="185">
        <v>44490</v>
      </c>
      <c r="L690" s="182">
        <v>178.83</v>
      </c>
      <c r="M690" s="184">
        <f t="shared" si="6"/>
        <v>-4.3689839572192413E-2</v>
      </c>
    </row>
    <row r="691" spans="1:13" ht="15.75" thickBot="1" x14ac:dyDescent="0.3">
      <c r="A691" s="172">
        <v>44491</v>
      </c>
      <c r="B691" s="164">
        <v>98.94</v>
      </c>
      <c r="C691" s="164">
        <v>104.94</v>
      </c>
      <c r="F691" s="173">
        <v>44491</v>
      </c>
      <c r="G691" s="163">
        <v>191</v>
      </c>
      <c r="H691" s="163">
        <v>195</v>
      </c>
      <c r="K691" s="186">
        <v>44491</v>
      </c>
      <c r="L691" s="181">
        <v>179.23</v>
      </c>
      <c r="M691" s="184">
        <f t="shared" si="6"/>
        <v>-6.1623036649214757E-2</v>
      </c>
    </row>
    <row r="692" spans="1:13" ht="15.75" thickBot="1" x14ac:dyDescent="0.3">
      <c r="A692" s="173">
        <v>44494</v>
      </c>
      <c r="B692" s="163">
        <v>99.04</v>
      </c>
      <c r="C692" s="163">
        <v>105.04</v>
      </c>
      <c r="F692" s="172">
        <v>44494</v>
      </c>
      <c r="G692" s="164">
        <v>190</v>
      </c>
      <c r="H692" s="164">
        <v>194</v>
      </c>
      <c r="K692" s="185">
        <v>44494</v>
      </c>
      <c r="L692" s="182">
        <v>179.23</v>
      </c>
      <c r="M692" s="184">
        <f t="shared" si="6"/>
        <v>-5.6684210526315892E-2</v>
      </c>
    </row>
    <row r="693" spans="1:13" ht="15.75" thickBot="1" x14ac:dyDescent="0.3">
      <c r="A693" s="172">
        <v>44495</v>
      </c>
      <c r="B693" s="164">
        <v>99.05</v>
      </c>
      <c r="C693" s="164">
        <v>105.05</v>
      </c>
      <c r="F693" s="173">
        <v>44495</v>
      </c>
      <c r="G693" s="163">
        <v>192</v>
      </c>
      <c r="H693" s="163">
        <v>196</v>
      </c>
      <c r="K693" s="186">
        <v>44495</v>
      </c>
      <c r="L693" s="181">
        <v>179.24</v>
      </c>
      <c r="M693" s="184">
        <f t="shared" si="6"/>
        <v>-6.6458333333333286E-2</v>
      </c>
    </row>
    <row r="694" spans="1:13" ht="15.75" thickBot="1" x14ac:dyDescent="0.3">
      <c r="A694" s="173">
        <v>44496</v>
      </c>
      <c r="B694" s="163">
        <v>99.13</v>
      </c>
      <c r="C694" s="163">
        <v>105.13</v>
      </c>
      <c r="F694" s="172">
        <v>44496</v>
      </c>
      <c r="G694" s="164">
        <v>193</v>
      </c>
      <c r="H694" s="164">
        <v>197</v>
      </c>
      <c r="K694" s="185">
        <v>44496</v>
      </c>
      <c r="L694" s="182">
        <v>179.23</v>
      </c>
      <c r="M694" s="184">
        <f t="shared" si="6"/>
        <v>-7.134715025906746E-2</v>
      </c>
    </row>
    <row r="695" spans="1:13" ht="15.75" thickBot="1" x14ac:dyDescent="0.3">
      <c r="A695" s="172">
        <v>44497</v>
      </c>
      <c r="B695" s="164">
        <v>99.15</v>
      </c>
      <c r="C695" s="164">
        <v>105.15</v>
      </c>
      <c r="F695" s="173">
        <v>44497</v>
      </c>
      <c r="G695" s="163">
        <v>194</v>
      </c>
      <c r="H695" s="163">
        <v>198</v>
      </c>
      <c r="K695" s="186">
        <v>44497</v>
      </c>
      <c r="L695" s="181">
        <v>179.23</v>
      </c>
      <c r="M695" s="184">
        <f t="shared" si="6"/>
        <v>-7.6134020618556786E-2</v>
      </c>
    </row>
    <row r="696" spans="1:13" ht="15.75" thickBot="1" x14ac:dyDescent="0.3">
      <c r="A696" s="173">
        <v>44498</v>
      </c>
      <c r="B696" s="163">
        <v>99.23</v>
      </c>
      <c r="C696" s="163">
        <v>105.23</v>
      </c>
      <c r="F696" s="172">
        <v>44498</v>
      </c>
      <c r="G696" s="164">
        <v>193.5</v>
      </c>
      <c r="H696" s="164">
        <v>197.5</v>
      </c>
      <c r="K696" s="185">
        <v>44498</v>
      </c>
      <c r="L696" s="182">
        <v>179.22</v>
      </c>
      <c r="M696" s="184">
        <f t="shared" si="6"/>
        <v>-7.3798449612403116E-2</v>
      </c>
    </row>
    <row r="697" spans="1:13" ht="15.75" thickBot="1" x14ac:dyDescent="0.3">
      <c r="A697" s="172">
        <v>44501</v>
      </c>
      <c r="B697" s="164">
        <v>99.35</v>
      </c>
      <c r="C697" s="164">
        <v>105.35</v>
      </c>
      <c r="F697" s="173">
        <v>44501</v>
      </c>
      <c r="G697" s="163">
        <v>192.5</v>
      </c>
      <c r="H697" s="163">
        <v>196.5</v>
      </c>
      <c r="K697" s="186">
        <v>44501</v>
      </c>
      <c r="L697" s="181">
        <v>179.22</v>
      </c>
      <c r="M697" s="184">
        <f t="shared" si="6"/>
        <v>-6.8987012987013041E-2</v>
      </c>
    </row>
    <row r="698" spans="1:13" ht="15.75" thickBot="1" x14ac:dyDescent="0.3">
      <c r="A698" s="173">
        <v>44502</v>
      </c>
      <c r="B698" s="163">
        <v>99.36</v>
      </c>
      <c r="C698" s="163">
        <v>105.36</v>
      </c>
      <c r="F698" s="172">
        <v>44502</v>
      </c>
      <c r="G698" s="164">
        <v>193.5</v>
      </c>
      <c r="H698" s="164">
        <v>197.5</v>
      </c>
      <c r="K698" s="185">
        <v>44502</v>
      </c>
      <c r="L698" s="182">
        <v>179.32</v>
      </c>
      <c r="M698" s="184">
        <f t="shared" si="6"/>
        <v>-7.3281653746770092E-2</v>
      </c>
    </row>
    <row r="699" spans="1:13" ht="15.75" thickBot="1" x14ac:dyDescent="0.3">
      <c r="A699" s="172">
        <v>44503</v>
      </c>
      <c r="B699" s="164">
        <v>99.38</v>
      </c>
      <c r="C699" s="164">
        <v>105.38</v>
      </c>
      <c r="F699" s="173">
        <v>44503</v>
      </c>
      <c r="G699" s="163">
        <v>195</v>
      </c>
      <c r="H699" s="163">
        <v>199</v>
      </c>
      <c r="K699" s="186">
        <v>44503</v>
      </c>
      <c r="L699" s="181">
        <v>180.07</v>
      </c>
      <c r="M699" s="184">
        <f t="shared" si="6"/>
        <v>-7.6564102564102621E-2</v>
      </c>
    </row>
    <row r="700" spans="1:13" ht="15.75" thickBot="1" x14ac:dyDescent="0.3">
      <c r="A700" s="173">
        <v>44504</v>
      </c>
      <c r="B700" s="163">
        <v>99.4</v>
      </c>
      <c r="C700" s="163">
        <v>105.4</v>
      </c>
      <c r="F700" s="172">
        <v>44504</v>
      </c>
      <c r="G700" s="164">
        <v>195</v>
      </c>
      <c r="H700" s="164">
        <v>199</v>
      </c>
      <c r="K700" s="185">
        <v>44504</v>
      </c>
      <c r="L700" s="182">
        <v>180.56</v>
      </c>
      <c r="M700" s="184">
        <f t="shared" si="6"/>
        <v>-7.4051282051282086E-2</v>
      </c>
    </row>
    <row r="701" spans="1:13" ht="15.75" thickBot="1" x14ac:dyDescent="0.3">
      <c r="A701" s="172">
        <v>44505</v>
      </c>
      <c r="B701" s="164">
        <v>99.45</v>
      </c>
      <c r="C701" s="164">
        <v>105.45</v>
      </c>
      <c r="F701" s="173">
        <v>44505</v>
      </c>
      <c r="G701" s="163">
        <v>195</v>
      </c>
      <c r="H701" s="163">
        <v>199</v>
      </c>
      <c r="K701" s="186">
        <v>44505</v>
      </c>
      <c r="L701" s="181">
        <v>181.26</v>
      </c>
      <c r="M701" s="184">
        <f t="shared" si="6"/>
        <v>-7.0461538461538464E-2</v>
      </c>
    </row>
    <row r="702" spans="1:13" ht="15.75" thickBot="1" x14ac:dyDescent="0.3">
      <c r="A702" s="173">
        <v>44508</v>
      </c>
      <c r="B702" s="163">
        <v>99.58</v>
      </c>
      <c r="C702" s="163">
        <v>105.58</v>
      </c>
      <c r="F702" s="172">
        <v>44508</v>
      </c>
      <c r="G702" s="164">
        <v>195</v>
      </c>
      <c r="H702" s="164">
        <v>199</v>
      </c>
      <c r="K702" s="185">
        <v>44508</v>
      </c>
      <c r="L702" s="182">
        <v>181.86</v>
      </c>
      <c r="M702" s="184">
        <f t="shared" si="6"/>
        <v>-6.7384615384615265E-2</v>
      </c>
    </row>
    <row r="703" spans="1:13" ht="15.75" thickBot="1" x14ac:dyDescent="0.3">
      <c r="A703" s="172">
        <v>44509</v>
      </c>
      <c r="B703" s="164">
        <v>99.63</v>
      </c>
      <c r="C703" s="164">
        <v>105.63</v>
      </c>
      <c r="F703" s="173">
        <v>44509</v>
      </c>
      <c r="G703" s="163">
        <v>195.5</v>
      </c>
      <c r="H703" s="163">
        <v>199.5</v>
      </c>
      <c r="K703" s="186">
        <v>44509</v>
      </c>
      <c r="L703" s="181">
        <v>182.46</v>
      </c>
      <c r="M703" s="184">
        <f t="shared" si="6"/>
        <v>-6.6700767263427108E-2</v>
      </c>
    </row>
    <row r="704" spans="1:13" ht="15.75" thickBot="1" x14ac:dyDescent="0.3">
      <c r="A704" s="173">
        <v>44510</v>
      </c>
      <c r="B704" s="163">
        <v>99.67</v>
      </c>
      <c r="C704" s="163">
        <v>105.67</v>
      </c>
      <c r="F704" s="172">
        <v>44510</v>
      </c>
      <c r="G704" s="164">
        <v>201</v>
      </c>
      <c r="H704" s="164">
        <v>205</v>
      </c>
      <c r="K704" s="185">
        <v>44510</v>
      </c>
      <c r="L704" s="182">
        <v>182.74</v>
      </c>
      <c r="M704" s="184">
        <f t="shared" si="6"/>
        <v>-9.0845771144278609E-2</v>
      </c>
    </row>
    <row r="705" spans="1:13" ht="15.75" thickBot="1" x14ac:dyDescent="0.3">
      <c r="A705" s="172">
        <v>44511</v>
      </c>
      <c r="B705" s="164">
        <v>100.79</v>
      </c>
      <c r="C705" s="164">
        <v>105.79</v>
      </c>
      <c r="F705" s="173">
        <v>44511</v>
      </c>
      <c r="G705" s="163">
        <v>202.5</v>
      </c>
      <c r="H705" s="163">
        <v>206.5</v>
      </c>
      <c r="K705" s="186">
        <v>44511</v>
      </c>
      <c r="L705" s="181">
        <v>183.23</v>
      </c>
      <c r="M705" s="184">
        <f t="shared" si="6"/>
        <v>-9.5160493827160519E-2</v>
      </c>
    </row>
    <row r="706" spans="1:13" ht="15.75" thickBot="1" x14ac:dyDescent="0.3">
      <c r="A706" s="173">
        <v>44512</v>
      </c>
      <c r="B706" s="163">
        <v>99.82</v>
      </c>
      <c r="C706" s="163">
        <v>105.82</v>
      </c>
      <c r="F706" s="172">
        <v>44512</v>
      </c>
      <c r="G706" s="164">
        <v>196</v>
      </c>
      <c r="H706" s="164">
        <v>200</v>
      </c>
      <c r="K706" s="185">
        <v>44512</v>
      </c>
      <c r="L706" s="182">
        <v>183.98</v>
      </c>
      <c r="M706" s="184">
        <f t="shared" si="6"/>
        <v>-6.1326530612244912E-2</v>
      </c>
    </row>
    <row r="707" spans="1:13" ht="15.75" thickBot="1" x14ac:dyDescent="0.3">
      <c r="A707" s="172">
        <v>44515</v>
      </c>
      <c r="B707" s="164">
        <v>99.88</v>
      </c>
      <c r="C707" s="164">
        <v>105.88</v>
      </c>
      <c r="F707" s="173">
        <v>44515</v>
      </c>
      <c r="G707" s="163">
        <v>195.5</v>
      </c>
      <c r="H707" s="163">
        <v>199.5</v>
      </c>
      <c r="K707" s="186">
        <v>44515</v>
      </c>
      <c r="L707" s="181">
        <v>188.78</v>
      </c>
      <c r="M707" s="184">
        <f t="shared" si="6"/>
        <v>-3.4373401534526837E-2</v>
      </c>
    </row>
    <row r="708" spans="1:13" ht="15.75" thickBot="1" x14ac:dyDescent="0.3">
      <c r="A708" s="173">
        <v>44516</v>
      </c>
      <c r="B708" s="163">
        <v>99.92</v>
      </c>
      <c r="C708" s="163">
        <v>105.92</v>
      </c>
      <c r="F708" s="172">
        <v>44516</v>
      </c>
      <c r="G708" s="164">
        <v>196.5</v>
      </c>
      <c r="H708" s="164">
        <v>200.5</v>
      </c>
      <c r="K708" s="185">
        <v>44516</v>
      </c>
      <c r="L708" s="182">
        <v>200.3</v>
      </c>
      <c r="M708" s="184">
        <f t="shared" si="6"/>
        <v>1.9338422391857568E-2</v>
      </c>
    </row>
    <row r="709" spans="1:13" ht="15.75" thickBot="1" x14ac:dyDescent="0.3">
      <c r="A709" s="172">
        <v>44517</v>
      </c>
      <c r="B709" s="164">
        <v>99.94</v>
      </c>
      <c r="C709" s="164">
        <v>105.94</v>
      </c>
      <c r="F709" s="173">
        <v>44517</v>
      </c>
      <c r="G709" s="163">
        <v>197.5</v>
      </c>
      <c r="H709" s="163">
        <v>201.5</v>
      </c>
      <c r="K709" s="186">
        <v>44517</v>
      </c>
      <c r="L709" s="181">
        <v>200</v>
      </c>
      <c r="M709" s="184">
        <f t="shared" si="6"/>
        <v>1.2658227848101333E-2</v>
      </c>
    </row>
    <row r="710" spans="1:13" ht="15.75" thickBot="1" x14ac:dyDescent="0.3">
      <c r="A710" s="173">
        <v>44518</v>
      </c>
      <c r="B710" s="163">
        <v>99.95</v>
      </c>
      <c r="C710" s="163">
        <v>105.95</v>
      </c>
      <c r="F710" s="172">
        <v>44518</v>
      </c>
      <c r="G710" s="164">
        <v>197</v>
      </c>
      <c r="H710" s="164">
        <v>201</v>
      </c>
      <c r="K710" s="185">
        <v>44518</v>
      </c>
      <c r="L710" s="182">
        <v>204.52</v>
      </c>
      <c r="M710" s="184">
        <f t="shared" si="6"/>
        <v>3.8172588832487309E-2</v>
      </c>
    </row>
    <row r="711" spans="1:13" ht="15.75" thickBot="1" x14ac:dyDescent="0.3">
      <c r="A711" s="172">
        <v>44519</v>
      </c>
      <c r="B711" s="164">
        <v>99.96</v>
      </c>
      <c r="C711" s="164">
        <v>105.96</v>
      </c>
      <c r="F711" s="173">
        <v>44519</v>
      </c>
      <c r="G711" s="163">
        <v>197.5</v>
      </c>
      <c r="H711" s="163">
        <v>201.5</v>
      </c>
      <c r="K711" s="186">
        <v>44519</v>
      </c>
      <c r="L711" s="181">
        <v>203.03</v>
      </c>
      <c r="M711" s="184">
        <f t="shared" si="6"/>
        <v>2.8000000000000025E-2</v>
      </c>
    </row>
    <row r="712" spans="1:13" ht="15.75" thickBot="1" x14ac:dyDescent="0.3">
      <c r="A712" s="173">
        <v>44523</v>
      </c>
      <c r="B712" s="163">
        <v>100.09</v>
      </c>
      <c r="C712" s="163">
        <v>106.09</v>
      </c>
      <c r="F712" s="172">
        <v>44523</v>
      </c>
      <c r="G712" s="164">
        <v>197</v>
      </c>
      <c r="H712" s="164">
        <v>201</v>
      </c>
      <c r="K712" s="185">
        <v>44523</v>
      </c>
      <c r="L712" s="182">
        <v>205.82</v>
      </c>
      <c r="M712" s="184">
        <f t="shared" si="6"/>
        <v>4.477157360406081E-2</v>
      </c>
    </row>
    <row r="713" spans="1:13" ht="15.75" thickBot="1" x14ac:dyDescent="0.3">
      <c r="A713" s="172">
        <v>44524</v>
      </c>
      <c r="B713" s="164">
        <v>100.08</v>
      </c>
      <c r="C713" s="164">
        <v>106.08</v>
      </c>
      <c r="F713" s="173">
        <v>44524</v>
      </c>
      <c r="G713" s="163">
        <v>196.5</v>
      </c>
      <c r="H713" s="163">
        <v>200.5</v>
      </c>
      <c r="K713" s="186">
        <v>44524</v>
      </c>
      <c r="L713" s="181">
        <v>204.88</v>
      </c>
      <c r="M713" s="184">
        <f t="shared" si="6"/>
        <v>4.2646310432570056E-2</v>
      </c>
    </row>
    <row r="714" spans="1:13" ht="15.75" thickBot="1" x14ac:dyDescent="0.3">
      <c r="A714" s="173">
        <v>44525</v>
      </c>
      <c r="B714" s="163">
        <v>100.16</v>
      </c>
      <c r="C714" s="163">
        <v>106.16</v>
      </c>
      <c r="F714" s="172">
        <v>44525</v>
      </c>
      <c r="G714" s="164">
        <v>197</v>
      </c>
      <c r="H714" s="164">
        <v>201</v>
      </c>
      <c r="K714" s="185">
        <v>44525</v>
      </c>
      <c r="L714" s="182">
        <v>203.55</v>
      </c>
      <c r="M714" s="184">
        <f t="shared" si="6"/>
        <v>3.3248730964467121E-2</v>
      </c>
    </row>
    <row r="715" spans="1:13" ht="15.75" thickBot="1" x14ac:dyDescent="0.3">
      <c r="A715" s="172">
        <v>44526</v>
      </c>
      <c r="B715" s="164">
        <v>100.17</v>
      </c>
      <c r="C715" s="164">
        <v>106.17</v>
      </c>
      <c r="F715" s="173">
        <v>44526</v>
      </c>
      <c r="G715" s="163">
        <v>197</v>
      </c>
      <c r="H715" s="163">
        <v>201</v>
      </c>
      <c r="K715" s="186">
        <v>44526</v>
      </c>
      <c r="L715" s="181">
        <v>200.17</v>
      </c>
      <c r="M715" s="184">
        <f t="shared" si="6"/>
        <v>1.6091370558375617E-2</v>
      </c>
    </row>
    <row r="716" spans="1:13" ht="15.75" thickBot="1" x14ac:dyDescent="0.3">
      <c r="A716" s="173">
        <v>44529</v>
      </c>
      <c r="B716" s="163">
        <v>100.41</v>
      </c>
      <c r="C716" s="163">
        <v>106.41</v>
      </c>
      <c r="F716" s="172">
        <v>44529</v>
      </c>
      <c r="G716" s="164">
        <v>197</v>
      </c>
      <c r="H716" s="164">
        <v>201</v>
      </c>
      <c r="K716" s="185">
        <v>44529</v>
      </c>
      <c r="L716" s="182">
        <v>196.94</v>
      </c>
      <c r="M716" s="184">
        <f t="shared" si="6"/>
        <v>-3.0456852791882483E-4</v>
      </c>
    </row>
    <row r="717" spans="1:13" ht="15.75" thickBot="1" x14ac:dyDescent="0.3">
      <c r="A717" s="172">
        <v>44530</v>
      </c>
      <c r="B717" s="164">
        <v>100.48</v>
      </c>
      <c r="C717" s="164">
        <v>106.48</v>
      </c>
      <c r="F717" s="173">
        <v>44530</v>
      </c>
      <c r="G717" s="163">
        <v>197.5</v>
      </c>
      <c r="H717" s="163">
        <v>201.5</v>
      </c>
      <c r="K717" s="186">
        <v>44530</v>
      </c>
      <c r="L717" s="181">
        <v>200.72</v>
      </c>
      <c r="M717" s="184">
        <f t="shared" si="6"/>
        <v>1.630379746835442E-2</v>
      </c>
    </row>
    <row r="718" spans="1:13" ht="15.75" thickBot="1" x14ac:dyDescent="0.3">
      <c r="A718" s="173">
        <v>44531</v>
      </c>
      <c r="B718" s="163">
        <v>100.55</v>
      </c>
      <c r="C718" s="163">
        <v>106.55</v>
      </c>
      <c r="F718" s="172">
        <v>44531</v>
      </c>
      <c r="G718" s="164">
        <v>196.5</v>
      </c>
      <c r="H718" s="164">
        <v>200.5</v>
      </c>
      <c r="K718" s="185">
        <v>44531</v>
      </c>
      <c r="L718" s="182">
        <v>200.6</v>
      </c>
      <c r="M718" s="184">
        <f t="shared" si="6"/>
        <v>2.0865139949109324E-2</v>
      </c>
    </row>
    <row r="719" spans="1:13" ht="15.75" thickBot="1" x14ac:dyDescent="0.3">
      <c r="A719" s="172">
        <v>44532</v>
      </c>
      <c r="B719" s="164">
        <v>100.6</v>
      </c>
      <c r="C719" s="164">
        <v>106.6</v>
      </c>
      <c r="F719" s="173">
        <v>44532</v>
      </c>
      <c r="G719" s="163">
        <v>196.5</v>
      </c>
      <c r="H719" s="163">
        <v>200.5</v>
      </c>
      <c r="K719" s="186">
        <v>44532</v>
      </c>
      <c r="L719" s="181">
        <v>203.33</v>
      </c>
      <c r="M719" s="184">
        <f t="shared" si="6"/>
        <v>3.4758269720101875E-2</v>
      </c>
    </row>
    <row r="720" spans="1:13" ht="15.75" thickBot="1" x14ac:dyDescent="0.3">
      <c r="A720" s="173">
        <v>44533</v>
      </c>
      <c r="B720" s="163">
        <v>100.63</v>
      </c>
      <c r="C720" s="163">
        <v>106.63</v>
      </c>
      <c r="F720" s="172">
        <v>44533</v>
      </c>
      <c r="G720" s="164">
        <v>196.5</v>
      </c>
      <c r="H720" s="164">
        <v>200.5</v>
      </c>
      <c r="K720" s="185">
        <v>44533</v>
      </c>
      <c r="L720" s="182">
        <v>203.25</v>
      </c>
      <c r="M720" s="184">
        <f t="shared" si="6"/>
        <v>3.4351145038167941E-2</v>
      </c>
    </row>
    <row r="721" spans="1:13" ht="15.75" thickBot="1" x14ac:dyDescent="0.3">
      <c r="A721" s="172">
        <v>44536</v>
      </c>
      <c r="B721" s="164">
        <v>100.65</v>
      </c>
      <c r="C721" s="164">
        <v>106.65</v>
      </c>
      <c r="F721" s="173">
        <v>44536</v>
      </c>
      <c r="G721" s="163">
        <v>195</v>
      </c>
      <c r="H721" s="163">
        <v>199</v>
      </c>
      <c r="K721" s="186">
        <v>44536</v>
      </c>
      <c r="L721" s="181">
        <v>201.96</v>
      </c>
      <c r="M721" s="184">
        <f t="shared" si="6"/>
        <v>3.569230769230769E-2</v>
      </c>
    </row>
    <row r="722" spans="1:13" ht="15.75" thickBot="1" x14ac:dyDescent="0.3">
      <c r="A722" s="173">
        <v>44537</v>
      </c>
      <c r="B722" s="163">
        <v>100.88</v>
      </c>
      <c r="C722" s="163">
        <v>106.88</v>
      </c>
      <c r="F722" s="172">
        <v>44537</v>
      </c>
      <c r="G722" s="164">
        <v>194</v>
      </c>
      <c r="H722" s="164">
        <v>198</v>
      </c>
      <c r="K722" s="185">
        <v>44537</v>
      </c>
      <c r="L722" s="182">
        <v>198.1</v>
      </c>
      <c r="M722" s="184">
        <f t="shared" si="6"/>
        <v>2.1134020618556626E-2</v>
      </c>
    </row>
    <row r="723" spans="1:13" ht="15.75" thickBot="1" x14ac:dyDescent="0.3">
      <c r="A723" s="172">
        <v>44539</v>
      </c>
      <c r="B723" s="164">
        <v>101.26</v>
      </c>
      <c r="C723" s="164">
        <v>107.26</v>
      </c>
      <c r="F723" s="173">
        <v>44539</v>
      </c>
      <c r="G723" s="163">
        <v>192</v>
      </c>
      <c r="H723" s="163">
        <v>196</v>
      </c>
      <c r="K723" s="186">
        <v>44539</v>
      </c>
      <c r="L723" s="181">
        <v>195.98</v>
      </c>
      <c r="M723" s="184">
        <f t="shared" si="6"/>
        <v>2.0729166666666687E-2</v>
      </c>
    </row>
    <row r="724" spans="1:13" ht="15.75" thickBot="1" x14ac:dyDescent="0.3">
      <c r="A724" s="173">
        <v>44540</v>
      </c>
      <c r="B724" s="163">
        <v>101.3</v>
      </c>
      <c r="C724" s="163">
        <v>107.3</v>
      </c>
      <c r="F724" s="172">
        <v>44540</v>
      </c>
      <c r="G724" s="164">
        <v>192.5</v>
      </c>
      <c r="H724" s="164">
        <v>196.5</v>
      </c>
      <c r="K724" s="185">
        <v>44540</v>
      </c>
      <c r="L724" s="182">
        <v>197.1</v>
      </c>
      <c r="M724" s="184">
        <f t="shared" si="6"/>
        <v>2.389610389610386E-2</v>
      </c>
    </row>
    <row r="725" spans="1:13" ht="15.75" thickBot="1" x14ac:dyDescent="0.3">
      <c r="A725" s="172">
        <v>44543</v>
      </c>
      <c r="B725" s="164">
        <v>101.38</v>
      </c>
      <c r="C725" s="164">
        <v>107.38</v>
      </c>
      <c r="F725" s="173">
        <v>44543</v>
      </c>
      <c r="G725" s="163">
        <v>191.5</v>
      </c>
      <c r="H725" s="163">
        <v>195.5</v>
      </c>
      <c r="K725" s="186">
        <v>44543</v>
      </c>
      <c r="L725" s="181">
        <v>195.55</v>
      </c>
      <c r="M725" s="184">
        <f t="shared" si="6"/>
        <v>2.1148825065274268E-2</v>
      </c>
    </row>
    <row r="726" spans="1:13" ht="15.75" thickBot="1" x14ac:dyDescent="0.3">
      <c r="A726" s="173">
        <v>44544</v>
      </c>
      <c r="B726" s="163">
        <v>101.49</v>
      </c>
      <c r="C726" s="163">
        <v>107.49</v>
      </c>
      <c r="F726" s="172">
        <v>44544</v>
      </c>
      <c r="G726" s="164">
        <v>192.5</v>
      </c>
      <c r="H726" s="164">
        <v>196.5</v>
      </c>
      <c r="K726" s="185">
        <v>44544</v>
      </c>
      <c r="L726" s="182">
        <v>194.39</v>
      </c>
      <c r="M726" s="184">
        <f t="shared" si="6"/>
        <v>9.818181818181726E-3</v>
      </c>
    </row>
    <row r="727" spans="1:13" ht="15.75" thickBot="1" x14ac:dyDescent="0.3">
      <c r="A727" s="172">
        <v>44545</v>
      </c>
      <c r="B727" s="164">
        <v>101.51</v>
      </c>
      <c r="C727" s="164">
        <v>107.51</v>
      </c>
      <c r="F727" s="173">
        <v>44545</v>
      </c>
      <c r="G727" s="163">
        <v>194.5</v>
      </c>
      <c r="H727" s="163">
        <v>198.5</v>
      </c>
      <c r="K727" s="186">
        <v>44545</v>
      </c>
      <c r="L727" s="181">
        <v>191.69</v>
      </c>
      <c r="M727" s="184">
        <f t="shared" si="6"/>
        <v>-1.444730077120826E-2</v>
      </c>
    </row>
    <row r="728" spans="1:13" ht="15.75" thickBot="1" x14ac:dyDescent="0.3">
      <c r="A728" s="173">
        <v>44546</v>
      </c>
      <c r="B728" s="163">
        <v>101.55</v>
      </c>
      <c r="C728" s="163">
        <v>107.55</v>
      </c>
      <c r="F728" s="172">
        <v>44546</v>
      </c>
      <c r="G728" s="164">
        <v>194.5</v>
      </c>
      <c r="H728" s="164">
        <v>198.5</v>
      </c>
      <c r="K728" s="185">
        <v>44546</v>
      </c>
      <c r="L728" s="182">
        <v>191.64</v>
      </c>
      <c r="M728" s="184">
        <f t="shared" si="6"/>
        <v>-1.4704370179948634E-2</v>
      </c>
    </row>
    <row r="729" spans="1:13" ht="15.75" thickBot="1" x14ac:dyDescent="0.3">
      <c r="A729" s="172">
        <v>44547</v>
      </c>
      <c r="B729" s="164">
        <v>101.57</v>
      </c>
      <c r="C729" s="164">
        <v>107.57</v>
      </c>
      <c r="F729" s="173">
        <v>44547</v>
      </c>
      <c r="G729" s="163">
        <v>196</v>
      </c>
      <c r="H729" s="163">
        <v>200</v>
      </c>
      <c r="K729" s="186">
        <v>44547</v>
      </c>
      <c r="L729" s="181">
        <v>199.22</v>
      </c>
      <c r="M729" s="184">
        <f t="shared" si="6"/>
        <v>1.6428571428571459E-2</v>
      </c>
    </row>
    <row r="730" spans="1:13" ht="15.75" thickBot="1" x14ac:dyDescent="0.3">
      <c r="A730" s="173">
        <v>44550</v>
      </c>
      <c r="B730" s="163">
        <v>101.61</v>
      </c>
      <c r="C730" s="163">
        <v>107.61</v>
      </c>
      <c r="F730" s="172">
        <v>44550</v>
      </c>
      <c r="G730" s="164">
        <v>196</v>
      </c>
      <c r="H730" s="164">
        <v>200</v>
      </c>
      <c r="K730" s="185">
        <v>44550</v>
      </c>
      <c r="L730" s="182">
        <v>200.41</v>
      </c>
      <c r="M730" s="184">
        <f t="shared" si="6"/>
        <v>2.2499999999999964E-2</v>
      </c>
    </row>
    <row r="731" spans="1:13" ht="15.75" thickBot="1" x14ac:dyDescent="0.3">
      <c r="A731" s="172">
        <v>44551</v>
      </c>
      <c r="B731" s="164">
        <v>101.73</v>
      </c>
      <c r="C731" s="164">
        <v>107.73</v>
      </c>
      <c r="F731" s="173">
        <v>44551</v>
      </c>
      <c r="G731" s="163">
        <v>195</v>
      </c>
      <c r="H731" s="163">
        <v>199</v>
      </c>
      <c r="K731" s="186">
        <v>44551</v>
      </c>
      <c r="L731" s="181">
        <v>202.17</v>
      </c>
      <c r="M731" s="184">
        <f t="shared" si="6"/>
        <v>3.6769230769230665E-2</v>
      </c>
    </row>
    <row r="732" spans="1:13" ht="15.75" thickBot="1" x14ac:dyDescent="0.3">
      <c r="A732" s="173">
        <v>44552</v>
      </c>
      <c r="B732" s="163">
        <v>101.79</v>
      </c>
      <c r="C732" s="163">
        <v>107.79</v>
      </c>
      <c r="F732" s="172">
        <v>44552</v>
      </c>
      <c r="G732" s="164">
        <v>196.5</v>
      </c>
      <c r="H732" s="164">
        <v>200.5</v>
      </c>
      <c r="K732" s="185">
        <v>44552</v>
      </c>
      <c r="L732" s="182">
        <v>199.84</v>
      </c>
      <c r="M732" s="184">
        <f t="shared" si="6"/>
        <v>1.6997455470737943E-2</v>
      </c>
    </row>
    <row r="733" spans="1:13" ht="15.75" thickBot="1" x14ac:dyDescent="0.3">
      <c r="A733" s="172">
        <v>44553</v>
      </c>
      <c r="B733" s="164">
        <v>101.74</v>
      </c>
      <c r="C733" s="164">
        <v>107.74</v>
      </c>
      <c r="F733" s="173">
        <v>44553</v>
      </c>
      <c r="G733" s="163">
        <v>200</v>
      </c>
      <c r="H733" s="163">
        <v>204</v>
      </c>
      <c r="K733" s="186">
        <v>44553</v>
      </c>
      <c r="L733" s="181">
        <v>199.21</v>
      </c>
      <c r="M733" s="184">
        <f t="shared" si="6"/>
        <v>-3.9500000000000091E-3</v>
      </c>
    </row>
    <row r="734" spans="1:13" ht="15.75" thickBot="1" x14ac:dyDescent="0.3">
      <c r="A734" s="173">
        <v>44557</v>
      </c>
      <c r="B734" s="163">
        <v>101.94</v>
      </c>
      <c r="C734" s="163">
        <v>107.94</v>
      </c>
      <c r="F734" s="172">
        <v>44557</v>
      </c>
      <c r="G734" s="164">
        <v>199.5</v>
      </c>
      <c r="H734" s="164">
        <v>203.5</v>
      </c>
      <c r="K734" s="185">
        <v>44557</v>
      </c>
      <c r="L734" s="182">
        <v>194.53</v>
      </c>
      <c r="M734" s="184">
        <f t="shared" si="6"/>
        <v>-2.491228070175433E-2</v>
      </c>
    </row>
    <row r="735" spans="1:13" ht="15.75" thickBot="1" x14ac:dyDescent="0.3">
      <c r="A735" s="172">
        <v>44558</v>
      </c>
      <c r="B735" s="164">
        <v>102.14</v>
      </c>
      <c r="C735" s="164">
        <v>108.14</v>
      </c>
      <c r="F735" s="173">
        <v>44558</v>
      </c>
      <c r="G735" s="163">
        <v>202</v>
      </c>
      <c r="H735" s="163">
        <v>206</v>
      </c>
      <c r="K735" s="186">
        <v>44558</v>
      </c>
      <c r="L735" s="181">
        <v>193.34</v>
      </c>
      <c r="M735" s="184">
        <f t="shared" si="6"/>
        <v>-4.2871287128712909E-2</v>
      </c>
    </row>
    <row r="736" spans="1:13" ht="15.75" thickBot="1" x14ac:dyDescent="0.3">
      <c r="A736" s="173">
        <v>44559</v>
      </c>
      <c r="B736" s="163">
        <v>102.16</v>
      </c>
      <c r="C736" s="163">
        <v>108.16</v>
      </c>
      <c r="F736" s="172">
        <v>44559</v>
      </c>
      <c r="G736" s="164">
        <v>205</v>
      </c>
      <c r="H736" s="164">
        <v>209</v>
      </c>
      <c r="K736" s="185">
        <v>44559</v>
      </c>
      <c r="L736" s="182">
        <v>196.03</v>
      </c>
      <c r="M736" s="184">
        <f t="shared" si="6"/>
        <v>-4.3756097560975649E-2</v>
      </c>
    </row>
    <row r="737" spans="1:13" ht="15.75" thickBot="1" x14ac:dyDescent="0.3">
      <c r="A737" s="172">
        <v>44560</v>
      </c>
      <c r="B737" s="164">
        <v>102.29</v>
      </c>
      <c r="C737" s="164">
        <v>108.29</v>
      </c>
      <c r="F737" s="173">
        <v>44560</v>
      </c>
      <c r="G737" s="163">
        <v>204</v>
      </c>
      <c r="H737" s="163">
        <v>208</v>
      </c>
      <c r="K737" s="186">
        <v>44560</v>
      </c>
      <c r="L737" s="181">
        <v>197.8</v>
      </c>
      <c r="M737" s="184">
        <f t="shared" si="6"/>
        <v>-3.039215686274499E-2</v>
      </c>
    </row>
    <row r="738" spans="1:13" ht="15.75" thickBot="1" x14ac:dyDescent="0.3">
      <c r="A738" s="173">
        <v>44564</v>
      </c>
      <c r="B738" s="163">
        <v>102.48</v>
      </c>
      <c r="C738" s="163">
        <v>108.48</v>
      </c>
      <c r="F738" s="172">
        <v>44564</v>
      </c>
      <c r="G738" s="164">
        <v>202</v>
      </c>
      <c r="H738" s="164">
        <v>206</v>
      </c>
      <c r="K738" s="185">
        <v>44564</v>
      </c>
      <c r="L738" s="182">
        <v>198.26</v>
      </c>
      <c r="M738" s="184">
        <f t="shared" si="6"/>
        <v>-1.8514851485148531E-2</v>
      </c>
    </row>
    <row r="739" spans="1:13" ht="15.75" thickBot="1" x14ac:dyDescent="0.3">
      <c r="A739" s="172">
        <v>44565</v>
      </c>
      <c r="B739" s="164">
        <v>102.61</v>
      </c>
      <c r="C739" s="164">
        <v>108.61</v>
      </c>
      <c r="F739" s="173">
        <v>44565</v>
      </c>
      <c r="G739" s="163">
        <v>202.5</v>
      </c>
      <c r="H739" s="163">
        <v>206.5</v>
      </c>
      <c r="K739" s="186">
        <v>44565</v>
      </c>
      <c r="L739" s="181">
        <v>197.4</v>
      </c>
      <c r="M739" s="184">
        <f t="shared" si="6"/>
        <v>-2.5185185185185199E-2</v>
      </c>
    </row>
    <row r="740" spans="1:13" ht="15.75" thickBot="1" x14ac:dyDescent="0.3">
      <c r="A740" s="173">
        <v>44566</v>
      </c>
      <c r="B740" s="163">
        <v>102.63</v>
      </c>
      <c r="C740" s="163">
        <v>108.63</v>
      </c>
      <c r="F740" s="172">
        <v>44566</v>
      </c>
      <c r="G740" s="164">
        <v>203.5</v>
      </c>
      <c r="H740" s="164">
        <v>207.5</v>
      </c>
      <c r="K740" s="185">
        <v>44566</v>
      </c>
      <c r="L740" s="182">
        <v>199.07</v>
      </c>
      <c r="M740" s="184">
        <f t="shared" si="6"/>
        <v>-2.1769041769041819E-2</v>
      </c>
    </row>
    <row r="741" spans="1:13" ht="15.75" thickBot="1" x14ac:dyDescent="0.3">
      <c r="A741" s="172">
        <v>44567</v>
      </c>
      <c r="B741" s="164">
        <v>102.72</v>
      </c>
      <c r="C741" s="164">
        <v>108.72</v>
      </c>
      <c r="F741" s="173">
        <v>44567</v>
      </c>
      <c r="G741" s="163">
        <v>204.5</v>
      </c>
      <c r="H741" s="163">
        <v>208.5</v>
      </c>
      <c r="K741" s="186">
        <v>44567</v>
      </c>
      <c r="L741" s="181">
        <v>202.09</v>
      </c>
      <c r="M741" s="184">
        <f t="shared" si="6"/>
        <v>-1.1784841075794583E-2</v>
      </c>
    </row>
    <row r="742" spans="1:13" ht="15.75" thickBot="1" x14ac:dyDescent="0.3">
      <c r="A742" s="173">
        <v>44568</v>
      </c>
      <c r="B742" s="163">
        <v>102.86</v>
      </c>
      <c r="C742" s="163">
        <v>108.86</v>
      </c>
      <c r="F742" s="172">
        <v>44568</v>
      </c>
      <c r="G742" s="164">
        <v>204</v>
      </c>
      <c r="H742" s="164">
        <v>208</v>
      </c>
      <c r="K742" s="185">
        <v>44568</v>
      </c>
      <c r="L742" s="182">
        <v>203.84</v>
      </c>
      <c r="M742" s="184">
        <f t="shared" si="6"/>
        <v>-7.8431372549014888E-4</v>
      </c>
    </row>
    <row r="743" spans="1:13" ht="15.75" thickBot="1" x14ac:dyDescent="0.3">
      <c r="A743" s="172">
        <v>44571</v>
      </c>
      <c r="B743" s="164">
        <v>102.96</v>
      </c>
      <c r="C743" s="164">
        <v>108.96</v>
      </c>
      <c r="F743" s="173">
        <v>44571</v>
      </c>
      <c r="G743" s="163">
        <v>202</v>
      </c>
      <c r="H743" s="163">
        <v>206</v>
      </c>
      <c r="K743" s="186">
        <v>44571</v>
      </c>
      <c r="L743" s="181">
        <v>202.78</v>
      </c>
      <c r="M743" s="184">
        <f t="shared" si="6"/>
        <v>3.8613861386138648E-3</v>
      </c>
    </row>
    <row r="744" spans="1:13" ht="15.75" thickBot="1" x14ac:dyDescent="0.3">
      <c r="A744" s="173">
        <v>44572</v>
      </c>
      <c r="B744" s="163">
        <v>102.97</v>
      </c>
      <c r="C744" s="163">
        <v>108.97</v>
      </c>
      <c r="F744" s="172">
        <v>44572</v>
      </c>
      <c r="G744" s="164">
        <v>205</v>
      </c>
      <c r="H744" s="164">
        <v>209</v>
      </c>
      <c r="K744" s="185">
        <v>44572</v>
      </c>
      <c r="L744" s="182">
        <v>202.46</v>
      </c>
      <c r="M744" s="184">
        <f t="shared" si="6"/>
        <v>-1.2390243902439035E-2</v>
      </c>
    </row>
    <row r="745" spans="1:13" ht="15.75" thickBot="1" x14ac:dyDescent="0.3">
      <c r="A745" s="172">
        <v>44573</v>
      </c>
      <c r="B745" s="164">
        <v>103.05</v>
      </c>
      <c r="C745" s="164">
        <v>109.05</v>
      </c>
      <c r="F745" s="173">
        <v>44573</v>
      </c>
      <c r="G745" s="163">
        <v>204.5</v>
      </c>
      <c r="H745" s="163">
        <v>208.5</v>
      </c>
      <c r="K745" s="186">
        <v>44573</v>
      </c>
      <c r="L745" s="181">
        <v>201.96</v>
      </c>
      <c r="M745" s="184">
        <f t="shared" si="6"/>
        <v>-1.2420537897310457E-2</v>
      </c>
    </row>
    <row r="746" spans="1:13" ht="15.75" thickBot="1" x14ac:dyDescent="0.3">
      <c r="A746" s="173">
        <v>44574</v>
      </c>
      <c r="B746" s="163">
        <v>103.11</v>
      </c>
      <c r="C746" s="163">
        <v>109.11</v>
      </c>
      <c r="F746" s="172">
        <v>44574</v>
      </c>
      <c r="G746" s="164">
        <v>205.5</v>
      </c>
      <c r="H746" s="164">
        <v>209.5</v>
      </c>
      <c r="K746" s="185">
        <v>44574</v>
      </c>
      <c r="L746" s="182">
        <v>200.74</v>
      </c>
      <c r="M746" s="184">
        <f t="shared" si="6"/>
        <v>-2.3163017031630151E-2</v>
      </c>
    </row>
    <row r="747" spans="1:13" ht="15.75" thickBot="1" x14ac:dyDescent="0.3">
      <c r="A747" s="172">
        <v>44575</v>
      </c>
      <c r="B747" s="164">
        <v>103.21</v>
      </c>
      <c r="C747" s="164">
        <v>109.21</v>
      </c>
      <c r="F747" s="173">
        <v>44575</v>
      </c>
      <c r="G747" s="163">
        <v>205.5</v>
      </c>
      <c r="H747" s="163">
        <v>209.5</v>
      </c>
      <c r="K747" s="186">
        <v>44575</v>
      </c>
      <c r="L747" s="181">
        <v>202.46</v>
      </c>
      <c r="M747" s="184">
        <f t="shared" si="6"/>
        <v>-1.479318734793178E-2</v>
      </c>
    </row>
    <row r="748" spans="1:13" ht="15.75" thickBot="1" x14ac:dyDescent="0.3">
      <c r="A748" s="173">
        <v>44578</v>
      </c>
      <c r="B748" s="163">
        <v>103.46</v>
      </c>
      <c r="C748" s="163">
        <v>109.46</v>
      </c>
      <c r="F748" s="172">
        <v>44578</v>
      </c>
      <c r="G748" s="164">
        <v>205</v>
      </c>
      <c r="H748" s="164">
        <v>209</v>
      </c>
      <c r="K748" s="185">
        <v>44578</v>
      </c>
      <c r="L748" s="182">
        <v>204.11</v>
      </c>
      <c r="M748" s="184">
        <f t="shared" si="6"/>
        <v>-4.3414634146340392E-3</v>
      </c>
    </row>
    <row r="749" spans="1:13" ht="15.75" thickBot="1" x14ac:dyDescent="0.3">
      <c r="A749" s="172">
        <v>44579</v>
      </c>
      <c r="B749" s="164">
        <v>103.64</v>
      </c>
      <c r="C749" s="164">
        <v>109.64</v>
      </c>
      <c r="F749" s="173">
        <v>44579</v>
      </c>
      <c r="G749" s="163">
        <v>207</v>
      </c>
      <c r="H749" s="163">
        <v>211</v>
      </c>
      <c r="K749" s="186">
        <v>44579</v>
      </c>
      <c r="L749" s="181">
        <v>203.6</v>
      </c>
      <c r="M749" s="184">
        <f t="shared" si="6"/>
        <v>-1.6425120772946888E-2</v>
      </c>
    </row>
    <row r="750" spans="1:13" ht="15.75" thickBot="1" x14ac:dyDescent="0.3">
      <c r="A750" s="173">
        <v>44580</v>
      </c>
      <c r="B750" s="163">
        <v>103.67</v>
      </c>
      <c r="C750" s="163">
        <v>109.67</v>
      </c>
      <c r="F750" s="172">
        <v>44580</v>
      </c>
      <c r="G750" s="164">
        <v>209</v>
      </c>
      <c r="H750" s="164">
        <v>213</v>
      </c>
      <c r="K750" s="185">
        <v>44580</v>
      </c>
      <c r="L750" s="182">
        <v>206.58</v>
      </c>
      <c r="M750" s="184">
        <f t="shared" si="6"/>
        <v>-1.1578947368421022E-2</v>
      </c>
    </row>
    <row r="751" spans="1:13" ht="15.75" thickBot="1" x14ac:dyDescent="0.3">
      <c r="A751" s="172">
        <v>44581</v>
      </c>
      <c r="B751" s="164">
        <v>103.71</v>
      </c>
      <c r="C751" s="164">
        <v>109.71</v>
      </c>
      <c r="F751" s="173">
        <v>44581</v>
      </c>
      <c r="G751" s="163">
        <v>210</v>
      </c>
      <c r="H751" s="163">
        <v>214</v>
      </c>
      <c r="K751" s="186">
        <v>44581</v>
      </c>
      <c r="L751" s="181">
        <v>212.32</v>
      </c>
      <c r="M751" s="184">
        <f t="shared" si="6"/>
        <v>1.1047619047618973E-2</v>
      </c>
    </row>
    <row r="752" spans="1:13" ht="15.75" thickBot="1" x14ac:dyDescent="0.3">
      <c r="A752" s="173">
        <v>44582</v>
      </c>
      <c r="B752" s="163">
        <v>103.79</v>
      </c>
      <c r="C752" s="163">
        <v>109.79</v>
      </c>
      <c r="F752" s="172">
        <v>44582</v>
      </c>
      <c r="G752" s="164">
        <v>215</v>
      </c>
      <c r="H752" s="164">
        <v>219</v>
      </c>
      <c r="K752" s="185">
        <v>44582</v>
      </c>
      <c r="L752" s="182">
        <v>212.74</v>
      </c>
      <c r="M752" s="184">
        <f t="shared" si="6"/>
        <v>-1.0511627906976684E-2</v>
      </c>
    </row>
    <row r="753" spans="1:13" ht="15.75" thickBot="1" x14ac:dyDescent="0.3">
      <c r="A753" s="172">
        <v>44585</v>
      </c>
      <c r="B753" s="164">
        <v>104.08</v>
      </c>
      <c r="C753" s="164">
        <v>110.08</v>
      </c>
      <c r="F753" s="173">
        <v>44585</v>
      </c>
      <c r="G753" s="163">
        <v>215</v>
      </c>
      <c r="H753" s="163">
        <v>219</v>
      </c>
      <c r="K753" s="186">
        <v>44585</v>
      </c>
      <c r="L753" s="181">
        <v>219.09</v>
      </c>
      <c r="M753" s="184">
        <f t="shared" ref="M753:M816" si="7">+L753/G753-1</f>
        <v>1.9023255813953588E-2</v>
      </c>
    </row>
    <row r="754" spans="1:13" ht="15.75" thickBot="1" x14ac:dyDescent="0.3">
      <c r="A754" s="173">
        <v>44586</v>
      </c>
      <c r="B754" s="163">
        <v>104.11</v>
      </c>
      <c r="C754" s="163">
        <v>110.11</v>
      </c>
      <c r="F754" s="172">
        <v>44586</v>
      </c>
      <c r="G754" s="164">
        <v>215.5</v>
      </c>
      <c r="H754" s="164">
        <v>219.5</v>
      </c>
      <c r="K754" s="185">
        <v>44586</v>
      </c>
      <c r="L754" s="182">
        <v>218.84</v>
      </c>
      <c r="M754" s="184">
        <f t="shared" si="7"/>
        <v>1.5498839907192696E-2</v>
      </c>
    </row>
    <row r="755" spans="1:13" ht="15.75" thickBot="1" x14ac:dyDescent="0.3">
      <c r="A755" s="172">
        <v>44587</v>
      </c>
      <c r="B755" s="164">
        <v>104.15</v>
      </c>
      <c r="C755" s="164">
        <v>110.15</v>
      </c>
      <c r="F755" s="173">
        <v>44587</v>
      </c>
      <c r="G755" s="163">
        <v>217</v>
      </c>
      <c r="H755" s="163">
        <v>221</v>
      </c>
      <c r="K755" s="186">
        <v>44587</v>
      </c>
      <c r="L755" s="181">
        <v>216.85</v>
      </c>
      <c r="M755" s="184">
        <f t="shared" si="7"/>
        <v>-6.9124423963140558E-4</v>
      </c>
    </row>
    <row r="756" spans="1:13" ht="15.75" thickBot="1" x14ac:dyDescent="0.3">
      <c r="A756" s="172">
        <v>44588</v>
      </c>
      <c r="B756" s="164">
        <v>104.5</v>
      </c>
      <c r="C756" s="164">
        <v>110.5</v>
      </c>
      <c r="F756" s="172">
        <v>44588</v>
      </c>
      <c r="G756" s="164">
        <v>218.5</v>
      </c>
      <c r="H756" s="164">
        <v>222.5</v>
      </c>
      <c r="K756" s="185">
        <v>44588</v>
      </c>
      <c r="L756" s="182">
        <v>223.75</v>
      </c>
      <c r="M756" s="184">
        <f t="shared" si="7"/>
        <v>2.4027459954233388E-2</v>
      </c>
    </row>
    <row r="757" spans="1:13" ht="15.75" thickBot="1" x14ac:dyDescent="0.3">
      <c r="A757" s="173">
        <v>44589</v>
      </c>
      <c r="B757" s="163">
        <v>104.68</v>
      </c>
      <c r="C757" s="163">
        <v>110.68</v>
      </c>
      <c r="F757" s="173">
        <v>44589</v>
      </c>
      <c r="G757" s="163">
        <v>208.5</v>
      </c>
      <c r="H757" s="163">
        <v>212.5</v>
      </c>
      <c r="K757" s="186">
        <v>44589</v>
      </c>
      <c r="L757" s="181">
        <v>216.66</v>
      </c>
      <c r="M757" s="184">
        <f t="shared" si="7"/>
        <v>3.9136690647481931E-2</v>
      </c>
    </row>
    <row r="758" spans="1:13" ht="15.75" thickBot="1" x14ac:dyDescent="0.3">
      <c r="A758" s="172">
        <v>44592</v>
      </c>
      <c r="B758" s="164">
        <v>104.71</v>
      </c>
      <c r="C758" s="164">
        <v>110.71</v>
      </c>
      <c r="F758" s="172">
        <v>44592</v>
      </c>
      <c r="G758" s="164">
        <v>209</v>
      </c>
      <c r="H758" s="164">
        <v>213</v>
      </c>
      <c r="K758" s="185">
        <v>44592</v>
      </c>
      <c r="L758" s="182">
        <v>214.67</v>
      </c>
      <c r="M758" s="184">
        <f t="shared" si="7"/>
        <v>2.712918660287067E-2</v>
      </c>
    </row>
    <row r="759" spans="1:13" ht="15.75" thickBot="1" x14ac:dyDescent="0.3">
      <c r="A759" s="173">
        <v>44593</v>
      </c>
      <c r="B759" s="163">
        <v>104.91</v>
      </c>
      <c r="C759" s="163">
        <v>110.91</v>
      </c>
      <c r="F759" s="173">
        <v>44593</v>
      </c>
      <c r="G759" s="163">
        <v>210</v>
      </c>
      <c r="H759" s="163">
        <v>214</v>
      </c>
      <c r="K759" s="186">
        <v>44593</v>
      </c>
      <c r="L759" s="181">
        <v>214.63</v>
      </c>
      <c r="M759" s="184">
        <f t="shared" si="7"/>
        <v>2.2047619047619094E-2</v>
      </c>
    </row>
    <row r="760" spans="1:13" ht="15.75" thickBot="1" x14ac:dyDescent="0.3">
      <c r="A760" s="173">
        <v>44594</v>
      </c>
      <c r="B760" s="163">
        <v>104.75</v>
      </c>
      <c r="C760" s="163">
        <v>110.75</v>
      </c>
      <c r="F760" s="172">
        <v>44594</v>
      </c>
      <c r="G760" s="164">
        <v>212.5</v>
      </c>
      <c r="H760" s="164">
        <v>216.5</v>
      </c>
      <c r="K760" s="185">
        <v>44594</v>
      </c>
      <c r="L760" s="182">
        <v>210.88</v>
      </c>
      <c r="M760" s="184">
        <f t="shared" si="7"/>
        <v>-7.6235294117646957E-3</v>
      </c>
    </row>
    <row r="761" spans="1:13" ht="15.75" thickBot="1" x14ac:dyDescent="0.3">
      <c r="A761" s="172">
        <v>44595</v>
      </c>
      <c r="B761" s="164">
        <v>104.92</v>
      </c>
      <c r="C761" s="164">
        <v>110.92</v>
      </c>
      <c r="F761" s="173">
        <v>44595</v>
      </c>
      <c r="G761" s="163">
        <v>212</v>
      </c>
      <c r="H761" s="163">
        <v>216</v>
      </c>
      <c r="K761" s="186">
        <v>44595</v>
      </c>
      <c r="L761" s="181">
        <v>211.71</v>
      </c>
      <c r="M761" s="184">
        <f t="shared" si="7"/>
        <v>-1.3679245283018115E-3</v>
      </c>
    </row>
    <row r="762" spans="1:13" ht="15.75" thickBot="1" x14ac:dyDescent="0.3">
      <c r="A762" s="173">
        <v>44596</v>
      </c>
      <c r="B762" s="163">
        <v>105.37</v>
      </c>
      <c r="C762" s="163">
        <v>111.37</v>
      </c>
      <c r="F762" s="172">
        <v>44596</v>
      </c>
      <c r="G762" s="164">
        <v>210</v>
      </c>
      <c r="H762" s="164">
        <v>214</v>
      </c>
      <c r="K762" s="185">
        <v>44596</v>
      </c>
      <c r="L762" s="182">
        <v>212.23</v>
      </c>
      <c r="M762" s="184">
        <f t="shared" si="7"/>
        <v>1.0619047619047528E-2</v>
      </c>
    </row>
    <row r="763" spans="1:13" ht="15.75" thickBot="1" x14ac:dyDescent="0.3">
      <c r="A763" s="172">
        <v>44599</v>
      </c>
      <c r="B763" s="164">
        <v>105.46</v>
      </c>
      <c r="C763" s="164">
        <v>111.46</v>
      </c>
      <c r="F763" s="173">
        <v>44599</v>
      </c>
      <c r="G763" s="163">
        <v>210</v>
      </c>
      <c r="H763" s="163">
        <v>214</v>
      </c>
      <c r="K763" s="186">
        <v>44599</v>
      </c>
      <c r="L763" s="181">
        <v>210.22</v>
      </c>
      <c r="M763" s="184">
        <f t="shared" si="7"/>
        <v>1.047619047618964E-3</v>
      </c>
    </row>
    <row r="764" spans="1:13" ht="15.75" thickBot="1" x14ac:dyDescent="0.3">
      <c r="A764" s="173">
        <v>44600</v>
      </c>
      <c r="B764" s="163">
        <v>105.49</v>
      </c>
      <c r="C764" s="163">
        <v>111.49</v>
      </c>
      <c r="F764" s="172">
        <v>44600</v>
      </c>
      <c r="G764" s="164">
        <v>211</v>
      </c>
      <c r="H764" s="164">
        <v>215</v>
      </c>
      <c r="K764" s="185">
        <v>44600</v>
      </c>
      <c r="L764" s="182">
        <v>207.9</v>
      </c>
      <c r="M764" s="184">
        <f t="shared" si="7"/>
        <v>-1.469194312796207E-2</v>
      </c>
    </row>
    <row r="765" spans="1:13" ht="15.75" thickBot="1" x14ac:dyDescent="0.3">
      <c r="A765" s="172">
        <v>44601</v>
      </c>
      <c r="B765" s="164">
        <v>105.52</v>
      </c>
      <c r="C765" s="164">
        <v>111.52</v>
      </c>
      <c r="F765" s="173">
        <v>44601</v>
      </c>
      <c r="G765" s="163">
        <v>213</v>
      </c>
      <c r="H765" s="163">
        <v>217</v>
      </c>
      <c r="K765" s="186">
        <v>44601</v>
      </c>
      <c r="L765" s="181">
        <v>204.97</v>
      </c>
      <c r="M765" s="184">
        <f t="shared" si="7"/>
        <v>-3.7699530516431934E-2</v>
      </c>
    </row>
    <row r="766" spans="1:13" ht="15.75" thickBot="1" x14ac:dyDescent="0.3">
      <c r="A766" s="173">
        <v>44602</v>
      </c>
      <c r="B766" s="163">
        <v>105.61</v>
      </c>
      <c r="C766" s="163">
        <v>111.61</v>
      </c>
      <c r="F766" s="172">
        <v>44602</v>
      </c>
      <c r="G766" s="164">
        <v>211.5</v>
      </c>
      <c r="H766" s="164">
        <v>215.5</v>
      </c>
      <c r="K766" s="185">
        <v>44602</v>
      </c>
      <c r="L766" s="182">
        <v>207.15</v>
      </c>
      <c r="M766" s="184">
        <f t="shared" si="7"/>
        <v>-2.0567375886524797E-2</v>
      </c>
    </row>
    <row r="767" spans="1:13" ht="15.75" thickBot="1" x14ac:dyDescent="0.3">
      <c r="A767" s="172">
        <v>44603</v>
      </c>
      <c r="B767" s="164">
        <v>105.67</v>
      </c>
      <c r="C767" s="164">
        <v>111.67</v>
      </c>
      <c r="F767" s="173">
        <v>44603</v>
      </c>
      <c r="G767" s="163">
        <v>210.5</v>
      </c>
      <c r="H767" s="163">
        <v>215.5</v>
      </c>
      <c r="K767" s="186">
        <v>44603</v>
      </c>
      <c r="L767" s="181">
        <v>207.59</v>
      </c>
      <c r="M767" s="184">
        <f t="shared" si="7"/>
        <v>-1.3824228028503582E-2</v>
      </c>
    </row>
    <row r="768" spans="1:13" ht="15.75" thickBot="1" x14ac:dyDescent="0.3">
      <c r="A768" s="173">
        <v>44606</v>
      </c>
      <c r="B768" s="163">
        <v>106.01</v>
      </c>
      <c r="C768" s="163">
        <v>112.01</v>
      </c>
      <c r="F768" s="172">
        <v>44606</v>
      </c>
      <c r="G768" s="164">
        <v>211</v>
      </c>
      <c r="H768" s="164">
        <v>215</v>
      </c>
      <c r="K768" s="185">
        <v>44606</v>
      </c>
      <c r="L768" s="182">
        <v>207.41</v>
      </c>
      <c r="M768" s="184">
        <f t="shared" si="7"/>
        <v>-1.7014218009478665E-2</v>
      </c>
    </row>
    <row r="769" spans="1:13" ht="15.75" thickBot="1" x14ac:dyDescent="0.3">
      <c r="A769" s="172">
        <v>44607</v>
      </c>
      <c r="B769" s="164">
        <v>106.17</v>
      </c>
      <c r="C769" s="164">
        <v>112.17</v>
      </c>
      <c r="F769" s="173">
        <v>44607</v>
      </c>
      <c r="G769" s="163">
        <v>211</v>
      </c>
      <c r="H769" s="163">
        <v>215</v>
      </c>
      <c r="K769" s="186">
        <v>44607</v>
      </c>
      <c r="L769" s="181">
        <v>205.49</v>
      </c>
      <c r="M769" s="184">
        <f t="shared" si="7"/>
        <v>-2.6113744075829337E-2</v>
      </c>
    </row>
    <row r="770" spans="1:13" ht="15.75" thickBot="1" x14ac:dyDescent="0.3">
      <c r="A770" s="173">
        <v>44608</v>
      </c>
      <c r="B770" s="163">
        <v>106.21</v>
      </c>
      <c r="C770" s="163">
        <v>112.21</v>
      </c>
      <c r="F770" s="172">
        <v>44608</v>
      </c>
      <c r="G770" s="164">
        <v>211</v>
      </c>
      <c r="H770" s="164">
        <v>215</v>
      </c>
      <c r="K770" s="185">
        <v>44608</v>
      </c>
      <c r="L770" s="182">
        <v>203.93</v>
      </c>
      <c r="M770" s="184">
        <f t="shared" si="7"/>
        <v>-3.3507109004739299E-2</v>
      </c>
    </row>
    <row r="771" spans="1:13" ht="15.75" thickBot="1" x14ac:dyDescent="0.3">
      <c r="A771" s="172">
        <v>44609</v>
      </c>
      <c r="B771" s="164">
        <v>106.24</v>
      </c>
      <c r="C771" s="164">
        <v>112.24</v>
      </c>
      <c r="F771" s="173">
        <v>44609</v>
      </c>
      <c r="G771" s="163">
        <v>210</v>
      </c>
      <c r="H771" s="163">
        <v>214</v>
      </c>
      <c r="K771" s="186">
        <v>44609</v>
      </c>
      <c r="L771" s="181">
        <v>203.03</v>
      </c>
      <c r="M771" s="184">
        <f t="shared" si="7"/>
        <v>-3.3190476190476215E-2</v>
      </c>
    </row>
    <row r="772" spans="1:13" ht="15.75" thickBot="1" x14ac:dyDescent="0.3">
      <c r="A772" s="173">
        <v>44610</v>
      </c>
      <c r="B772" s="163">
        <v>106.48</v>
      </c>
      <c r="C772" s="163">
        <v>112.48</v>
      </c>
      <c r="F772" s="172">
        <v>44610</v>
      </c>
      <c r="G772" s="164">
        <v>207</v>
      </c>
      <c r="H772" s="164">
        <v>211</v>
      </c>
      <c r="K772" s="185">
        <v>44610</v>
      </c>
      <c r="L772" s="182">
        <v>199.72</v>
      </c>
      <c r="M772" s="184">
        <f t="shared" si="7"/>
        <v>-3.5169082125603879E-2</v>
      </c>
    </row>
    <row r="773" spans="1:13" ht="15.75" thickBot="1" x14ac:dyDescent="0.3">
      <c r="A773" s="172">
        <v>44613</v>
      </c>
      <c r="B773" s="164">
        <v>106.71</v>
      </c>
      <c r="C773" s="164">
        <v>112.71</v>
      </c>
      <c r="F773" s="173">
        <v>44613</v>
      </c>
      <c r="G773" s="163">
        <v>207.5</v>
      </c>
      <c r="H773" s="163">
        <v>211.5</v>
      </c>
      <c r="K773" s="186">
        <v>44613</v>
      </c>
      <c r="L773" s="181">
        <v>201.12</v>
      </c>
      <c r="M773" s="184">
        <f t="shared" si="7"/>
        <v>-3.0746987951807192E-2</v>
      </c>
    </row>
    <row r="774" spans="1:13" ht="15.75" thickBot="1" x14ac:dyDescent="0.3">
      <c r="A774" s="173">
        <v>44614</v>
      </c>
      <c r="B774" s="163">
        <v>106.8</v>
      </c>
      <c r="C774" s="163">
        <v>112.8</v>
      </c>
      <c r="F774" s="172">
        <v>44614</v>
      </c>
      <c r="G774" s="164">
        <v>206</v>
      </c>
      <c r="H774" s="164">
        <v>210</v>
      </c>
      <c r="K774" s="185">
        <v>44614</v>
      </c>
      <c r="L774" s="182">
        <v>196.05</v>
      </c>
      <c r="M774" s="184">
        <f t="shared" si="7"/>
        <v>-4.8300970873786375E-2</v>
      </c>
    </row>
    <row r="775" spans="1:13" ht="15.75" thickBot="1" x14ac:dyDescent="0.3">
      <c r="A775" s="172">
        <v>44615</v>
      </c>
      <c r="B775" s="164">
        <v>106.83</v>
      </c>
      <c r="C775" s="164">
        <v>112.83</v>
      </c>
      <c r="F775" s="173">
        <v>44615</v>
      </c>
      <c r="G775" s="163">
        <v>206</v>
      </c>
      <c r="H775" s="163">
        <v>210</v>
      </c>
      <c r="K775" s="186">
        <v>44615</v>
      </c>
      <c r="L775" s="181">
        <v>196.81</v>
      </c>
      <c r="M775" s="184">
        <f t="shared" si="7"/>
        <v>-4.4611650485436916E-2</v>
      </c>
    </row>
    <row r="776" spans="1:13" ht="15.75" thickBot="1" x14ac:dyDescent="0.3">
      <c r="A776" s="173">
        <v>44616</v>
      </c>
      <c r="B776" s="163">
        <v>106.89</v>
      </c>
      <c r="C776" s="163">
        <v>112.89</v>
      </c>
      <c r="F776" s="172">
        <v>44616</v>
      </c>
      <c r="G776" s="164">
        <v>206.5</v>
      </c>
      <c r="H776" s="164">
        <v>210.5</v>
      </c>
      <c r="K776" s="185">
        <v>44616</v>
      </c>
      <c r="L776" s="182">
        <v>197.19</v>
      </c>
      <c r="M776" s="184">
        <f t="shared" si="7"/>
        <v>-4.5084745762711931E-2</v>
      </c>
    </row>
    <row r="777" spans="1:13" ht="15.75" thickBot="1" x14ac:dyDescent="0.3">
      <c r="A777" s="172">
        <v>44617</v>
      </c>
      <c r="B777" s="164">
        <v>106.95</v>
      </c>
      <c r="C777" s="164">
        <v>112.95</v>
      </c>
      <c r="F777" s="173">
        <v>44617</v>
      </c>
      <c r="G777" s="163">
        <v>207</v>
      </c>
      <c r="H777" s="163">
        <v>211</v>
      </c>
      <c r="K777" s="186">
        <v>44617</v>
      </c>
      <c r="L777" s="181">
        <v>195.31</v>
      </c>
      <c r="M777" s="184">
        <f t="shared" si="7"/>
        <v>-5.6473429951690801E-2</v>
      </c>
    </row>
    <row r="778" spans="1:13" ht="15.75" thickBot="1" x14ac:dyDescent="0.3">
      <c r="A778" s="173">
        <v>44622</v>
      </c>
      <c r="B778" s="163">
        <v>107.33</v>
      </c>
      <c r="C778" s="163">
        <v>113.33</v>
      </c>
      <c r="F778" s="172">
        <v>44622</v>
      </c>
      <c r="G778" s="164">
        <v>202</v>
      </c>
      <c r="H778" s="164">
        <v>206</v>
      </c>
      <c r="K778" s="185">
        <v>44622</v>
      </c>
      <c r="L778" s="182">
        <v>196.84</v>
      </c>
      <c r="M778" s="184">
        <f t="shared" si="7"/>
        <v>-2.5544554455445567E-2</v>
      </c>
    </row>
    <row r="779" spans="1:13" ht="15.75" thickBot="1" x14ac:dyDescent="0.3">
      <c r="A779" s="172">
        <v>44623</v>
      </c>
      <c r="B779" s="164">
        <v>107.48</v>
      </c>
      <c r="C779" s="164">
        <v>113.48</v>
      </c>
      <c r="F779" s="173">
        <v>44623</v>
      </c>
      <c r="G779" s="163">
        <v>200</v>
      </c>
      <c r="H779" s="163">
        <v>204</v>
      </c>
      <c r="K779" s="186">
        <v>44623</v>
      </c>
      <c r="L779" s="181">
        <v>196.82</v>
      </c>
      <c r="M779" s="184">
        <f t="shared" si="7"/>
        <v>-1.5900000000000025E-2</v>
      </c>
    </row>
    <row r="780" spans="1:13" ht="15.75" thickBot="1" x14ac:dyDescent="0.3">
      <c r="A780" s="173">
        <v>44624</v>
      </c>
      <c r="B780" s="163">
        <v>107.69</v>
      </c>
      <c r="C780" s="163">
        <v>113.69</v>
      </c>
      <c r="F780" s="172">
        <v>44624</v>
      </c>
      <c r="G780" s="164">
        <v>197</v>
      </c>
      <c r="H780" s="164">
        <v>201</v>
      </c>
      <c r="K780" s="185">
        <v>44624</v>
      </c>
      <c r="L780" s="182">
        <v>197.6</v>
      </c>
      <c r="M780" s="184">
        <f t="shared" si="7"/>
        <v>3.0456852791878042E-3</v>
      </c>
    </row>
    <row r="781" spans="1:13" ht="15.75" thickBot="1" x14ac:dyDescent="0.3">
      <c r="A781" s="172">
        <v>44627</v>
      </c>
      <c r="B781" s="164">
        <v>107.94</v>
      </c>
      <c r="C781" s="164">
        <v>113.94</v>
      </c>
      <c r="F781" s="172">
        <v>44627</v>
      </c>
      <c r="G781" s="164">
        <v>197</v>
      </c>
      <c r="H781" s="164">
        <v>201</v>
      </c>
      <c r="K781" s="185">
        <v>44627</v>
      </c>
      <c r="L781" s="182">
        <v>197.28</v>
      </c>
      <c r="M781" s="184">
        <f t="shared" si="7"/>
        <v>1.4213197969543678E-3</v>
      </c>
    </row>
    <row r="782" spans="1:13" ht="15.75" thickBot="1" x14ac:dyDescent="0.3">
      <c r="A782" s="173">
        <v>44628</v>
      </c>
      <c r="B782" s="163">
        <v>108.06</v>
      </c>
      <c r="C782" s="163">
        <v>114.06</v>
      </c>
      <c r="F782" s="173">
        <v>44628</v>
      </c>
      <c r="G782" s="163">
        <v>198</v>
      </c>
      <c r="H782" s="163">
        <v>202</v>
      </c>
      <c r="K782" s="186">
        <v>44628</v>
      </c>
      <c r="L782" s="181">
        <v>194.54</v>
      </c>
      <c r="M782" s="184">
        <f t="shared" si="7"/>
        <v>-1.7474747474747532E-2</v>
      </c>
    </row>
    <row r="783" spans="1:13" ht="15.75" thickBot="1" x14ac:dyDescent="0.3">
      <c r="A783" s="172">
        <v>44629</v>
      </c>
      <c r="B783" s="164">
        <v>108.37</v>
      </c>
      <c r="C783" s="164">
        <v>114.37</v>
      </c>
      <c r="F783" s="172">
        <v>44629</v>
      </c>
      <c r="G783" s="164">
        <v>200.5</v>
      </c>
      <c r="H783" s="164">
        <v>204.5</v>
      </c>
      <c r="K783" s="185">
        <v>44629</v>
      </c>
      <c r="L783" s="182">
        <v>190.85</v>
      </c>
      <c r="M783" s="184">
        <f t="shared" si="7"/>
        <v>-4.8129675810473893E-2</v>
      </c>
    </row>
    <row r="784" spans="1:13" ht="15.75" thickBot="1" x14ac:dyDescent="0.3">
      <c r="A784" s="173">
        <v>44630</v>
      </c>
      <c r="B784" s="163">
        <v>108.38</v>
      </c>
      <c r="C784" s="163">
        <v>114.38</v>
      </c>
      <c r="F784" s="173">
        <v>44630</v>
      </c>
      <c r="G784" s="163">
        <v>199</v>
      </c>
      <c r="H784" s="163">
        <v>203</v>
      </c>
      <c r="K784" s="186">
        <v>44630</v>
      </c>
      <c r="L784" s="181">
        <v>189.62</v>
      </c>
      <c r="M784" s="184">
        <f t="shared" si="7"/>
        <v>-4.7135678391959757E-2</v>
      </c>
    </row>
    <row r="785" spans="1:13" ht="15.75" thickBot="1" x14ac:dyDescent="0.3">
      <c r="A785" s="172">
        <v>44631</v>
      </c>
      <c r="B785" s="164">
        <v>108.49</v>
      </c>
      <c r="C785" s="164">
        <v>114.49</v>
      </c>
      <c r="F785" s="172">
        <v>44631</v>
      </c>
      <c r="G785" s="164">
        <v>198</v>
      </c>
      <c r="H785" s="164">
        <v>202</v>
      </c>
      <c r="K785" s="185">
        <v>44631</v>
      </c>
      <c r="L785" s="182">
        <v>187.41</v>
      </c>
      <c r="M785" s="184">
        <f t="shared" si="7"/>
        <v>-5.3484848484848468E-2</v>
      </c>
    </row>
    <row r="786" spans="1:13" ht="15.75" thickBot="1" x14ac:dyDescent="0.3">
      <c r="A786" s="173">
        <v>44634</v>
      </c>
      <c r="B786" s="163">
        <v>108.72</v>
      </c>
      <c r="C786" s="163">
        <v>114.72</v>
      </c>
      <c r="F786" s="173">
        <v>44634</v>
      </c>
      <c r="G786" s="163">
        <v>196</v>
      </c>
      <c r="H786" s="163">
        <v>200</v>
      </c>
      <c r="K786" s="186">
        <v>44634</v>
      </c>
      <c r="L786" s="181">
        <v>185.6</v>
      </c>
      <c r="M786" s="184">
        <f t="shared" si="7"/>
        <v>-5.3061224489795999E-2</v>
      </c>
    </row>
    <row r="787" spans="1:13" ht="15.75" thickBot="1" x14ac:dyDescent="0.3">
      <c r="A787" s="172">
        <v>44635</v>
      </c>
      <c r="B787" s="164">
        <v>108.82</v>
      </c>
      <c r="C787" s="164">
        <v>114.82</v>
      </c>
      <c r="F787" s="172">
        <v>44635</v>
      </c>
      <c r="G787" s="164">
        <v>196</v>
      </c>
      <c r="H787" s="164">
        <v>200</v>
      </c>
      <c r="K787" s="185">
        <v>44635</v>
      </c>
      <c r="L787" s="182">
        <v>187.94</v>
      </c>
      <c r="M787" s="184">
        <f t="shared" si="7"/>
        <v>-4.112244897959183E-2</v>
      </c>
    </row>
    <row r="788" spans="1:13" ht="15.75" thickBot="1" x14ac:dyDescent="0.3">
      <c r="A788" s="173">
        <v>44636</v>
      </c>
      <c r="B788" s="163">
        <v>108.88</v>
      </c>
      <c r="C788" s="163">
        <v>114.88</v>
      </c>
      <c r="F788" s="173">
        <v>44636</v>
      </c>
      <c r="G788" s="163">
        <v>198</v>
      </c>
      <c r="H788" s="163">
        <v>202</v>
      </c>
      <c r="K788" s="186">
        <v>44636</v>
      </c>
      <c r="L788" s="181">
        <v>193.3</v>
      </c>
      <c r="M788" s="184">
        <f t="shared" si="7"/>
        <v>-2.3737373737373724E-2</v>
      </c>
    </row>
    <row r="789" spans="1:13" ht="15.75" thickBot="1" x14ac:dyDescent="0.3">
      <c r="A789" s="172">
        <v>44637</v>
      </c>
      <c r="B789" s="164">
        <v>108.91</v>
      </c>
      <c r="C789" s="164">
        <v>114.91</v>
      </c>
      <c r="F789" s="172">
        <v>44637</v>
      </c>
      <c r="G789" s="164">
        <v>198</v>
      </c>
      <c r="H789" s="164">
        <v>202</v>
      </c>
      <c r="K789" s="185">
        <v>44637</v>
      </c>
      <c r="L789" s="182">
        <v>195.27</v>
      </c>
      <c r="M789" s="184">
        <f t="shared" si="7"/>
        <v>-1.3787878787878682E-2</v>
      </c>
    </row>
    <row r="790" spans="1:13" ht="15.75" thickBot="1" x14ac:dyDescent="0.3">
      <c r="A790" s="173">
        <v>44638</v>
      </c>
      <c r="B790" s="163">
        <v>108.93</v>
      </c>
      <c r="C790" s="163">
        <v>114.93</v>
      </c>
      <c r="F790" s="173">
        <v>44638</v>
      </c>
      <c r="G790" s="163">
        <v>198.5</v>
      </c>
      <c r="H790" s="163">
        <v>202.5</v>
      </c>
      <c r="K790" s="186">
        <v>44638</v>
      </c>
      <c r="L790" s="181">
        <v>195.17</v>
      </c>
      <c r="M790" s="184">
        <f t="shared" si="7"/>
        <v>-1.6775818639798601E-2</v>
      </c>
    </row>
    <row r="791" spans="1:13" ht="15.75" thickBot="1" x14ac:dyDescent="0.3">
      <c r="A791" s="172">
        <v>44641</v>
      </c>
      <c r="B791" s="164">
        <v>109.35</v>
      </c>
      <c r="C791" s="164">
        <v>115.35</v>
      </c>
      <c r="F791" s="172">
        <v>44641</v>
      </c>
      <c r="G791" s="164">
        <v>198</v>
      </c>
      <c r="H791" s="164">
        <v>202</v>
      </c>
      <c r="K791" s="185">
        <v>44641</v>
      </c>
      <c r="L791" s="182">
        <v>197.9</v>
      </c>
      <c r="M791" s="184">
        <f t="shared" si="7"/>
        <v>-5.0505050505045279E-4</v>
      </c>
    </row>
    <row r="792" spans="1:13" ht="15.75" thickBot="1" x14ac:dyDescent="0.3">
      <c r="A792" s="173">
        <v>44642</v>
      </c>
      <c r="B792" s="163">
        <v>109.42</v>
      </c>
      <c r="C792" s="163">
        <v>115.42</v>
      </c>
      <c r="F792" s="173">
        <v>44642</v>
      </c>
      <c r="G792" s="163">
        <v>197</v>
      </c>
      <c r="H792" s="163">
        <v>201</v>
      </c>
      <c r="K792" s="186">
        <v>44642</v>
      </c>
      <c r="L792" s="181">
        <v>199.82</v>
      </c>
      <c r="M792" s="184">
        <f t="shared" si="7"/>
        <v>1.4314720812182768E-2</v>
      </c>
    </row>
    <row r="793" spans="1:13" ht="15.75" thickBot="1" x14ac:dyDescent="0.3">
      <c r="A793" s="172">
        <v>44643</v>
      </c>
      <c r="B793" s="164">
        <v>109.61</v>
      </c>
      <c r="C793" s="164">
        <v>115.61</v>
      </c>
      <c r="F793" s="172">
        <v>44643</v>
      </c>
      <c r="G793" s="164">
        <v>197</v>
      </c>
      <c r="H793" s="164">
        <v>201</v>
      </c>
      <c r="K793" s="185">
        <v>44643</v>
      </c>
      <c r="L793" s="182">
        <v>200.72</v>
      </c>
      <c r="M793" s="184">
        <f t="shared" si="7"/>
        <v>1.8883248730964475E-2</v>
      </c>
    </row>
    <row r="794" spans="1:13" ht="15.75" thickBot="1" x14ac:dyDescent="0.3">
      <c r="A794" s="173">
        <v>44645</v>
      </c>
      <c r="B794" s="163">
        <v>109.69</v>
      </c>
      <c r="C794" s="163">
        <v>115.69</v>
      </c>
      <c r="F794" s="173">
        <v>44645</v>
      </c>
      <c r="G794" s="163">
        <v>198</v>
      </c>
      <c r="H794" s="163">
        <v>202</v>
      </c>
      <c r="K794" s="186">
        <v>44645</v>
      </c>
      <c r="L794" s="181">
        <v>200.31</v>
      </c>
      <c r="M794" s="184">
        <f t="shared" si="7"/>
        <v>1.1666666666666714E-2</v>
      </c>
    </row>
    <row r="795" spans="1:13" ht="15.75" thickBot="1" x14ac:dyDescent="0.3">
      <c r="A795" s="172">
        <v>44648</v>
      </c>
      <c r="B795" s="164">
        <v>110.19</v>
      </c>
      <c r="C795" s="164">
        <v>116.19</v>
      </c>
      <c r="F795" s="172">
        <v>44648</v>
      </c>
      <c r="G795" s="164">
        <v>196</v>
      </c>
      <c r="H795" s="164">
        <v>200</v>
      </c>
      <c r="K795" s="185">
        <v>44648</v>
      </c>
      <c r="L795" s="182">
        <v>196.27</v>
      </c>
      <c r="M795" s="184">
        <f t="shared" si="7"/>
        <v>1.377551020408152E-3</v>
      </c>
    </row>
    <row r="796" spans="1:13" ht="15.75" thickBot="1" x14ac:dyDescent="0.3">
      <c r="A796" s="173">
        <v>44649</v>
      </c>
      <c r="B796" s="163">
        <v>110.21</v>
      </c>
      <c r="C796" s="163">
        <v>116.21</v>
      </c>
      <c r="F796" s="173">
        <v>44649</v>
      </c>
      <c r="G796" s="163">
        <v>196</v>
      </c>
      <c r="H796" s="163">
        <v>200</v>
      </c>
      <c r="K796" s="186">
        <v>44649</v>
      </c>
      <c r="L796" s="181">
        <v>191.99</v>
      </c>
      <c r="M796" s="184">
        <f t="shared" si="7"/>
        <v>-2.0459183673469328E-2</v>
      </c>
    </row>
    <row r="797" spans="1:13" ht="15.75" thickBot="1" x14ac:dyDescent="0.3">
      <c r="A797" s="172">
        <v>44650</v>
      </c>
      <c r="B797" s="164">
        <v>110.31</v>
      </c>
      <c r="C797" s="164">
        <v>116.31</v>
      </c>
      <c r="F797" s="172">
        <v>44650</v>
      </c>
      <c r="G797" s="164">
        <v>197</v>
      </c>
      <c r="H797" s="164">
        <v>201</v>
      </c>
      <c r="K797" s="185">
        <v>44650</v>
      </c>
      <c r="L797" s="182">
        <v>192.52</v>
      </c>
      <c r="M797" s="184">
        <f t="shared" si="7"/>
        <v>-2.2741116751268997E-2</v>
      </c>
    </row>
    <row r="798" spans="1:13" ht="15.75" thickBot="1" x14ac:dyDescent="0.3">
      <c r="A798" s="173">
        <v>44651</v>
      </c>
      <c r="B798" s="163">
        <v>110.45</v>
      </c>
      <c r="C798" s="163">
        <v>116.45</v>
      </c>
      <c r="F798" s="173">
        <v>44651</v>
      </c>
      <c r="G798" s="163">
        <v>196</v>
      </c>
      <c r="H798" s="163">
        <v>200</v>
      </c>
      <c r="K798" s="186">
        <v>44651</v>
      </c>
      <c r="L798" s="181">
        <v>190.56</v>
      </c>
      <c r="M798" s="184">
        <f t="shared" si="7"/>
        <v>-2.7755102040816326E-2</v>
      </c>
    </row>
    <row r="799" spans="1:13" ht="15.75" thickBot="1" x14ac:dyDescent="0.3">
      <c r="A799" s="172">
        <v>44652</v>
      </c>
      <c r="B799" s="164">
        <v>110.64</v>
      </c>
      <c r="C799" s="164">
        <v>116.64</v>
      </c>
      <c r="F799" s="172">
        <v>44652</v>
      </c>
      <c r="G799" s="164">
        <v>196</v>
      </c>
      <c r="H799" s="164">
        <v>200</v>
      </c>
      <c r="K799" s="185">
        <v>44652</v>
      </c>
      <c r="L799" s="182">
        <v>189.75</v>
      </c>
      <c r="M799" s="184">
        <f t="shared" si="7"/>
        <v>-3.1887755102040782E-2</v>
      </c>
    </row>
    <row r="800" spans="1:13" ht="15.75" thickBot="1" x14ac:dyDescent="0.3">
      <c r="A800" s="173">
        <v>44655</v>
      </c>
      <c r="B800" s="163">
        <v>111.02</v>
      </c>
      <c r="C800" s="163">
        <v>117.02</v>
      </c>
      <c r="F800" s="173">
        <v>44655</v>
      </c>
      <c r="G800" s="163">
        <v>195</v>
      </c>
      <c r="H800" s="163">
        <v>199</v>
      </c>
      <c r="K800" s="186">
        <v>44655</v>
      </c>
      <c r="L800" s="181">
        <v>190.88</v>
      </c>
      <c r="M800" s="184">
        <f t="shared" si="7"/>
        <v>-2.1128205128205124E-2</v>
      </c>
    </row>
    <row r="801" spans="1:13" ht="15.75" thickBot="1" x14ac:dyDescent="0.3">
      <c r="A801" s="172">
        <v>44656</v>
      </c>
      <c r="B801" s="164">
        <v>111.1</v>
      </c>
      <c r="C801" s="164">
        <v>117.1</v>
      </c>
      <c r="F801" s="172">
        <v>44656</v>
      </c>
      <c r="G801" s="164">
        <v>192</v>
      </c>
      <c r="H801" s="164">
        <v>196</v>
      </c>
      <c r="K801" s="185">
        <v>44656</v>
      </c>
      <c r="L801" s="182">
        <v>190.17</v>
      </c>
      <c r="M801" s="184">
        <f t="shared" si="7"/>
        <v>-9.5312500000001021E-3</v>
      </c>
    </row>
    <row r="802" spans="1:13" ht="15.75" thickBot="1" x14ac:dyDescent="0.3">
      <c r="A802" s="173">
        <v>44657</v>
      </c>
      <c r="B802" s="163">
        <v>111.33</v>
      </c>
      <c r="C802" s="163">
        <v>117.33</v>
      </c>
      <c r="F802" s="173">
        <v>44657</v>
      </c>
      <c r="G802" s="163">
        <v>192</v>
      </c>
      <c r="H802" s="163">
        <v>196</v>
      </c>
      <c r="K802" s="186">
        <v>44657</v>
      </c>
      <c r="L802" s="181">
        <v>190.21</v>
      </c>
      <c r="M802" s="184">
        <f t="shared" si="7"/>
        <v>-9.3229166666666252E-3</v>
      </c>
    </row>
    <row r="803" spans="1:13" ht="15.75" thickBot="1" x14ac:dyDescent="0.3">
      <c r="A803" s="172">
        <v>44658</v>
      </c>
      <c r="B803" s="164">
        <v>111.65</v>
      </c>
      <c r="C803" s="164">
        <v>117.65</v>
      </c>
      <c r="F803" s="172">
        <v>44658</v>
      </c>
      <c r="G803" s="164">
        <v>192</v>
      </c>
      <c r="H803" s="164">
        <v>196</v>
      </c>
      <c r="K803" s="185">
        <v>44658</v>
      </c>
      <c r="L803" s="182">
        <v>192.32</v>
      </c>
      <c r="M803" s="184">
        <f t="shared" si="7"/>
        <v>1.6666666666667052E-3</v>
      </c>
    </row>
    <row r="804" spans="1:13" ht="15.75" thickBot="1" x14ac:dyDescent="0.3">
      <c r="A804" s="173">
        <v>44659</v>
      </c>
      <c r="B804" s="163">
        <v>111.69</v>
      </c>
      <c r="C804" s="163">
        <v>117.69</v>
      </c>
      <c r="F804" s="173">
        <v>44659</v>
      </c>
      <c r="G804" s="163">
        <v>192.5</v>
      </c>
      <c r="H804" s="163">
        <v>196.5</v>
      </c>
      <c r="K804" s="186">
        <v>44659</v>
      </c>
      <c r="L804" s="181">
        <v>191.15</v>
      </c>
      <c r="M804" s="184">
        <f t="shared" si="7"/>
        <v>-7.0129870129870264E-3</v>
      </c>
    </row>
    <row r="805" spans="1:13" ht="15.75" thickBot="1" x14ac:dyDescent="0.3">
      <c r="A805" s="172">
        <v>44662</v>
      </c>
      <c r="B805" s="164">
        <v>112.02</v>
      </c>
      <c r="C805" s="164">
        <v>118.02</v>
      </c>
      <c r="F805" s="172">
        <v>44662</v>
      </c>
      <c r="G805" s="164">
        <v>191</v>
      </c>
      <c r="H805" s="164">
        <v>195</v>
      </c>
      <c r="K805" s="185">
        <v>44662</v>
      </c>
      <c r="L805" s="182">
        <v>191.31</v>
      </c>
      <c r="M805" s="184">
        <f t="shared" si="7"/>
        <v>1.6230366492147041E-3</v>
      </c>
    </row>
    <row r="806" spans="1:13" ht="15.75" thickBot="1" x14ac:dyDescent="0.3">
      <c r="A806" s="173">
        <v>44663</v>
      </c>
      <c r="B806" s="163">
        <v>112.1</v>
      </c>
      <c r="C806" s="163">
        <v>118.1</v>
      </c>
      <c r="F806" s="173">
        <v>44663</v>
      </c>
      <c r="G806" s="163">
        <v>191</v>
      </c>
      <c r="H806" s="163">
        <v>195</v>
      </c>
      <c r="K806" s="186">
        <v>44663</v>
      </c>
      <c r="L806" s="181">
        <v>191.67</v>
      </c>
      <c r="M806" s="184">
        <f t="shared" si="7"/>
        <v>3.5078534031411923E-3</v>
      </c>
    </row>
    <row r="807" spans="1:13" ht="15.75" thickBot="1" x14ac:dyDescent="0.3">
      <c r="A807" s="172">
        <v>44664</v>
      </c>
      <c r="B807" s="164">
        <v>112.39</v>
      </c>
      <c r="C807" s="164">
        <v>118.39</v>
      </c>
      <c r="F807" s="172">
        <v>44664</v>
      </c>
      <c r="G807" s="164">
        <v>191</v>
      </c>
      <c r="H807" s="164">
        <v>195</v>
      </c>
      <c r="K807" s="185">
        <v>44664</v>
      </c>
      <c r="L807" s="182">
        <v>191.33</v>
      </c>
      <c r="M807" s="184">
        <f t="shared" si="7"/>
        <v>1.7277486910995954E-3</v>
      </c>
    </row>
    <row r="808" spans="1:13" ht="15.75" thickBot="1" x14ac:dyDescent="0.3">
      <c r="A808" s="173">
        <v>44669</v>
      </c>
      <c r="B808" s="163">
        <v>112.88</v>
      </c>
      <c r="C808" s="163">
        <v>118.88</v>
      </c>
      <c r="F808" s="173">
        <v>44669</v>
      </c>
      <c r="G808" s="163">
        <v>191</v>
      </c>
      <c r="H808" s="163">
        <v>195</v>
      </c>
      <c r="K808" s="186">
        <v>44669</v>
      </c>
      <c r="L808" s="181">
        <v>189.3</v>
      </c>
      <c r="M808" s="184">
        <f t="shared" si="7"/>
        <v>-8.9005235602093169E-3</v>
      </c>
    </row>
    <row r="809" spans="1:13" ht="15.75" thickBot="1" x14ac:dyDescent="0.3">
      <c r="A809" s="172">
        <v>44670</v>
      </c>
      <c r="B809" s="164">
        <v>113.03</v>
      </c>
      <c r="C809" s="164">
        <v>119.03</v>
      </c>
      <c r="F809" s="172">
        <v>44670</v>
      </c>
      <c r="G809" s="164">
        <v>194</v>
      </c>
      <c r="H809" s="164">
        <v>198</v>
      </c>
      <c r="K809" s="185">
        <v>44670</v>
      </c>
      <c r="L809" s="182">
        <v>191.69</v>
      </c>
      <c r="M809" s="184">
        <f t="shared" si="7"/>
        <v>-1.1907216494845385E-2</v>
      </c>
    </row>
    <row r="810" spans="1:13" ht="15.75" thickBot="1" x14ac:dyDescent="0.3">
      <c r="A810" s="173">
        <v>44671</v>
      </c>
      <c r="B810" s="163">
        <v>113.16</v>
      </c>
      <c r="C810" s="163">
        <v>119.16</v>
      </c>
      <c r="F810" s="173">
        <v>44671</v>
      </c>
      <c r="G810" s="163">
        <v>195.5</v>
      </c>
      <c r="H810" s="163">
        <v>199.5</v>
      </c>
      <c r="K810" s="186">
        <v>44671</v>
      </c>
      <c r="L810" s="181">
        <v>195.24</v>
      </c>
      <c r="M810" s="184">
        <f t="shared" si="7"/>
        <v>-1.3299232736572186E-3</v>
      </c>
    </row>
    <row r="811" spans="1:13" ht="15.75" thickBot="1" x14ac:dyDescent="0.3">
      <c r="A811" s="172">
        <v>44672</v>
      </c>
      <c r="B811" s="164">
        <v>113.58</v>
      </c>
      <c r="C811" s="164">
        <v>119.58</v>
      </c>
      <c r="F811" s="172">
        <v>44672</v>
      </c>
      <c r="G811" s="164">
        <v>198</v>
      </c>
      <c r="H811" s="164">
        <v>202</v>
      </c>
      <c r="K811" s="185">
        <v>44672</v>
      </c>
      <c r="L811" s="182">
        <v>203.97</v>
      </c>
      <c r="M811" s="184">
        <f t="shared" si="7"/>
        <v>3.015151515151504E-2</v>
      </c>
    </row>
    <row r="812" spans="1:13" ht="15.75" thickBot="1" x14ac:dyDescent="0.3">
      <c r="A812" s="173">
        <v>44673</v>
      </c>
      <c r="B812" s="163">
        <v>113.69</v>
      </c>
      <c r="C812" s="163">
        <v>119.69</v>
      </c>
      <c r="F812" s="173">
        <v>44673</v>
      </c>
      <c r="G812" s="163">
        <v>199</v>
      </c>
      <c r="H812" s="163">
        <v>203</v>
      </c>
      <c r="K812" s="186">
        <v>44673</v>
      </c>
      <c r="L812" s="181">
        <v>208.27</v>
      </c>
      <c r="M812" s="184">
        <f t="shared" si="7"/>
        <v>4.6582914572864453E-2</v>
      </c>
    </row>
    <row r="813" spans="1:13" ht="15.75" thickBot="1" x14ac:dyDescent="0.3">
      <c r="A813" s="172">
        <v>44676</v>
      </c>
      <c r="B813" s="164">
        <v>113.78</v>
      </c>
      <c r="C813" s="164">
        <v>119.78</v>
      </c>
      <c r="F813" s="172">
        <v>44676</v>
      </c>
      <c r="G813" s="164">
        <v>201.5</v>
      </c>
      <c r="H813" s="164">
        <v>205.5</v>
      </c>
      <c r="K813" s="185">
        <v>44676</v>
      </c>
      <c r="L813" s="182">
        <v>207.96</v>
      </c>
      <c r="M813" s="184">
        <f t="shared" si="7"/>
        <v>3.205955334987598E-2</v>
      </c>
    </row>
    <row r="814" spans="1:13" ht="15.75" thickBot="1" x14ac:dyDescent="0.3">
      <c r="A814" s="173">
        <v>44677</v>
      </c>
      <c r="B814" s="163">
        <v>114.1</v>
      </c>
      <c r="C814" s="163">
        <v>120.1</v>
      </c>
      <c r="F814" s="173">
        <v>44677</v>
      </c>
      <c r="G814" s="163">
        <v>208.5</v>
      </c>
      <c r="H814" s="163">
        <v>212.5</v>
      </c>
      <c r="K814" s="186">
        <v>44677</v>
      </c>
      <c r="L814" s="181">
        <v>212.07</v>
      </c>
      <c r="M814" s="184">
        <f t="shared" si="7"/>
        <v>1.7122302158273373E-2</v>
      </c>
    </row>
    <row r="815" spans="1:13" ht="15.75" thickBot="1" x14ac:dyDescent="0.3">
      <c r="A815" s="172">
        <v>44678</v>
      </c>
      <c r="B815" s="164">
        <v>114.13</v>
      </c>
      <c r="C815" s="164">
        <v>120.13</v>
      </c>
      <c r="F815" s="172">
        <v>44678</v>
      </c>
      <c r="G815" s="164">
        <v>202.5</v>
      </c>
      <c r="H815" s="164">
        <v>206.5</v>
      </c>
      <c r="K815" s="185">
        <v>44678</v>
      </c>
      <c r="L815" s="182">
        <v>208.33</v>
      </c>
      <c r="M815" s="184">
        <f t="shared" si="7"/>
        <v>2.8790123456790218E-2</v>
      </c>
    </row>
    <row r="816" spans="1:13" ht="15.75" thickBot="1" x14ac:dyDescent="0.3">
      <c r="A816" s="173">
        <v>44679</v>
      </c>
      <c r="B816" s="163">
        <v>114.29</v>
      </c>
      <c r="C816" s="163">
        <v>120.29</v>
      </c>
      <c r="F816" s="173">
        <v>44679</v>
      </c>
      <c r="G816" s="163">
        <v>200</v>
      </c>
      <c r="H816" s="163">
        <v>204</v>
      </c>
      <c r="K816" s="186">
        <v>44679</v>
      </c>
      <c r="L816" s="181">
        <v>203.99</v>
      </c>
      <c r="M816" s="184">
        <f t="shared" si="7"/>
        <v>1.9950000000000134E-2</v>
      </c>
    </row>
    <row r="817" spans="1:13" ht="15.75" thickBot="1" x14ac:dyDescent="0.3">
      <c r="A817" s="172">
        <v>44680</v>
      </c>
      <c r="B817" s="164">
        <v>114.64</v>
      </c>
      <c r="C817" s="164">
        <v>120.64</v>
      </c>
      <c r="F817" s="172">
        <v>44680</v>
      </c>
      <c r="G817" s="164">
        <v>196.5</v>
      </c>
      <c r="H817" s="164">
        <v>200.5</v>
      </c>
      <c r="K817" s="185">
        <v>44680</v>
      </c>
      <c r="L817" s="182">
        <v>205.99</v>
      </c>
      <c r="M817" s="184">
        <f t="shared" ref="M817:M880" si="8">+L817/G817-1</f>
        <v>4.8295165394402151E-2</v>
      </c>
    </row>
    <row r="818" spans="1:13" ht="15.75" thickBot="1" x14ac:dyDescent="0.3">
      <c r="A818" s="173">
        <v>44683</v>
      </c>
      <c r="B818" s="163">
        <v>114.97</v>
      </c>
      <c r="C818" s="163">
        <v>120.97</v>
      </c>
      <c r="F818" s="173">
        <v>44683</v>
      </c>
      <c r="G818" s="163">
        <v>197</v>
      </c>
      <c r="H818" s="163">
        <v>201</v>
      </c>
      <c r="K818" s="186">
        <v>44683</v>
      </c>
      <c r="L818" s="181">
        <v>209.38</v>
      </c>
      <c r="M818" s="184">
        <f t="shared" si="8"/>
        <v>6.2842639593908567E-2</v>
      </c>
    </row>
    <row r="819" spans="1:13" ht="15.75" thickBot="1" x14ac:dyDescent="0.3">
      <c r="A819" s="172">
        <v>44684</v>
      </c>
      <c r="B819" s="164">
        <v>115.33</v>
      </c>
      <c r="C819" s="164">
        <v>121.33</v>
      </c>
      <c r="F819" s="172">
        <v>44684</v>
      </c>
      <c r="G819" s="164">
        <v>199.5</v>
      </c>
      <c r="H819" s="164">
        <v>203.5</v>
      </c>
      <c r="K819" s="185">
        <v>44684</v>
      </c>
      <c r="L819" s="182">
        <v>207.49</v>
      </c>
      <c r="M819" s="184">
        <f t="shared" si="8"/>
        <v>4.0050125313283225E-2</v>
      </c>
    </row>
    <row r="820" spans="1:13" ht="15.75" thickBot="1" x14ac:dyDescent="0.3">
      <c r="A820" s="173">
        <v>44685</v>
      </c>
      <c r="B820" s="163">
        <v>115.45</v>
      </c>
      <c r="C820" s="163">
        <v>121.45</v>
      </c>
      <c r="F820" s="173">
        <v>44685</v>
      </c>
      <c r="G820" s="163">
        <v>197</v>
      </c>
      <c r="H820" s="163">
        <v>201</v>
      </c>
      <c r="K820" s="186">
        <v>44685</v>
      </c>
      <c r="L820" s="181">
        <v>203.57</v>
      </c>
      <c r="M820" s="184">
        <f t="shared" si="8"/>
        <v>3.3350253807106656E-2</v>
      </c>
    </row>
    <row r="821" spans="1:13" ht="15.75" thickBot="1" x14ac:dyDescent="0.3">
      <c r="A821" s="172">
        <v>44686</v>
      </c>
      <c r="B821" s="164">
        <v>115.73</v>
      </c>
      <c r="C821" s="164">
        <v>121.73</v>
      </c>
      <c r="F821" s="172">
        <v>44686</v>
      </c>
      <c r="G821" s="164">
        <v>197.5</v>
      </c>
      <c r="H821" s="164">
        <v>201.5</v>
      </c>
      <c r="K821" s="185">
        <v>44686</v>
      </c>
      <c r="L821" s="182">
        <v>205.39</v>
      </c>
      <c r="M821" s="184">
        <f t="shared" si="8"/>
        <v>3.9949367088607524E-2</v>
      </c>
    </row>
    <row r="822" spans="1:13" ht="15.75" thickBot="1" x14ac:dyDescent="0.3">
      <c r="A822" s="173">
        <v>44687</v>
      </c>
      <c r="B822" s="163">
        <v>115.97</v>
      </c>
      <c r="C822" s="163">
        <v>121.97</v>
      </c>
      <c r="F822" s="173">
        <v>44687</v>
      </c>
      <c r="G822" s="163">
        <v>197</v>
      </c>
      <c r="H822" s="163">
        <v>201</v>
      </c>
      <c r="K822" s="186">
        <v>44687</v>
      </c>
      <c r="L822" s="181">
        <v>208.49</v>
      </c>
      <c r="M822" s="184">
        <f t="shared" si="8"/>
        <v>5.8324873096446739E-2</v>
      </c>
    </row>
    <row r="823" spans="1:13" ht="15.75" thickBot="1" x14ac:dyDescent="0.3">
      <c r="A823" s="172">
        <v>44690</v>
      </c>
      <c r="B823" s="164">
        <v>116.16</v>
      </c>
      <c r="C823" s="164">
        <v>122.16</v>
      </c>
      <c r="F823" s="172">
        <v>44690</v>
      </c>
      <c r="G823" s="164">
        <v>197.5</v>
      </c>
      <c r="H823" s="164">
        <v>201.5</v>
      </c>
      <c r="K823" s="185">
        <v>44690</v>
      </c>
      <c r="L823" s="182">
        <v>206.52</v>
      </c>
      <c r="M823" s="184">
        <f t="shared" si="8"/>
        <v>4.567088607594938E-2</v>
      </c>
    </row>
    <row r="824" spans="1:13" ht="15.75" thickBot="1" x14ac:dyDescent="0.3">
      <c r="A824" s="172">
        <v>44691</v>
      </c>
      <c r="B824" s="164">
        <v>116.32</v>
      </c>
      <c r="C824" s="164">
        <v>122.32</v>
      </c>
      <c r="F824" s="173">
        <v>44691</v>
      </c>
      <c r="G824" s="163">
        <v>198</v>
      </c>
      <c r="H824" s="163">
        <v>202</v>
      </c>
      <c r="K824" s="186">
        <v>44691</v>
      </c>
      <c r="L824" s="181">
        <v>207.79</v>
      </c>
      <c r="M824" s="184">
        <f t="shared" si="8"/>
        <v>4.9444444444444402E-2</v>
      </c>
    </row>
    <row r="825" spans="1:13" ht="15.75" thickBot="1" x14ac:dyDescent="0.3">
      <c r="A825" s="173">
        <v>44692</v>
      </c>
      <c r="B825" s="163">
        <v>116.5</v>
      </c>
      <c r="C825" s="163">
        <v>122.5</v>
      </c>
      <c r="F825" s="172">
        <v>44692</v>
      </c>
      <c r="G825" s="164">
        <v>201</v>
      </c>
      <c r="H825" s="164">
        <v>205</v>
      </c>
      <c r="K825" s="185">
        <v>44692</v>
      </c>
      <c r="L825" s="182">
        <v>207.08</v>
      </c>
      <c r="M825" s="184">
        <f t="shared" si="8"/>
        <v>3.0248756218905548E-2</v>
      </c>
    </row>
    <row r="826" spans="1:13" ht="15.75" thickBot="1" x14ac:dyDescent="0.3">
      <c r="A826" s="172">
        <v>44693</v>
      </c>
      <c r="B826" s="164">
        <v>116.7</v>
      </c>
      <c r="C826" s="164">
        <v>122.7</v>
      </c>
      <c r="F826" s="173">
        <v>44693</v>
      </c>
      <c r="G826" s="163">
        <v>199.5</v>
      </c>
      <c r="H826" s="163">
        <v>203.5</v>
      </c>
      <c r="K826" s="186">
        <v>44693</v>
      </c>
      <c r="L826" s="181">
        <v>206.38</v>
      </c>
      <c r="M826" s="184">
        <f t="shared" si="8"/>
        <v>3.4486215538847009E-2</v>
      </c>
    </row>
    <row r="827" spans="1:13" ht="15.75" thickBot="1" x14ac:dyDescent="0.3">
      <c r="A827" s="173">
        <v>44694</v>
      </c>
      <c r="B827" s="163">
        <v>117.11</v>
      </c>
      <c r="C827" s="163">
        <v>123.11</v>
      </c>
      <c r="F827" s="172">
        <v>44694</v>
      </c>
      <c r="G827" s="164">
        <v>199.5</v>
      </c>
      <c r="H827" s="164">
        <v>203.5</v>
      </c>
      <c r="K827" s="185">
        <v>44694</v>
      </c>
      <c r="L827" s="182">
        <v>210.85</v>
      </c>
      <c r="M827" s="184">
        <f t="shared" si="8"/>
        <v>5.6892230576440994E-2</v>
      </c>
    </row>
    <row r="828" spans="1:13" ht="15.75" thickBot="1" x14ac:dyDescent="0.3">
      <c r="A828" s="173">
        <v>44697</v>
      </c>
      <c r="B828" s="163">
        <v>117.27</v>
      </c>
      <c r="C828" s="163">
        <v>123.27</v>
      </c>
      <c r="F828" s="173">
        <v>44697</v>
      </c>
      <c r="G828" s="163">
        <v>201</v>
      </c>
      <c r="H828" s="163">
        <v>205</v>
      </c>
      <c r="K828" s="186">
        <v>44697</v>
      </c>
      <c r="L828" s="181">
        <v>210.79</v>
      </c>
      <c r="M828" s="184">
        <f t="shared" si="8"/>
        <v>4.870646766169151E-2</v>
      </c>
    </row>
    <row r="829" spans="1:13" ht="15.75" thickBot="1" x14ac:dyDescent="0.3">
      <c r="A829" s="172">
        <v>44698</v>
      </c>
      <c r="B829" s="164">
        <v>117.55</v>
      </c>
      <c r="C829" s="164">
        <v>123.55</v>
      </c>
      <c r="F829" s="172">
        <v>44698</v>
      </c>
      <c r="G829" s="164">
        <v>204</v>
      </c>
      <c r="H829" s="164">
        <v>208</v>
      </c>
      <c r="K829" s="185">
        <v>44698</v>
      </c>
      <c r="L829" s="182">
        <v>209.31</v>
      </c>
      <c r="M829" s="184">
        <f t="shared" si="8"/>
        <v>2.6029411764705968E-2</v>
      </c>
    </row>
    <row r="830" spans="1:13" ht="15.75" thickBot="1" x14ac:dyDescent="0.3">
      <c r="A830" s="173">
        <v>44700</v>
      </c>
      <c r="B830" s="163">
        <v>117.77</v>
      </c>
      <c r="C830" s="163">
        <v>123.77</v>
      </c>
      <c r="F830" s="173">
        <v>44700</v>
      </c>
      <c r="G830" s="163">
        <v>202</v>
      </c>
      <c r="H830" s="163">
        <v>206</v>
      </c>
      <c r="K830" s="186">
        <v>44700</v>
      </c>
      <c r="L830" s="181">
        <v>207.88</v>
      </c>
      <c r="M830" s="184">
        <f t="shared" si="8"/>
        <v>2.9108910891089135E-2</v>
      </c>
    </row>
    <row r="831" spans="1:13" ht="15.75" thickBot="1" x14ac:dyDescent="0.3">
      <c r="A831" s="172">
        <v>44701</v>
      </c>
      <c r="B831" s="164">
        <v>117.91</v>
      </c>
      <c r="C831" s="164">
        <v>123.91</v>
      </c>
      <c r="F831" s="172">
        <v>44701</v>
      </c>
      <c r="G831" s="164">
        <v>201</v>
      </c>
      <c r="H831" s="164">
        <v>204</v>
      </c>
      <c r="K831" s="185">
        <v>44701</v>
      </c>
      <c r="L831" s="182">
        <v>209.56</v>
      </c>
      <c r="M831" s="184">
        <f t="shared" si="8"/>
        <v>4.2587064676616881E-2</v>
      </c>
    </row>
    <row r="832" spans="1:13" ht="15.75" thickBot="1" x14ac:dyDescent="0.3">
      <c r="A832" s="173">
        <v>44704</v>
      </c>
      <c r="B832" s="163">
        <v>118.33</v>
      </c>
      <c r="C832" s="163">
        <v>124.33</v>
      </c>
      <c r="F832" s="173">
        <v>44704</v>
      </c>
      <c r="G832" s="163">
        <v>202.5</v>
      </c>
      <c r="H832" s="163">
        <v>206.5</v>
      </c>
      <c r="K832" s="186">
        <v>44704</v>
      </c>
      <c r="L832" s="181">
        <v>210.61</v>
      </c>
      <c r="M832" s="184">
        <f t="shared" si="8"/>
        <v>4.004938271604952E-2</v>
      </c>
    </row>
    <row r="833" spans="1:13" ht="15.75" thickBot="1" x14ac:dyDescent="0.3">
      <c r="A833" s="172">
        <v>44705</v>
      </c>
      <c r="B833" s="164">
        <v>118.45</v>
      </c>
      <c r="C833" s="164">
        <v>124.45</v>
      </c>
      <c r="F833" s="172">
        <v>44705</v>
      </c>
      <c r="G833" s="164">
        <v>204</v>
      </c>
      <c r="H833" s="164">
        <v>208</v>
      </c>
      <c r="K833" s="185">
        <v>44705</v>
      </c>
      <c r="L833" s="182">
        <v>211.33</v>
      </c>
      <c r="M833" s="184">
        <f t="shared" si="8"/>
        <v>3.5931372549019569E-2</v>
      </c>
    </row>
    <row r="834" spans="1:13" ht="15.75" thickBot="1" x14ac:dyDescent="0.3">
      <c r="A834" s="173">
        <v>44707</v>
      </c>
      <c r="B834" s="163">
        <v>118.62</v>
      </c>
      <c r="C834" s="163">
        <v>124.62</v>
      </c>
      <c r="F834" s="173">
        <v>44707</v>
      </c>
      <c r="G834" s="163">
        <v>203</v>
      </c>
      <c r="H834" s="163">
        <v>207</v>
      </c>
      <c r="K834" s="186">
        <v>44707</v>
      </c>
      <c r="L834" s="181">
        <v>211.41</v>
      </c>
      <c r="M834" s="184">
        <f t="shared" si="8"/>
        <v>4.142857142857137E-2</v>
      </c>
    </row>
    <row r="835" spans="1:13" ht="15.75" thickBot="1" x14ac:dyDescent="0.3">
      <c r="A835" s="172">
        <v>44708</v>
      </c>
      <c r="B835" s="164">
        <v>118.81</v>
      </c>
      <c r="C835" s="164">
        <v>124.81</v>
      </c>
      <c r="F835" s="172">
        <v>44708</v>
      </c>
      <c r="G835" s="164">
        <v>202.5</v>
      </c>
      <c r="H835" s="164">
        <v>206.5</v>
      </c>
      <c r="K835" s="185">
        <v>44708</v>
      </c>
      <c r="L835" s="182">
        <v>210.35</v>
      </c>
      <c r="M835" s="184">
        <f t="shared" si="8"/>
        <v>3.8765432098765373E-2</v>
      </c>
    </row>
    <row r="836" spans="1:13" ht="15.75" thickBot="1" x14ac:dyDescent="0.3">
      <c r="A836" s="173">
        <v>44711</v>
      </c>
      <c r="B836" s="163">
        <v>118.81</v>
      </c>
      <c r="C836" s="163">
        <v>124.81</v>
      </c>
      <c r="F836" s="173">
        <v>44711</v>
      </c>
      <c r="G836" s="163">
        <v>202.5</v>
      </c>
      <c r="H836" s="163">
        <v>206.5</v>
      </c>
      <c r="K836" s="186">
        <v>44711</v>
      </c>
      <c r="L836" s="181">
        <v>209.15</v>
      </c>
      <c r="M836" s="184">
        <f t="shared" si="8"/>
        <v>3.2839506172839483E-2</v>
      </c>
    </row>
    <row r="837" spans="1:13" ht="15.75" thickBot="1" x14ac:dyDescent="0.3">
      <c r="A837" s="172">
        <v>44712</v>
      </c>
      <c r="B837" s="164">
        <v>119.62</v>
      </c>
      <c r="C837" s="164">
        <v>125.62</v>
      </c>
      <c r="F837" s="172">
        <v>44712</v>
      </c>
      <c r="G837" s="164">
        <v>201</v>
      </c>
      <c r="H837" s="164">
        <v>206</v>
      </c>
      <c r="K837" s="185">
        <v>44712</v>
      </c>
      <c r="L837" s="182">
        <v>207.35</v>
      </c>
      <c r="M837" s="184">
        <f t="shared" si="8"/>
        <v>3.1592039800995009E-2</v>
      </c>
    </row>
    <row r="838" spans="1:13" ht="15.75" thickBot="1" x14ac:dyDescent="0.3">
      <c r="A838" s="173">
        <v>44713</v>
      </c>
      <c r="B838" s="163">
        <v>119.88</v>
      </c>
      <c r="C838" s="163">
        <v>125.88</v>
      </c>
      <c r="F838" s="173">
        <v>44713</v>
      </c>
      <c r="G838" s="163">
        <v>202</v>
      </c>
      <c r="H838" s="163">
        <v>206</v>
      </c>
      <c r="K838" s="186">
        <v>44713</v>
      </c>
      <c r="L838" s="181">
        <v>208.62</v>
      </c>
      <c r="M838" s="184">
        <f t="shared" si="8"/>
        <v>3.2772277227722801E-2</v>
      </c>
    </row>
    <row r="839" spans="1:13" ht="15.75" thickBot="1" x14ac:dyDescent="0.3">
      <c r="A839" s="172">
        <v>44714</v>
      </c>
      <c r="B839" s="164">
        <v>119.95</v>
      </c>
      <c r="C839" s="164">
        <v>125.95</v>
      </c>
      <c r="F839" s="172">
        <v>44714</v>
      </c>
      <c r="G839" s="164">
        <v>202</v>
      </c>
      <c r="H839" s="164">
        <v>206</v>
      </c>
      <c r="K839" s="185">
        <v>44714</v>
      </c>
      <c r="L839" s="182">
        <v>207.04</v>
      </c>
      <c r="M839" s="184">
        <f t="shared" si="8"/>
        <v>2.4950495049504973E-2</v>
      </c>
    </row>
    <row r="840" spans="1:13" ht="15.75" thickBot="1" x14ac:dyDescent="0.3">
      <c r="A840" s="173">
        <v>44715</v>
      </c>
      <c r="B840" s="163">
        <v>120.41</v>
      </c>
      <c r="C840" s="163">
        <v>126.41</v>
      </c>
      <c r="F840" s="173">
        <v>44715</v>
      </c>
      <c r="G840" s="163">
        <v>201</v>
      </c>
      <c r="H840" s="163">
        <v>205</v>
      </c>
      <c r="K840" s="186">
        <v>44715</v>
      </c>
      <c r="L840" s="181">
        <v>207.75</v>
      </c>
      <c r="M840" s="184">
        <f t="shared" si="8"/>
        <v>3.3582089552238736E-2</v>
      </c>
    </row>
    <row r="841" spans="1:13" ht="15.75" thickBot="1" x14ac:dyDescent="0.3">
      <c r="A841" s="172">
        <v>44718</v>
      </c>
      <c r="B841" s="164">
        <v>120.6</v>
      </c>
      <c r="C841" s="164">
        <v>126.6</v>
      </c>
      <c r="F841" s="172">
        <v>44718</v>
      </c>
      <c r="G841" s="164">
        <v>201</v>
      </c>
      <c r="H841" s="164">
        <v>205</v>
      </c>
      <c r="K841" s="185">
        <v>44718</v>
      </c>
      <c r="L841" s="182">
        <v>208.84</v>
      </c>
      <c r="M841" s="184">
        <f t="shared" si="8"/>
        <v>3.9004975124378172E-2</v>
      </c>
    </row>
    <row r="842" spans="1:13" ht="15.75" thickBot="1" x14ac:dyDescent="0.3">
      <c r="A842" s="173">
        <v>44719</v>
      </c>
      <c r="B842" s="163">
        <v>120.65</v>
      </c>
      <c r="C842" s="163">
        <v>126.65</v>
      </c>
      <c r="F842" s="173">
        <v>44719</v>
      </c>
      <c r="G842" s="163">
        <v>202</v>
      </c>
      <c r="H842" s="163">
        <v>206</v>
      </c>
      <c r="K842" s="186">
        <v>44719</v>
      </c>
      <c r="L842" s="181">
        <v>208.68</v>
      </c>
      <c r="M842" s="184">
        <f t="shared" si="8"/>
        <v>3.3069306930693099E-2</v>
      </c>
    </row>
    <row r="843" spans="1:13" ht="15.75" thickBot="1" x14ac:dyDescent="0.3">
      <c r="A843" s="172">
        <v>44720</v>
      </c>
      <c r="B843" s="164">
        <v>120.77</v>
      </c>
      <c r="C843" s="164">
        <v>126.77</v>
      </c>
      <c r="F843" s="172">
        <v>44720</v>
      </c>
      <c r="G843" s="164">
        <v>204</v>
      </c>
      <c r="H843" s="164">
        <v>208</v>
      </c>
      <c r="K843" s="185">
        <v>44720</v>
      </c>
      <c r="L843" s="182">
        <v>209.15</v>
      </c>
      <c r="M843" s="184">
        <f t="shared" si="8"/>
        <v>2.5245098039215819E-2</v>
      </c>
    </row>
    <row r="844" spans="1:13" ht="15.75" thickBot="1" x14ac:dyDescent="0.3">
      <c r="A844" s="173">
        <v>44721</v>
      </c>
      <c r="B844" s="163">
        <v>121</v>
      </c>
      <c r="C844" s="163">
        <v>127</v>
      </c>
      <c r="F844" s="173">
        <v>44721</v>
      </c>
      <c r="G844" s="163">
        <v>204</v>
      </c>
      <c r="H844" s="163">
        <v>208</v>
      </c>
      <c r="K844" s="186">
        <v>44721</v>
      </c>
      <c r="L844" s="181">
        <v>217.5</v>
      </c>
      <c r="M844" s="184">
        <f t="shared" si="8"/>
        <v>6.6176470588235281E-2</v>
      </c>
    </row>
    <row r="845" spans="1:13" ht="15.75" thickBot="1" x14ac:dyDescent="0.3">
      <c r="A845" s="172">
        <v>44722</v>
      </c>
      <c r="B845" s="164">
        <v>121.1</v>
      </c>
      <c r="C845" s="164">
        <v>127.1</v>
      </c>
      <c r="F845" s="172">
        <v>44722</v>
      </c>
      <c r="G845" s="164">
        <v>206</v>
      </c>
      <c r="H845" s="164">
        <v>210</v>
      </c>
      <c r="K845" s="185">
        <v>44722</v>
      </c>
      <c r="L845" s="182">
        <v>223.2</v>
      </c>
      <c r="M845" s="184">
        <f t="shared" si="8"/>
        <v>8.3495145631067968E-2</v>
      </c>
    </row>
    <row r="846" spans="1:13" ht="15.75" thickBot="1" x14ac:dyDescent="0.3">
      <c r="A846" s="172">
        <v>44725</v>
      </c>
      <c r="B846" s="164">
        <v>121.6</v>
      </c>
      <c r="C846" s="164">
        <v>127.6</v>
      </c>
      <c r="F846" s="173">
        <v>44725</v>
      </c>
      <c r="G846" s="163">
        <v>212</v>
      </c>
      <c r="H846" s="163">
        <v>216</v>
      </c>
      <c r="K846" s="186">
        <v>44725</v>
      </c>
      <c r="L846" s="181">
        <v>227.37</v>
      </c>
      <c r="M846" s="184">
        <f t="shared" si="8"/>
        <v>7.2500000000000009E-2</v>
      </c>
    </row>
    <row r="847" spans="1:13" ht="15.75" thickBot="1" x14ac:dyDescent="0.3">
      <c r="A847" s="173">
        <v>44726</v>
      </c>
      <c r="B847" s="163">
        <v>121.62</v>
      </c>
      <c r="C847" s="163">
        <v>127.62</v>
      </c>
      <c r="F847" s="172">
        <v>44726</v>
      </c>
      <c r="G847" s="164">
        <v>220</v>
      </c>
      <c r="H847" s="164">
        <v>224</v>
      </c>
      <c r="K847" s="185">
        <v>44726</v>
      </c>
      <c r="L847" s="182">
        <v>231.96</v>
      </c>
      <c r="M847" s="184">
        <f t="shared" si="8"/>
        <v>5.4363636363636392E-2</v>
      </c>
    </row>
    <row r="848" spans="1:13" ht="15.75" thickBot="1" x14ac:dyDescent="0.3">
      <c r="A848" s="172">
        <v>44727</v>
      </c>
      <c r="B848" s="164">
        <v>122.03</v>
      </c>
      <c r="C848" s="164">
        <v>128.03</v>
      </c>
      <c r="F848" s="173">
        <v>44727</v>
      </c>
      <c r="G848" s="163">
        <v>213</v>
      </c>
      <c r="H848" s="163">
        <v>217</v>
      </c>
      <c r="K848" s="186">
        <v>44727</v>
      </c>
      <c r="L848" s="181">
        <v>229.83</v>
      </c>
      <c r="M848" s="184">
        <f t="shared" si="8"/>
        <v>7.9014084507042393E-2</v>
      </c>
    </row>
    <row r="849" spans="1:13" ht="15.75" thickBot="1" x14ac:dyDescent="0.3">
      <c r="A849" s="173">
        <v>44728</v>
      </c>
      <c r="B849" s="163">
        <v>122.19</v>
      </c>
      <c r="C849" s="163">
        <v>128.19</v>
      </c>
      <c r="F849" s="172">
        <v>44728</v>
      </c>
      <c r="G849" s="164">
        <v>212</v>
      </c>
      <c r="H849" s="164">
        <v>216</v>
      </c>
      <c r="K849" s="185">
        <v>44728</v>
      </c>
      <c r="L849" s="182">
        <v>235.09</v>
      </c>
      <c r="M849" s="184">
        <f t="shared" si="8"/>
        <v>0.10891509433962265</v>
      </c>
    </row>
    <row r="850" spans="1:13" ht="15.75" thickBot="1" x14ac:dyDescent="0.3">
      <c r="A850" s="172">
        <v>44733</v>
      </c>
      <c r="B850" s="164">
        <v>122.99</v>
      </c>
      <c r="C850" s="164">
        <v>128.99</v>
      </c>
      <c r="F850" s="173">
        <v>44733</v>
      </c>
      <c r="G850" s="163">
        <v>216</v>
      </c>
      <c r="H850" s="163">
        <v>220</v>
      </c>
      <c r="K850" s="186">
        <v>44733</v>
      </c>
      <c r="L850" s="181">
        <v>233.27</v>
      </c>
      <c r="M850" s="184">
        <f t="shared" si="8"/>
        <v>7.9953703703703694E-2</v>
      </c>
    </row>
    <row r="851" spans="1:13" ht="15.75" thickBot="1" x14ac:dyDescent="0.3">
      <c r="A851" s="173">
        <v>44734</v>
      </c>
      <c r="B851" s="163">
        <v>123.01</v>
      </c>
      <c r="C851" s="163">
        <v>129.01</v>
      </c>
      <c r="F851" s="172">
        <v>44734</v>
      </c>
      <c r="G851" s="164">
        <v>220</v>
      </c>
      <c r="H851" s="164">
        <v>224</v>
      </c>
      <c r="K851" s="185">
        <v>44734</v>
      </c>
      <c r="L851" s="182">
        <v>227.94</v>
      </c>
      <c r="M851" s="184">
        <f t="shared" si="8"/>
        <v>3.6090909090909173E-2</v>
      </c>
    </row>
    <row r="852" spans="1:13" ht="15.75" thickBot="1" x14ac:dyDescent="0.3">
      <c r="A852" s="172">
        <v>44735</v>
      </c>
      <c r="B852" s="164">
        <v>123.11</v>
      </c>
      <c r="C852" s="164">
        <v>129.11000000000001</v>
      </c>
      <c r="F852" s="173">
        <v>44735</v>
      </c>
      <c r="G852" s="163">
        <v>220</v>
      </c>
      <c r="H852" s="163">
        <v>224</v>
      </c>
      <c r="K852" s="186">
        <v>44735</v>
      </c>
      <c r="L852" s="181">
        <v>232.23</v>
      </c>
      <c r="M852" s="184">
        <f t="shared" si="8"/>
        <v>5.5590909090909024E-2</v>
      </c>
    </row>
    <row r="853" spans="1:13" ht="15.75" thickBot="1" x14ac:dyDescent="0.3">
      <c r="A853" s="173">
        <v>44736</v>
      </c>
      <c r="B853" s="163">
        <v>123.15</v>
      </c>
      <c r="C853" s="163">
        <v>129.15</v>
      </c>
      <c r="F853" s="172">
        <v>44736</v>
      </c>
      <c r="G853" s="164">
        <v>222</v>
      </c>
      <c r="H853" s="164">
        <v>226</v>
      </c>
      <c r="K853" s="185">
        <v>44736</v>
      </c>
      <c r="L853" s="182">
        <v>232.72</v>
      </c>
      <c r="M853" s="184">
        <f t="shared" si="8"/>
        <v>4.8288288288288239E-2</v>
      </c>
    </row>
    <row r="854" spans="1:13" ht="15.75" thickBot="1" x14ac:dyDescent="0.3">
      <c r="A854" s="172">
        <v>44739</v>
      </c>
      <c r="B854" s="164">
        <v>124.07</v>
      </c>
      <c r="C854" s="164">
        <v>130.07</v>
      </c>
      <c r="F854" s="173">
        <v>44739</v>
      </c>
      <c r="G854" s="163">
        <v>228</v>
      </c>
      <c r="H854" s="163">
        <v>232</v>
      </c>
      <c r="K854" s="186">
        <v>44739</v>
      </c>
      <c r="L854" s="181">
        <v>240.09</v>
      </c>
      <c r="M854" s="184">
        <f t="shared" si="8"/>
        <v>5.3026315789473699E-2</v>
      </c>
    </row>
    <row r="855" spans="1:13" ht="15.75" thickBot="1" x14ac:dyDescent="0.3">
      <c r="A855" s="173">
        <v>44740</v>
      </c>
      <c r="B855" s="163">
        <v>124.14</v>
      </c>
      <c r="C855" s="163">
        <v>130.13999999999999</v>
      </c>
      <c r="F855" s="172">
        <v>44740</v>
      </c>
      <c r="G855" s="164">
        <v>235</v>
      </c>
      <c r="H855" s="164">
        <v>239</v>
      </c>
      <c r="K855" s="185">
        <v>44740</v>
      </c>
      <c r="L855" s="182">
        <v>243.07</v>
      </c>
      <c r="M855" s="184">
        <f t="shared" si="8"/>
        <v>3.4340425531914853E-2</v>
      </c>
    </row>
    <row r="856" spans="1:13" ht="15.75" thickBot="1" x14ac:dyDescent="0.3">
      <c r="A856" s="172">
        <v>44741</v>
      </c>
      <c r="B856" s="164">
        <v>123.99</v>
      </c>
      <c r="C856" s="164">
        <v>129.99</v>
      </c>
      <c r="F856" s="173">
        <v>44741</v>
      </c>
      <c r="G856" s="163">
        <v>235</v>
      </c>
      <c r="H856" s="163">
        <v>239</v>
      </c>
      <c r="K856" s="186">
        <v>44741</v>
      </c>
      <c r="L856" s="181">
        <v>245.67</v>
      </c>
      <c r="M856" s="184">
        <f t="shared" si="8"/>
        <v>4.5404255319148934E-2</v>
      </c>
    </row>
    <row r="857" spans="1:13" ht="15.75" thickBot="1" x14ac:dyDescent="0.3">
      <c r="A857" s="173">
        <v>44742</v>
      </c>
      <c r="B857" s="163">
        <v>124.44</v>
      </c>
      <c r="C857" s="163">
        <v>130.44</v>
      </c>
      <c r="F857" s="172">
        <v>44742</v>
      </c>
      <c r="G857" s="164">
        <v>234</v>
      </c>
      <c r="H857" s="164">
        <v>238</v>
      </c>
      <c r="K857" s="185">
        <v>44742</v>
      </c>
      <c r="L857" s="182">
        <v>249.59</v>
      </c>
      <c r="M857" s="184">
        <f t="shared" si="8"/>
        <v>6.6623931623931654E-2</v>
      </c>
    </row>
    <row r="858" spans="1:13" ht="15.75" thickBot="1" x14ac:dyDescent="0.3">
      <c r="A858" s="172">
        <v>44743</v>
      </c>
      <c r="B858" s="164">
        <v>124.69</v>
      </c>
      <c r="C858" s="164">
        <v>130.69</v>
      </c>
      <c r="F858" s="173">
        <v>44743</v>
      </c>
      <c r="G858" s="163">
        <v>235</v>
      </c>
      <c r="H858" s="163">
        <v>239</v>
      </c>
      <c r="K858" s="186">
        <v>44743</v>
      </c>
      <c r="L858" s="181">
        <v>247.9</v>
      </c>
      <c r="M858" s="184">
        <f t="shared" si="8"/>
        <v>5.4893617021276597E-2</v>
      </c>
    </row>
    <row r="859" spans="1:13" ht="15.75" thickBot="1" x14ac:dyDescent="0.3">
      <c r="A859" s="173">
        <v>44746</v>
      </c>
      <c r="B859" s="163">
        <v>126.07</v>
      </c>
      <c r="C859" s="163">
        <v>132.07</v>
      </c>
      <c r="F859" s="172">
        <v>44746</v>
      </c>
      <c r="G859" s="164">
        <v>250</v>
      </c>
      <c r="H859" s="164">
        <v>260</v>
      </c>
      <c r="K859" s="185">
        <v>44746</v>
      </c>
      <c r="L859" s="182">
        <v>272.39</v>
      </c>
      <c r="M859" s="184">
        <f t="shared" si="8"/>
        <v>8.9559999999999862E-2</v>
      </c>
    </row>
    <row r="860" spans="1:13" ht="15.75" thickBot="1" x14ac:dyDescent="0.3">
      <c r="A860" s="172">
        <v>44747</v>
      </c>
      <c r="B860" s="164">
        <v>126.54</v>
      </c>
      <c r="C860" s="164">
        <v>132.54</v>
      </c>
      <c r="F860" s="173">
        <v>44747</v>
      </c>
      <c r="G860" s="163">
        <v>242</v>
      </c>
      <c r="H860" s="163">
        <v>252</v>
      </c>
      <c r="K860" s="186">
        <v>44747</v>
      </c>
      <c r="L860" s="181">
        <v>265.27999999999997</v>
      </c>
      <c r="M860" s="184">
        <f t="shared" si="8"/>
        <v>9.6198347107437909E-2</v>
      </c>
    </row>
    <row r="861" spans="1:13" ht="15.75" thickBot="1" x14ac:dyDescent="0.3">
      <c r="A861" s="173">
        <v>44748</v>
      </c>
      <c r="B861" s="163">
        <v>126.85</v>
      </c>
      <c r="C861" s="163">
        <v>132.85</v>
      </c>
      <c r="F861" s="172">
        <v>44748</v>
      </c>
      <c r="G861" s="164">
        <v>245</v>
      </c>
      <c r="H861" s="164">
        <v>255</v>
      </c>
      <c r="K861" s="185">
        <v>44748</v>
      </c>
      <c r="L861" s="182">
        <v>270.17</v>
      </c>
      <c r="M861" s="184">
        <f t="shared" si="8"/>
        <v>0.10273469387755108</v>
      </c>
    </row>
    <row r="862" spans="1:13" ht="15.75" thickBot="1" x14ac:dyDescent="0.3">
      <c r="A862" s="172">
        <v>44749</v>
      </c>
      <c r="B862" s="164">
        <v>127.27</v>
      </c>
      <c r="C862" s="164">
        <v>133.27000000000001</v>
      </c>
      <c r="F862" s="173">
        <v>44749</v>
      </c>
      <c r="G862" s="163">
        <v>247</v>
      </c>
      <c r="H862" s="163">
        <v>257</v>
      </c>
      <c r="K862" s="186">
        <v>44749</v>
      </c>
      <c r="L862" s="181">
        <v>284.32</v>
      </c>
      <c r="M862" s="184">
        <f t="shared" si="8"/>
        <v>0.15109311740890696</v>
      </c>
    </row>
    <row r="863" spans="1:13" ht="15.75" thickBot="1" x14ac:dyDescent="0.3">
      <c r="A863" s="173">
        <v>44750</v>
      </c>
      <c r="B863" s="163">
        <v>127.89</v>
      </c>
      <c r="C863" s="163">
        <v>133.88999999999999</v>
      </c>
      <c r="F863" s="172">
        <v>44750</v>
      </c>
      <c r="G863" s="164">
        <v>263</v>
      </c>
      <c r="H863" s="164">
        <v>273</v>
      </c>
      <c r="K863" s="185">
        <v>44750</v>
      </c>
      <c r="L863" s="182">
        <v>289.29000000000002</v>
      </c>
      <c r="M863" s="184">
        <f t="shared" si="8"/>
        <v>9.9961977186311834E-2</v>
      </c>
    </row>
    <row r="864" spans="1:13" ht="15.75" thickBot="1" x14ac:dyDescent="0.3">
      <c r="A864" s="172">
        <v>44753</v>
      </c>
      <c r="B864" s="164">
        <v>128.66999999999999</v>
      </c>
      <c r="C864" s="164">
        <v>134.66999999999999</v>
      </c>
      <c r="F864" s="173">
        <v>44753</v>
      </c>
      <c r="G864" s="163">
        <v>258</v>
      </c>
      <c r="H864" s="163">
        <v>268</v>
      </c>
      <c r="J864" s="154"/>
      <c r="K864" s="186">
        <v>44753</v>
      </c>
      <c r="L864" s="181">
        <v>285.69</v>
      </c>
      <c r="M864" s="184">
        <f t="shared" si="8"/>
        <v>0.10732558139534887</v>
      </c>
    </row>
    <row r="865" spans="1:13" ht="15.75" thickBot="1" x14ac:dyDescent="0.3">
      <c r="A865" s="173">
        <v>44754</v>
      </c>
      <c r="B865" s="163">
        <v>128.88</v>
      </c>
      <c r="C865" s="163">
        <v>134.88</v>
      </c>
      <c r="F865" s="172">
        <v>44754</v>
      </c>
      <c r="G865" s="164">
        <v>262</v>
      </c>
      <c r="H865" s="164">
        <v>272</v>
      </c>
      <c r="K865" s="185">
        <v>44754</v>
      </c>
      <c r="L865" s="182">
        <v>279.39999999999998</v>
      </c>
      <c r="M865" s="184">
        <f t="shared" si="8"/>
        <v>6.6412213740457915E-2</v>
      </c>
    </row>
    <row r="866" spans="1:13" ht="15.75" thickBot="1" x14ac:dyDescent="0.3">
      <c r="A866" s="173">
        <v>44755</v>
      </c>
      <c r="B866" s="163">
        <v>129.15</v>
      </c>
      <c r="C866" s="163">
        <v>135.15</v>
      </c>
      <c r="F866" s="173">
        <v>44755</v>
      </c>
      <c r="G866" s="163">
        <v>273</v>
      </c>
      <c r="H866" s="163">
        <v>283</v>
      </c>
      <c r="K866" s="186">
        <v>44755</v>
      </c>
      <c r="L866" s="181">
        <v>280.06</v>
      </c>
      <c r="M866" s="184">
        <f t="shared" si="8"/>
        <v>2.5860805860805858E-2</v>
      </c>
    </row>
    <row r="867" spans="1:13" ht="15.75" thickBot="1" x14ac:dyDescent="0.3">
      <c r="A867" s="172">
        <v>44756</v>
      </c>
      <c r="B867" s="164">
        <v>129.21</v>
      </c>
      <c r="C867" s="164">
        <v>135.21</v>
      </c>
      <c r="F867" s="172">
        <v>44756</v>
      </c>
      <c r="G867" s="164">
        <v>279</v>
      </c>
      <c r="H867" s="164">
        <v>289</v>
      </c>
      <c r="K867" s="185">
        <v>44756</v>
      </c>
      <c r="L867" s="182">
        <v>284.27999999999997</v>
      </c>
      <c r="M867" s="184">
        <f t="shared" si="8"/>
        <v>1.8924731182795584E-2</v>
      </c>
    </row>
    <row r="868" spans="1:13" ht="15.75" thickBot="1" x14ac:dyDescent="0.3">
      <c r="A868" s="173">
        <v>44757</v>
      </c>
      <c r="B868" s="163">
        <v>129.29</v>
      </c>
      <c r="C868" s="163">
        <v>135.29</v>
      </c>
      <c r="F868" s="173">
        <v>44757</v>
      </c>
      <c r="G868" s="163">
        <v>283</v>
      </c>
      <c r="H868" s="163">
        <v>293</v>
      </c>
      <c r="K868" s="186">
        <v>44757</v>
      </c>
      <c r="L868" s="181">
        <v>292.5</v>
      </c>
      <c r="M868" s="184">
        <f t="shared" si="8"/>
        <v>3.3568904593639592E-2</v>
      </c>
    </row>
    <row r="869" spans="1:13" ht="15.75" thickBot="1" x14ac:dyDescent="0.3">
      <c r="A869" s="172">
        <v>44760</v>
      </c>
      <c r="B869" s="164">
        <v>129.79</v>
      </c>
      <c r="C869" s="164">
        <v>135.79</v>
      </c>
      <c r="F869" s="172">
        <v>44760</v>
      </c>
      <c r="G869" s="164">
        <v>281</v>
      </c>
      <c r="H869" s="164">
        <v>291</v>
      </c>
      <c r="K869" s="185">
        <v>44760</v>
      </c>
      <c r="L869" s="182">
        <v>295.24</v>
      </c>
      <c r="M869" s="184">
        <f t="shared" si="8"/>
        <v>5.0676156583630005E-2</v>
      </c>
    </row>
    <row r="870" spans="1:13" ht="15.75" thickBot="1" x14ac:dyDescent="0.3">
      <c r="A870" s="173">
        <v>44761</v>
      </c>
      <c r="B870" s="163">
        <v>130.08000000000001</v>
      </c>
      <c r="C870" s="163">
        <v>136.08000000000001</v>
      </c>
      <c r="F870" s="173">
        <v>44761</v>
      </c>
      <c r="G870" s="163">
        <v>291</v>
      </c>
      <c r="H870" s="163">
        <v>301</v>
      </c>
      <c r="K870" s="186">
        <v>44761</v>
      </c>
      <c r="L870" s="181">
        <v>297.83999999999997</v>
      </c>
      <c r="M870" s="184">
        <f t="shared" si="8"/>
        <v>2.350515463917513E-2</v>
      </c>
    </row>
    <row r="871" spans="1:13" ht="15.75" thickBot="1" x14ac:dyDescent="0.3">
      <c r="A871" s="172">
        <v>44762</v>
      </c>
      <c r="B871" s="164">
        <v>130.1</v>
      </c>
      <c r="C871" s="164">
        <v>136.1</v>
      </c>
      <c r="F871" s="172">
        <v>44762</v>
      </c>
      <c r="G871" s="164">
        <v>307</v>
      </c>
      <c r="H871" s="164">
        <v>317</v>
      </c>
      <c r="K871" s="185">
        <v>44762</v>
      </c>
      <c r="L871" s="182">
        <v>303.44</v>
      </c>
      <c r="M871" s="184">
        <f t="shared" si="8"/>
        <v>-1.1596091205211767E-2</v>
      </c>
    </row>
    <row r="872" spans="1:13" ht="15.75" thickBot="1" x14ac:dyDescent="0.3">
      <c r="A872" s="173">
        <v>44763</v>
      </c>
      <c r="B872" s="163">
        <v>130.32</v>
      </c>
      <c r="C872" s="163">
        <v>136.32</v>
      </c>
      <c r="F872" s="173">
        <v>44763</v>
      </c>
      <c r="G872" s="163">
        <v>327</v>
      </c>
      <c r="H872" s="163">
        <v>337</v>
      </c>
      <c r="K872" s="186">
        <v>44763</v>
      </c>
      <c r="L872" s="181">
        <v>326.08999999999997</v>
      </c>
      <c r="M872" s="184">
        <f t="shared" si="8"/>
        <v>-2.7828746177370745E-3</v>
      </c>
    </row>
    <row r="873" spans="1:13" ht="15.75" thickBot="1" x14ac:dyDescent="0.3">
      <c r="A873" s="172">
        <v>44764</v>
      </c>
      <c r="B873" s="164">
        <v>130.61000000000001</v>
      </c>
      <c r="C873" s="164">
        <v>136.61000000000001</v>
      </c>
      <c r="F873" s="172">
        <v>44764</v>
      </c>
      <c r="G873" s="164">
        <v>328</v>
      </c>
      <c r="H873" s="164">
        <v>338</v>
      </c>
      <c r="K873" s="185">
        <v>44764</v>
      </c>
      <c r="L873" s="182">
        <v>315.5</v>
      </c>
      <c r="M873" s="184">
        <f t="shared" si="8"/>
        <v>-3.8109756097560954E-2</v>
      </c>
    </row>
    <row r="874" spans="1:13" ht="15.75" thickBot="1" x14ac:dyDescent="0.3">
      <c r="A874" s="173">
        <v>44767</v>
      </c>
      <c r="B874" s="163">
        <v>131.30000000000001</v>
      </c>
      <c r="C874" s="163">
        <v>137.30000000000001</v>
      </c>
      <c r="F874" s="173">
        <v>44767</v>
      </c>
      <c r="G874" s="163">
        <v>312</v>
      </c>
      <c r="H874" s="163">
        <v>322</v>
      </c>
      <c r="K874" s="186">
        <v>44767</v>
      </c>
      <c r="L874" s="181">
        <v>319.72000000000003</v>
      </c>
      <c r="M874" s="184">
        <f t="shared" si="8"/>
        <v>2.4743589743589922E-2</v>
      </c>
    </row>
    <row r="875" spans="1:13" ht="15.75" thickBot="1" x14ac:dyDescent="0.3">
      <c r="A875" s="172">
        <v>44768</v>
      </c>
      <c r="B875" s="164">
        <v>131.38</v>
      </c>
      <c r="C875" s="164">
        <v>137.38</v>
      </c>
      <c r="F875" s="172">
        <v>44768</v>
      </c>
      <c r="G875" s="164">
        <v>313</v>
      </c>
      <c r="H875" s="164">
        <v>323</v>
      </c>
      <c r="K875" s="185">
        <v>44768</v>
      </c>
      <c r="L875" s="182">
        <v>324.88</v>
      </c>
      <c r="M875" s="184">
        <f t="shared" si="8"/>
        <v>3.7955271565495163E-2</v>
      </c>
    </row>
    <row r="876" spans="1:13" ht="15.75" thickBot="1" x14ac:dyDescent="0.3">
      <c r="A876" s="173">
        <v>44769</v>
      </c>
      <c r="B876" s="163">
        <v>131.58000000000001</v>
      </c>
      <c r="C876" s="163">
        <v>137.58000000000001</v>
      </c>
      <c r="F876" s="173">
        <v>44769</v>
      </c>
      <c r="G876" s="163">
        <v>316</v>
      </c>
      <c r="H876" s="163">
        <v>326</v>
      </c>
      <c r="K876" s="186">
        <v>44769</v>
      </c>
      <c r="L876" s="181">
        <v>323.77</v>
      </c>
      <c r="M876" s="184">
        <f t="shared" si="8"/>
        <v>2.458860759493664E-2</v>
      </c>
    </row>
    <row r="877" spans="1:13" ht="15.75" thickBot="1" x14ac:dyDescent="0.3">
      <c r="A877" s="172">
        <v>44770</v>
      </c>
      <c r="B877" s="164">
        <v>131.86000000000001</v>
      </c>
      <c r="C877" s="164">
        <v>137.86000000000001</v>
      </c>
      <c r="F877" s="172">
        <v>44770</v>
      </c>
      <c r="G877" s="164">
        <v>304</v>
      </c>
      <c r="H877" s="164">
        <v>314</v>
      </c>
      <c r="K877" s="185">
        <v>44770</v>
      </c>
      <c r="L877" s="182">
        <v>298.16000000000003</v>
      </c>
      <c r="M877" s="184">
        <f t="shared" si="8"/>
        <v>-1.9210526315789345E-2</v>
      </c>
    </row>
    <row r="878" spans="1:13" ht="15.75" thickBot="1" x14ac:dyDescent="0.3">
      <c r="A878" s="173">
        <v>44771</v>
      </c>
      <c r="B878" s="163">
        <v>131.93</v>
      </c>
      <c r="C878" s="163">
        <v>137.93</v>
      </c>
      <c r="F878" s="173">
        <v>44771</v>
      </c>
      <c r="G878" s="163">
        <v>286</v>
      </c>
      <c r="H878" s="163">
        <v>296</v>
      </c>
      <c r="K878" s="186">
        <v>44771</v>
      </c>
      <c r="L878" s="181">
        <v>276.70999999999998</v>
      </c>
      <c r="M878" s="184">
        <f t="shared" si="8"/>
        <v>-3.2482517482517514E-2</v>
      </c>
    </row>
    <row r="879" spans="1:13" ht="15.75" thickBot="1" x14ac:dyDescent="0.3">
      <c r="A879" s="172">
        <v>44774</v>
      </c>
      <c r="B879" s="164">
        <v>132.9</v>
      </c>
      <c r="C879" s="164">
        <v>138.9</v>
      </c>
      <c r="F879" s="172">
        <v>44774</v>
      </c>
      <c r="G879" s="164">
        <v>272</v>
      </c>
      <c r="H879" s="164">
        <v>282</v>
      </c>
      <c r="K879" s="185">
        <v>44774</v>
      </c>
      <c r="L879" s="182">
        <v>272.48</v>
      </c>
      <c r="M879" s="184">
        <f t="shared" si="8"/>
        <v>1.7647058823531125E-3</v>
      </c>
    </row>
    <row r="880" spans="1:13" ht="15.75" thickBot="1" x14ac:dyDescent="0.3">
      <c r="A880" s="173">
        <v>44775</v>
      </c>
      <c r="B880" s="163">
        <v>133.07</v>
      </c>
      <c r="C880" s="163">
        <v>139.07</v>
      </c>
      <c r="F880" s="173">
        <v>44775</v>
      </c>
      <c r="G880" s="163">
        <v>281</v>
      </c>
      <c r="H880" s="163">
        <v>291</v>
      </c>
      <c r="K880" s="186">
        <v>44775</v>
      </c>
      <c r="L880" s="181">
        <v>276.66000000000003</v>
      </c>
      <c r="M880" s="184">
        <f t="shared" si="8"/>
        <v>-1.5444839857651105E-2</v>
      </c>
    </row>
    <row r="881" spans="1:13" ht="15.75" thickBot="1" x14ac:dyDescent="0.3">
      <c r="A881" s="172">
        <v>44776</v>
      </c>
      <c r="B881" s="164">
        <v>133.31</v>
      </c>
      <c r="C881" s="164">
        <v>139.31</v>
      </c>
      <c r="F881" s="172">
        <v>44776</v>
      </c>
      <c r="G881" s="164">
        <v>288</v>
      </c>
      <c r="H881" s="164">
        <v>298</v>
      </c>
      <c r="K881" s="185">
        <v>44776</v>
      </c>
      <c r="L881" s="182">
        <v>281.02</v>
      </c>
      <c r="M881" s="184">
        <f t="shared" ref="M881:M937" si="9">+L881/G881-1</f>
        <v>-2.4236111111111125E-2</v>
      </c>
    </row>
    <row r="882" spans="1:13" ht="15.75" thickBot="1" x14ac:dyDescent="0.3">
      <c r="A882" s="173">
        <v>44777</v>
      </c>
      <c r="B882" s="163">
        <v>133.86000000000001</v>
      </c>
      <c r="C882" s="163">
        <v>139.86000000000001</v>
      </c>
      <c r="F882" s="173">
        <v>44777</v>
      </c>
      <c r="G882" s="163">
        <v>281</v>
      </c>
      <c r="H882" s="163">
        <v>291</v>
      </c>
      <c r="K882" s="186">
        <v>44777</v>
      </c>
      <c r="L882" s="181">
        <v>284.47000000000003</v>
      </c>
      <c r="M882" s="184">
        <f t="shared" si="9"/>
        <v>1.2348754448398669E-2</v>
      </c>
    </row>
    <row r="883" spans="1:13" ht="15.75" thickBot="1" x14ac:dyDescent="0.3">
      <c r="A883" s="172">
        <v>44778</v>
      </c>
      <c r="B883" s="164">
        <v>133.88999999999999</v>
      </c>
      <c r="C883" s="164">
        <v>139.88999999999999</v>
      </c>
      <c r="F883" s="172">
        <v>44778</v>
      </c>
      <c r="G883" s="164">
        <v>283</v>
      </c>
      <c r="H883" s="164">
        <v>293</v>
      </c>
      <c r="K883" s="185">
        <v>44778</v>
      </c>
      <c r="L883" s="182">
        <v>278.77999999999997</v>
      </c>
      <c r="M883" s="184">
        <f t="shared" si="9"/>
        <v>-1.4911660777385261E-2</v>
      </c>
    </row>
    <row r="884" spans="1:13" ht="15.75" thickBot="1" x14ac:dyDescent="0.3">
      <c r="A884" s="173">
        <v>44781</v>
      </c>
      <c r="B884" s="163">
        <v>134.49</v>
      </c>
      <c r="C884" s="163">
        <v>140.49</v>
      </c>
      <c r="F884" s="173">
        <v>44781</v>
      </c>
      <c r="G884" s="163">
        <v>282</v>
      </c>
      <c r="H884" s="163">
        <v>292</v>
      </c>
      <c r="K884" s="186">
        <v>44781</v>
      </c>
      <c r="L884" s="181">
        <v>278.94</v>
      </c>
      <c r="M884" s="184">
        <f t="shared" si="9"/>
        <v>-1.0851063829787289E-2</v>
      </c>
    </row>
    <row r="885" spans="1:13" ht="15.75" thickBot="1" x14ac:dyDescent="0.3">
      <c r="A885" s="172">
        <v>44782</v>
      </c>
      <c r="B885" s="164">
        <v>134.77000000000001</v>
      </c>
      <c r="C885" s="164">
        <v>140.77000000000001</v>
      </c>
      <c r="F885" s="172">
        <v>44782</v>
      </c>
      <c r="G885" s="164">
        <v>283</v>
      </c>
      <c r="H885" s="164">
        <v>293</v>
      </c>
      <c r="K885" s="185">
        <v>44782</v>
      </c>
      <c r="L885" s="182">
        <v>279.2</v>
      </c>
      <c r="M885" s="184">
        <f t="shared" si="9"/>
        <v>-1.3427561837455859E-2</v>
      </c>
    </row>
    <row r="886" spans="1:13" ht="15.75" thickBot="1" x14ac:dyDescent="0.3">
      <c r="A886" s="173">
        <v>44783</v>
      </c>
      <c r="B886" s="163">
        <v>134.77000000000001</v>
      </c>
      <c r="C886" s="163">
        <v>140.77000000000001</v>
      </c>
      <c r="F886" s="173">
        <v>44783</v>
      </c>
      <c r="G886" s="163">
        <v>285</v>
      </c>
      <c r="H886" s="163">
        <v>295</v>
      </c>
      <c r="K886" s="186">
        <v>44783</v>
      </c>
      <c r="L886" s="181">
        <v>284.58999999999997</v>
      </c>
      <c r="M886" s="184">
        <f t="shared" si="9"/>
        <v>-1.4385964912281279E-3</v>
      </c>
    </row>
    <row r="887" spans="1:13" ht="15.75" thickBot="1" x14ac:dyDescent="0.3">
      <c r="A887" s="172">
        <v>44784</v>
      </c>
      <c r="B887" s="164">
        <v>134.97999999999999</v>
      </c>
      <c r="C887" s="164">
        <v>140.97999999999999</v>
      </c>
      <c r="F887" s="172">
        <v>44784</v>
      </c>
      <c r="G887" s="164">
        <v>287</v>
      </c>
      <c r="H887" s="164">
        <v>297</v>
      </c>
      <c r="K887" s="185">
        <v>44784</v>
      </c>
      <c r="L887" s="182">
        <v>279.36</v>
      </c>
      <c r="M887" s="184">
        <f t="shared" si="9"/>
        <v>-2.6620209059233457E-2</v>
      </c>
    </row>
    <row r="888" spans="1:13" ht="15.75" thickBot="1" x14ac:dyDescent="0.3">
      <c r="A888" s="173">
        <v>44785</v>
      </c>
      <c r="B888" s="163">
        <v>135.5</v>
      </c>
      <c r="C888" s="163">
        <v>141.5</v>
      </c>
      <c r="F888" s="173">
        <v>44785</v>
      </c>
      <c r="G888" s="163">
        <v>285</v>
      </c>
      <c r="H888" s="163">
        <v>295</v>
      </c>
      <c r="K888" s="186">
        <v>44785</v>
      </c>
      <c r="L888" s="181">
        <v>279.12</v>
      </c>
      <c r="M888" s="184">
        <f t="shared" si="9"/>
        <v>-2.0631578947368445E-2</v>
      </c>
    </row>
    <row r="889" spans="1:13" ht="15.75" thickBot="1" x14ac:dyDescent="0.3">
      <c r="A889" s="172">
        <v>44789</v>
      </c>
      <c r="B889" s="164">
        <v>136.41</v>
      </c>
      <c r="C889" s="164">
        <v>142.41</v>
      </c>
      <c r="F889" s="172">
        <v>44789</v>
      </c>
      <c r="G889" s="164">
        <v>286</v>
      </c>
      <c r="H889" s="164">
        <v>291</v>
      </c>
      <c r="K889" s="185">
        <v>44789</v>
      </c>
      <c r="L889" s="182">
        <v>275.77999999999997</v>
      </c>
      <c r="M889" s="184">
        <f t="shared" si="9"/>
        <v>-3.5734265734265858E-2</v>
      </c>
    </row>
    <row r="890" spans="1:13" ht="15.75" thickBot="1" x14ac:dyDescent="0.3">
      <c r="A890" s="173">
        <v>44790</v>
      </c>
      <c r="B890" s="163">
        <v>136.52000000000001</v>
      </c>
      <c r="C890" s="163">
        <v>142.52000000000001</v>
      </c>
      <c r="F890" s="173">
        <v>44790</v>
      </c>
      <c r="G890" s="163">
        <v>287</v>
      </c>
      <c r="H890" s="163">
        <v>292</v>
      </c>
      <c r="K890" s="186">
        <v>44790</v>
      </c>
      <c r="L890" s="181">
        <v>281.37</v>
      </c>
      <c r="M890" s="184">
        <f t="shared" si="9"/>
        <v>-1.9616724738675928E-2</v>
      </c>
    </row>
    <row r="891" spans="1:13" ht="15.75" thickBot="1" x14ac:dyDescent="0.3">
      <c r="A891" s="172">
        <v>44791</v>
      </c>
      <c r="B891" s="164">
        <v>136.38999999999999</v>
      </c>
      <c r="C891" s="164">
        <v>142.38999999999999</v>
      </c>
      <c r="F891" s="172">
        <v>44791</v>
      </c>
      <c r="G891" s="164">
        <v>288</v>
      </c>
      <c r="H891" s="164">
        <v>293</v>
      </c>
      <c r="K891" s="185">
        <v>44791</v>
      </c>
      <c r="L891" s="182">
        <v>288.13</v>
      </c>
      <c r="M891" s="184">
        <f t="shared" si="9"/>
        <v>4.5138888888884843E-4</v>
      </c>
    </row>
    <row r="892" spans="1:13" ht="15.75" thickBot="1" x14ac:dyDescent="0.3">
      <c r="A892" s="173">
        <v>44792</v>
      </c>
      <c r="B892" s="163">
        <v>137.06</v>
      </c>
      <c r="C892" s="163">
        <v>143.06</v>
      </c>
      <c r="F892" s="173">
        <v>44792</v>
      </c>
      <c r="G892" s="163">
        <v>290</v>
      </c>
      <c r="H892" s="163">
        <v>295</v>
      </c>
      <c r="K892" s="186">
        <v>44792</v>
      </c>
      <c r="L892" s="181">
        <v>292.02999999999997</v>
      </c>
      <c r="M892" s="184">
        <f t="shared" si="9"/>
        <v>6.9999999999998952E-3</v>
      </c>
    </row>
    <row r="893" spans="1:13" ht="15.75" thickBot="1" x14ac:dyDescent="0.3">
      <c r="A893" s="172">
        <v>44795</v>
      </c>
      <c r="B893" s="164">
        <v>138.04</v>
      </c>
      <c r="C893" s="164">
        <v>144.04</v>
      </c>
      <c r="F893" s="172">
        <v>44795</v>
      </c>
      <c r="G893" s="164">
        <v>287</v>
      </c>
      <c r="H893" s="164">
        <v>292</v>
      </c>
      <c r="K893" s="185">
        <v>44795</v>
      </c>
      <c r="L893" s="182">
        <v>287.88</v>
      </c>
      <c r="M893" s="184">
        <f t="shared" si="9"/>
        <v>3.0662020905922738E-3</v>
      </c>
    </row>
    <row r="894" spans="1:13" ht="15.75" thickBot="1" x14ac:dyDescent="0.3">
      <c r="A894" s="173">
        <v>44796</v>
      </c>
      <c r="B894" s="163">
        <v>138.04</v>
      </c>
      <c r="C894" s="163">
        <v>144.04</v>
      </c>
      <c r="F894" s="173">
        <v>44796</v>
      </c>
      <c r="G894" s="163">
        <v>292</v>
      </c>
      <c r="H894" s="163">
        <v>297</v>
      </c>
      <c r="K894" s="186">
        <v>44796</v>
      </c>
      <c r="L894" s="181">
        <v>288.14999999999998</v>
      </c>
      <c r="M894" s="184">
        <f t="shared" si="9"/>
        <v>-1.3184931506849407E-2</v>
      </c>
    </row>
    <row r="895" spans="1:13" ht="15.75" thickBot="1" x14ac:dyDescent="0.3">
      <c r="A895" s="172">
        <v>44797</v>
      </c>
      <c r="B895" s="164">
        <v>138.29</v>
      </c>
      <c r="C895" s="164">
        <v>144.29</v>
      </c>
      <c r="F895" s="172">
        <v>44797</v>
      </c>
      <c r="G895" s="164">
        <v>290</v>
      </c>
      <c r="H895" s="164">
        <v>295</v>
      </c>
      <c r="K895" s="185">
        <v>44797</v>
      </c>
      <c r="L895" s="182">
        <v>286.60000000000002</v>
      </c>
      <c r="M895" s="184">
        <f t="shared" si="9"/>
        <v>-1.172413793103444E-2</v>
      </c>
    </row>
    <row r="896" spans="1:13" ht="15.75" thickBot="1" x14ac:dyDescent="0.3">
      <c r="A896" s="173">
        <v>44798</v>
      </c>
      <c r="B896" s="163">
        <v>138.58000000000001</v>
      </c>
      <c r="C896" s="163">
        <v>144.58000000000001</v>
      </c>
      <c r="F896" s="173">
        <v>44798</v>
      </c>
      <c r="G896" s="163">
        <v>288</v>
      </c>
      <c r="H896" s="163">
        <v>293</v>
      </c>
      <c r="K896" s="186">
        <v>44798</v>
      </c>
      <c r="L896" s="181">
        <v>286.60000000000002</v>
      </c>
      <c r="M896" s="184">
        <f t="shared" si="9"/>
        <v>-4.8611111111109828E-3</v>
      </c>
    </row>
    <row r="897" spans="1:13" ht="15.75" thickBot="1" x14ac:dyDescent="0.3">
      <c r="A897" s="172">
        <v>44799</v>
      </c>
      <c r="B897" s="164">
        <v>138.72999999999999</v>
      </c>
      <c r="C897" s="164">
        <v>144.72999999999999</v>
      </c>
      <c r="F897" s="172">
        <v>44799</v>
      </c>
      <c r="G897" s="164">
        <v>288</v>
      </c>
      <c r="H897" s="164">
        <v>292</v>
      </c>
      <c r="K897" s="185">
        <v>44799</v>
      </c>
      <c r="L897" s="182">
        <v>282.57</v>
      </c>
      <c r="M897" s="184">
        <f t="shared" si="9"/>
        <v>-1.8854166666666727E-2</v>
      </c>
    </row>
    <row r="898" spans="1:13" ht="15.75" thickBot="1" x14ac:dyDescent="0.3">
      <c r="A898" s="173">
        <v>44802</v>
      </c>
      <c r="B898" s="163">
        <v>139.44999999999999</v>
      </c>
      <c r="C898" s="163">
        <v>145.44999999999999</v>
      </c>
      <c r="F898" s="173">
        <v>44802</v>
      </c>
      <c r="G898" s="163">
        <v>287</v>
      </c>
      <c r="H898" s="163">
        <v>292</v>
      </c>
      <c r="K898" s="186">
        <v>44802</v>
      </c>
      <c r="L898" s="181">
        <v>281.77999999999997</v>
      </c>
      <c r="M898" s="184">
        <f t="shared" si="9"/>
        <v>-1.8188153310104593E-2</v>
      </c>
    </row>
    <row r="899" spans="1:13" ht="15.75" thickBot="1" x14ac:dyDescent="0.3">
      <c r="A899" s="172">
        <v>44803</v>
      </c>
      <c r="B899" s="164">
        <v>139.62</v>
      </c>
      <c r="C899" s="164">
        <v>145.62</v>
      </c>
      <c r="F899" s="172">
        <v>44803</v>
      </c>
      <c r="G899" s="164">
        <v>286</v>
      </c>
      <c r="H899" s="164">
        <v>291</v>
      </c>
      <c r="K899" s="185">
        <v>44803</v>
      </c>
      <c r="L899" s="182">
        <v>283.83</v>
      </c>
      <c r="M899" s="184">
        <f t="shared" si="9"/>
        <v>-7.5874125874126896E-3</v>
      </c>
    </row>
    <row r="900" spans="1:13" ht="15.75" thickBot="1" x14ac:dyDescent="0.3">
      <c r="A900" s="173">
        <v>44804</v>
      </c>
      <c r="B900" s="163">
        <v>139.77000000000001</v>
      </c>
      <c r="C900" s="163">
        <v>145.77000000000001</v>
      </c>
      <c r="F900" s="173">
        <v>44804</v>
      </c>
      <c r="G900" s="163">
        <v>285</v>
      </c>
      <c r="H900" s="163">
        <v>290</v>
      </c>
      <c r="K900" s="186">
        <v>44804</v>
      </c>
      <c r="L900" s="181">
        <v>283.08</v>
      </c>
      <c r="M900" s="184">
        <f t="shared" si="9"/>
        <v>-6.7368421052632632E-3</v>
      </c>
    </row>
    <row r="901" spans="1:13" ht="15.75" thickBot="1" x14ac:dyDescent="0.3">
      <c r="A901" s="172">
        <v>44805</v>
      </c>
      <c r="B901" s="164">
        <v>139.86000000000001</v>
      </c>
      <c r="C901" s="164">
        <v>145.86000000000001</v>
      </c>
      <c r="F901" s="172">
        <v>44805</v>
      </c>
      <c r="G901" s="164">
        <v>280</v>
      </c>
      <c r="H901" s="164">
        <v>285</v>
      </c>
      <c r="K901" s="185">
        <v>44805</v>
      </c>
      <c r="L901" s="182">
        <v>278.73</v>
      </c>
      <c r="M901" s="184">
        <f t="shared" si="9"/>
        <v>-4.5357142857141985E-3</v>
      </c>
    </row>
    <row r="902" spans="1:13" ht="15.75" thickBot="1" x14ac:dyDescent="0.3">
      <c r="A902" s="171">
        <v>44806</v>
      </c>
      <c r="B902" s="167">
        <v>139.86000000000001</v>
      </c>
      <c r="C902" s="167">
        <v>145.86000000000001</v>
      </c>
      <c r="F902" s="173">
        <v>44806</v>
      </c>
      <c r="G902" s="163">
        <v>280</v>
      </c>
      <c r="H902" s="163">
        <v>285</v>
      </c>
      <c r="K902" s="186">
        <v>44806</v>
      </c>
      <c r="L902" s="181">
        <v>278.73</v>
      </c>
      <c r="M902" s="184">
        <f t="shared" si="9"/>
        <v>-4.5357142857141985E-3</v>
      </c>
    </row>
    <row r="903" spans="1:13" ht="15.75" thickBot="1" x14ac:dyDescent="0.3">
      <c r="A903" s="172">
        <v>44809</v>
      </c>
      <c r="B903" s="164">
        <v>141.05000000000001</v>
      </c>
      <c r="C903" s="164">
        <v>147.05000000000001</v>
      </c>
      <c r="F903" s="172">
        <v>44809</v>
      </c>
      <c r="G903" s="164">
        <v>266</v>
      </c>
      <c r="H903" s="164">
        <v>270</v>
      </c>
      <c r="K903" s="185">
        <v>44809</v>
      </c>
      <c r="L903" s="182">
        <v>271.19</v>
      </c>
      <c r="M903" s="184">
        <f t="shared" si="9"/>
        <v>1.9511278195488702E-2</v>
      </c>
    </row>
    <row r="904" spans="1:13" ht="15.75" thickBot="1" x14ac:dyDescent="0.3">
      <c r="A904" s="173">
        <v>44810</v>
      </c>
      <c r="B904" s="163">
        <v>141.35</v>
      </c>
      <c r="C904" s="163">
        <v>147.35</v>
      </c>
      <c r="F904" s="173">
        <v>44810</v>
      </c>
      <c r="G904" s="163">
        <v>272</v>
      </c>
      <c r="H904" s="163">
        <v>276</v>
      </c>
      <c r="K904" s="173">
        <v>44810</v>
      </c>
      <c r="L904" s="190">
        <v>270.33999999999997</v>
      </c>
      <c r="M904" s="184">
        <f t="shared" si="9"/>
        <v>-6.1029411764706998E-3</v>
      </c>
    </row>
    <row r="905" spans="1:13" ht="15.75" thickBot="1" x14ac:dyDescent="0.3">
      <c r="A905" s="172">
        <v>44811</v>
      </c>
      <c r="B905" s="164">
        <v>141.68</v>
      </c>
      <c r="C905" s="164">
        <v>147.68</v>
      </c>
      <c r="F905" s="173">
        <v>44811</v>
      </c>
      <c r="G905" s="163">
        <v>280</v>
      </c>
      <c r="H905" s="163">
        <v>284</v>
      </c>
      <c r="K905" s="173">
        <v>44811</v>
      </c>
      <c r="L905" s="190">
        <v>271.02999999999997</v>
      </c>
      <c r="M905" s="184">
        <f t="shared" si="9"/>
        <v>-3.203571428571439E-2</v>
      </c>
    </row>
    <row r="906" spans="1:13" ht="15.75" thickBot="1" x14ac:dyDescent="0.3">
      <c r="A906" s="172">
        <v>44812</v>
      </c>
      <c r="B906" s="164">
        <v>142.15</v>
      </c>
      <c r="C906" s="164">
        <v>148.15</v>
      </c>
      <c r="F906" s="173">
        <v>44812</v>
      </c>
      <c r="G906" s="163">
        <v>276</v>
      </c>
      <c r="H906" s="163">
        <v>280</v>
      </c>
      <c r="K906" s="173">
        <v>44812</v>
      </c>
      <c r="L906" s="190">
        <v>273.02</v>
      </c>
      <c r="M906" s="184">
        <f t="shared" si="9"/>
        <v>-1.0797101449275481E-2</v>
      </c>
    </row>
    <row r="907" spans="1:13" ht="15.75" thickBot="1" x14ac:dyDescent="0.3">
      <c r="A907" s="172">
        <v>44813</v>
      </c>
      <c r="B907" s="164">
        <v>142.41999999999999</v>
      </c>
      <c r="C907" s="164">
        <v>148.41999999999999</v>
      </c>
      <c r="F907" s="173">
        <v>44813</v>
      </c>
      <c r="G907" s="163">
        <v>270</v>
      </c>
      <c r="H907" s="163">
        <v>274</v>
      </c>
      <c r="K907" s="173">
        <v>44813</v>
      </c>
      <c r="L907" s="190">
        <v>269.56</v>
      </c>
      <c r="M907" s="184">
        <f t="shared" si="9"/>
        <v>-1.6296296296296475E-3</v>
      </c>
    </row>
    <row r="908" spans="1:13" ht="15.75" thickBot="1" x14ac:dyDescent="0.3">
      <c r="A908" s="172">
        <v>44816</v>
      </c>
      <c r="B908" s="164">
        <v>143.43</v>
      </c>
      <c r="C908" s="164">
        <v>149.43</v>
      </c>
      <c r="F908" s="173">
        <v>44816</v>
      </c>
      <c r="G908" s="163">
        <v>268</v>
      </c>
      <c r="H908" s="163">
        <v>272</v>
      </c>
      <c r="K908" s="173">
        <v>44816</v>
      </c>
      <c r="L908" s="190">
        <v>269.39</v>
      </c>
      <c r="M908" s="184">
        <f t="shared" si="9"/>
        <v>5.18656716417909E-3</v>
      </c>
    </row>
    <row r="909" spans="1:13" ht="15.75" thickBot="1" x14ac:dyDescent="0.3">
      <c r="A909" s="172">
        <v>44817</v>
      </c>
      <c r="B909" s="164">
        <v>143.52000000000001</v>
      </c>
      <c r="C909" s="164">
        <v>149.52000000000001</v>
      </c>
      <c r="F909" s="173">
        <v>44817</v>
      </c>
      <c r="G909" s="163">
        <v>269</v>
      </c>
      <c r="H909" s="163">
        <v>273</v>
      </c>
      <c r="K909" s="173">
        <v>44817</v>
      </c>
      <c r="L909" s="190">
        <v>269.89999999999998</v>
      </c>
      <c r="M909" s="184">
        <f t="shared" si="9"/>
        <v>3.3457249070631967E-3</v>
      </c>
    </row>
    <row r="910" spans="1:13" ht="15.75" thickBot="1" x14ac:dyDescent="0.3">
      <c r="A910" s="172">
        <v>44818</v>
      </c>
      <c r="B910" s="164">
        <v>143.61000000000001</v>
      </c>
      <c r="C910" s="164">
        <v>149.61000000000001</v>
      </c>
      <c r="F910" s="173">
        <v>44818</v>
      </c>
      <c r="G910" s="163">
        <v>273</v>
      </c>
      <c r="H910" s="163">
        <v>277</v>
      </c>
      <c r="K910" s="173">
        <v>44818</v>
      </c>
      <c r="L910" s="190">
        <v>275.45</v>
      </c>
      <c r="M910" s="184">
        <f t="shared" si="9"/>
        <v>8.9743589743589425E-3</v>
      </c>
    </row>
    <row r="911" spans="1:13" ht="15.75" thickBot="1" x14ac:dyDescent="0.3">
      <c r="A911" s="172">
        <v>44819</v>
      </c>
      <c r="B911" s="164">
        <v>143.99</v>
      </c>
      <c r="C911" s="164">
        <v>149.99</v>
      </c>
      <c r="F911" s="173">
        <v>44819</v>
      </c>
      <c r="G911" s="163">
        <v>272</v>
      </c>
      <c r="H911" s="163">
        <v>276</v>
      </c>
      <c r="K911" s="173">
        <v>44819</v>
      </c>
      <c r="L911" s="190">
        <v>289.66000000000003</v>
      </c>
      <c r="M911" s="184">
        <f t="shared" si="9"/>
        <v>6.4926470588235308E-2</v>
      </c>
    </row>
    <row r="912" spans="1:13" ht="15.75" thickBot="1" x14ac:dyDescent="0.3">
      <c r="A912" s="172">
        <v>44820</v>
      </c>
      <c r="B912" s="164">
        <v>142.16999999999999</v>
      </c>
      <c r="C912" s="164">
        <v>150.16999999999999</v>
      </c>
      <c r="F912" s="173">
        <v>44820</v>
      </c>
      <c r="G912" s="163">
        <v>273</v>
      </c>
      <c r="H912" s="163">
        <v>277</v>
      </c>
      <c r="K912" s="173">
        <v>44820</v>
      </c>
      <c r="L912" s="190">
        <v>294.19</v>
      </c>
      <c r="M912" s="184">
        <f t="shared" si="9"/>
        <v>7.7619047619047699E-2</v>
      </c>
    </row>
    <row r="913" spans="1:15" ht="15.75" thickBot="1" x14ac:dyDescent="0.3">
      <c r="A913" s="172">
        <v>44823</v>
      </c>
      <c r="B913" s="164">
        <v>142.93</v>
      </c>
      <c r="C913" s="164">
        <v>150.93</v>
      </c>
      <c r="F913" s="173">
        <v>44823</v>
      </c>
      <c r="G913" s="163">
        <v>273</v>
      </c>
      <c r="H913" s="163">
        <v>277</v>
      </c>
      <c r="K913" s="173">
        <v>44823</v>
      </c>
      <c r="L913" s="190">
        <v>297.11</v>
      </c>
      <c r="M913" s="184">
        <f t="shared" si="9"/>
        <v>8.8315018315018312E-2</v>
      </c>
    </row>
    <row r="914" spans="1:15" ht="15.75" thickBot="1" x14ac:dyDescent="0.3">
      <c r="A914" s="172">
        <v>44824</v>
      </c>
      <c r="B914" s="164">
        <v>143.24</v>
      </c>
      <c r="C914" s="164">
        <v>151.24</v>
      </c>
      <c r="F914" s="173">
        <v>44824</v>
      </c>
      <c r="G914" s="163">
        <v>283</v>
      </c>
      <c r="H914" s="163">
        <v>287</v>
      </c>
      <c r="K914" s="173">
        <v>44824</v>
      </c>
      <c r="L914" s="190">
        <v>295.10000000000002</v>
      </c>
      <c r="M914" s="184">
        <f t="shared" si="9"/>
        <v>4.2756183745583209E-2</v>
      </c>
    </row>
    <row r="915" spans="1:15" ht="15.75" thickBot="1" x14ac:dyDescent="0.3">
      <c r="A915" s="172">
        <v>44825</v>
      </c>
      <c r="B915" s="164">
        <v>143.56</v>
      </c>
      <c r="C915" s="164">
        <v>151.56</v>
      </c>
      <c r="F915" s="173">
        <v>44825</v>
      </c>
      <c r="G915" s="163">
        <v>283</v>
      </c>
      <c r="H915" s="163">
        <v>287</v>
      </c>
      <c r="K915" s="173">
        <v>44825</v>
      </c>
      <c r="L915" s="190">
        <v>297.91000000000003</v>
      </c>
      <c r="M915" s="184">
        <f t="shared" si="9"/>
        <v>5.2685512367491194E-2</v>
      </c>
    </row>
    <row r="916" spans="1:15" ht="15.75" thickBot="1" x14ac:dyDescent="0.3">
      <c r="A916" s="172">
        <v>44826</v>
      </c>
      <c r="B916" s="164">
        <v>143.63999999999999</v>
      </c>
      <c r="C916" s="164">
        <v>151.63999999999999</v>
      </c>
      <c r="F916" s="173">
        <v>44826</v>
      </c>
      <c r="G916" s="163">
        <v>281</v>
      </c>
      <c r="H916" s="163">
        <v>285</v>
      </c>
      <c r="K916" s="173">
        <v>44826</v>
      </c>
      <c r="L916" s="190">
        <v>302.19</v>
      </c>
      <c r="M916" s="184">
        <f t="shared" si="9"/>
        <v>7.5409252669039084E-2</v>
      </c>
    </row>
    <row r="917" spans="1:15" ht="15.75" thickBot="1" x14ac:dyDescent="0.3">
      <c r="A917" s="172">
        <v>44827</v>
      </c>
      <c r="B917" s="164">
        <v>144.24</v>
      </c>
      <c r="C917" s="164">
        <v>152.24</v>
      </c>
      <c r="F917" s="173">
        <v>44827</v>
      </c>
      <c r="G917" s="163">
        <v>283</v>
      </c>
      <c r="H917" s="163">
        <v>287</v>
      </c>
      <c r="K917" s="173">
        <v>44827</v>
      </c>
      <c r="L917" s="190">
        <v>301.82</v>
      </c>
      <c r="M917" s="184">
        <f t="shared" si="9"/>
        <v>6.6501766784452299E-2</v>
      </c>
    </row>
    <row r="918" spans="1:15" ht="15.75" thickBot="1" x14ac:dyDescent="0.3">
      <c r="A918" s="172">
        <v>44830</v>
      </c>
      <c r="B918" s="164">
        <v>145.01</v>
      </c>
      <c r="C918" s="164">
        <v>153.01</v>
      </c>
      <c r="F918" s="173">
        <v>44830</v>
      </c>
      <c r="G918" s="163">
        <v>282</v>
      </c>
      <c r="H918" s="163">
        <v>286</v>
      </c>
      <c r="K918" s="173">
        <v>44830</v>
      </c>
      <c r="L918" s="190">
        <v>298.25</v>
      </c>
      <c r="M918" s="184">
        <f t="shared" si="9"/>
        <v>5.7624113475177374E-2</v>
      </c>
    </row>
    <row r="919" spans="1:15" ht="15.75" thickBot="1" x14ac:dyDescent="0.3">
      <c r="A919" s="172">
        <v>44831</v>
      </c>
      <c r="B919" s="164">
        <v>145.31</v>
      </c>
      <c r="C919" s="164">
        <v>153.31</v>
      </c>
      <c r="F919" s="173">
        <v>44831</v>
      </c>
      <c r="G919" s="163">
        <v>286</v>
      </c>
      <c r="H919" s="163">
        <v>290</v>
      </c>
      <c r="K919" s="173">
        <v>44831</v>
      </c>
      <c r="L919" s="190">
        <v>296.77999999999997</v>
      </c>
      <c r="M919" s="184">
        <f t="shared" si="9"/>
        <v>3.7692307692307692E-2</v>
      </c>
    </row>
    <row r="920" spans="1:15" ht="15.75" thickBot="1" x14ac:dyDescent="0.3">
      <c r="A920" s="172">
        <v>44832</v>
      </c>
      <c r="B920" s="164">
        <v>145.61000000000001</v>
      </c>
      <c r="C920" s="164">
        <v>153.61000000000001</v>
      </c>
      <c r="F920" s="173">
        <v>44832</v>
      </c>
      <c r="G920" s="163">
        <v>286</v>
      </c>
      <c r="H920" s="163">
        <v>290</v>
      </c>
      <c r="K920" s="173">
        <v>44832</v>
      </c>
      <c r="L920" s="190">
        <v>297.99</v>
      </c>
      <c r="M920" s="184">
        <f t="shared" si="9"/>
        <v>4.1923076923076952E-2</v>
      </c>
    </row>
    <row r="921" spans="1:15" ht="15.75" thickBot="1" x14ac:dyDescent="0.3">
      <c r="A921" s="172">
        <v>44833</v>
      </c>
      <c r="B921" s="164">
        <v>145.9</v>
      </c>
      <c r="C921" s="164">
        <v>153.9</v>
      </c>
      <c r="F921" s="173">
        <v>44833</v>
      </c>
      <c r="G921" s="163">
        <v>284</v>
      </c>
      <c r="H921" s="163">
        <v>288</v>
      </c>
      <c r="K921" s="173">
        <v>44833</v>
      </c>
      <c r="L921" s="190">
        <v>295.83</v>
      </c>
      <c r="M921" s="184">
        <f t="shared" si="9"/>
        <v>4.1654929577464639E-2</v>
      </c>
    </row>
    <row r="922" spans="1:15" ht="15.75" thickBot="1" x14ac:dyDescent="0.3">
      <c r="A922" s="172">
        <v>44834</v>
      </c>
      <c r="B922" s="164">
        <v>146.25</v>
      </c>
      <c r="C922" s="164">
        <v>154.25</v>
      </c>
      <c r="F922" s="173">
        <v>44834</v>
      </c>
      <c r="G922" s="163">
        <v>284</v>
      </c>
      <c r="H922" s="163">
        <v>288</v>
      </c>
      <c r="K922" s="173">
        <v>44834</v>
      </c>
      <c r="L922" s="190">
        <v>302.48</v>
      </c>
      <c r="M922" s="184">
        <f t="shared" si="9"/>
        <v>6.5070422535211225E-2</v>
      </c>
      <c r="N922" s="191">
        <f>+L937/Tabla6[[#This Row],[MEP]]-1</f>
        <v>-2.9258132769108824E-2</v>
      </c>
      <c r="O922" s="191">
        <f>+H937/Tabla3[[#This Row],[Venta]]-1</f>
        <v>1.736111111111116E-2</v>
      </c>
    </row>
    <row r="923" spans="1:15" ht="15.75" thickBot="1" x14ac:dyDescent="0.3">
      <c r="A923" s="172">
        <v>44837</v>
      </c>
      <c r="B923" s="164">
        <v>147.33000000000001</v>
      </c>
      <c r="C923" s="164">
        <v>155.33000000000001</v>
      </c>
      <c r="F923" s="173">
        <v>44837</v>
      </c>
      <c r="G923" s="163">
        <v>280</v>
      </c>
      <c r="H923" s="163">
        <v>284</v>
      </c>
      <c r="K923" s="173">
        <v>44837</v>
      </c>
      <c r="L923" s="190">
        <v>297.97000000000003</v>
      </c>
      <c r="M923" s="184">
        <f t="shared" si="9"/>
        <v>6.4178571428571418E-2</v>
      </c>
    </row>
    <row r="924" spans="1:15" ht="15.75" thickBot="1" x14ac:dyDescent="0.3">
      <c r="A924" s="172">
        <v>44838</v>
      </c>
      <c r="B924" s="164">
        <v>147.66999999999999</v>
      </c>
      <c r="C924" s="164">
        <v>155.66999999999999</v>
      </c>
      <c r="F924" s="173">
        <v>44838</v>
      </c>
      <c r="G924" s="163">
        <v>278</v>
      </c>
      <c r="H924" s="163">
        <v>282</v>
      </c>
      <c r="K924" s="173">
        <v>44838</v>
      </c>
      <c r="L924" s="190">
        <v>299.77</v>
      </c>
      <c r="M924" s="184">
        <f t="shared" si="9"/>
        <v>7.8309352517985653E-2</v>
      </c>
    </row>
    <row r="925" spans="1:15" ht="15.75" thickBot="1" x14ac:dyDescent="0.3">
      <c r="A925" s="172">
        <v>44839</v>
      </c>
      <c r="B925" s="164">
        <v>147.9</v>
      </c>
      <c r="C925" s="164">
        <v>155.9</v>
      </c>
      <c r="F925" s="173">
        <v>44839</v>
      </c>
      <c r="G925" s="163">
        <v>278</v>
      </c>
      <c r="H925" s="163">
        <v>282</v>
      </c>
      <c r="K925" s="173">
        <v>44839</v>
      </c>
      <c r="L925" s="190">
        <v>297.5</v>
      </c>
      <c r="M925" s="184">
        <f t="shared" si="9"/>
        <v>7.0143884892086339E-2</v>
      </c>
    </row>
    <row r="926" spans="1:15" ht="15.75" thickBot="1" x14ac:dyDescent="0.3">
      <c r="A926" s="172">
        <v>44840</v>
      </c>
      <c r="B926" s="164">
        <v>148.29</v>
      </c>
      <c r="C926" s="164">
        <v>156.29</v>
      </c>
      <c r="F926" s="173">
        <v>44840</v>
      </c>
      <c r="G926" s="163">
        <v>273</v>
      </c>
      <c r="H926" s="163">
        <v>277</v>
      </c>
      <c r="K926" s="173">
        <v>44840</v>
      </c>
      <c r="L926" s="190">
        <v>293.25</v>
      </c>
      <c r="M926" s="184">
        <f t="shared" si="9"/>
        <v>7.4175824175824134E-2</v>
      </c>
    </row>
    <row r="927" spans="1:15" ht="15.75" thickBot="1" x14ac:dyDescent="0.3">
      <c r="A927" s="172">
        <v>44845</v>
      </c>
      <c r="B927" s="164">
        <v>149.76</v>
      </c>
      <c r="C927" s="164">
        <v>157.76</v>
      </c>
      <c r="F927" s="173">
        <v>44845</v>
      </c>
      <c r="G927" s="163">
        <v>276</v>
      </c>
      <c r="H927" s="163">
        <v>280</v>
      </c>
      <c r="K927" s="173">
        <v>44845</v>
      </c>
      <c r="L927" s="190">
        <v>288.14999999999998</v>
      </c>
      <c r="M927" s="184">
        <f t="shared" si="9"/>
        <v>4.4021739130434723E-2</v>
      </c>
    </row>
    <row r="928" spans="1:15" ht="15.75" thickBot="1" x14ac:dyDescent="0.3">
      <c r="A928" s="172">
        <v>44846</v>
      </c>
      <c r="B928" s="164">
        <v>149.96</v>
      </c>
      <c r="C928" s="164">
        <v>157.96</v>
      </c>
      <c r="F928" s="173">
        <v>44846</v>
      </c>
      <c r="G928" s="163">
        <v>285</v>
      </c>
      <c r="H928" s="163">
        <v>289</v>
      </c>
      <c r="K928" s="173">
        <v>44846</v>
      </c>
      <c r="L928" s="190">
        <v>293.69</v>
      </c>
      <c r="M928" s="184">
        <f t="shared" si="9"/>
        <v>3.0491228070175458E-2</v>
      </c>
    </row>
    <row r="929" spans="1:13" ht="15.75" thickBot="1" x14ac:dyDescent="0.3">
      <c r="A929" s="172">
        <v>44847</v>
      </c>
      <c r="B929" s="164">
        <v>150.19</v>
      </c>
      <c r="C929" s="164">
        <v>158.19</v>
      </c>
      <c r="F929" s="173">
        <v>44847</v>
      </c>
      <c r="G929" s="163">
        <v>287</v>
      </c>
      <c r="H929" s="163">
        <v>291</v>
      </c>
      <c r="K929" s="173">
        <v>44847</v>
      </c>
      <c r="L929" s="190">
        <v>299.42</v>
      </c>
      <c r="M929" s="184">
        <f t="shared" si="9"/>
        <v>4.3275261324041914E-2</v>
      </c>
    </row>
    <row r="930" spans="1:13" ht="15.75" thickBot="1" x14ac:dyDescent="0.3">
      <c r="A930" s="172">
        <v>44848</v>
      </c>
      <c r="B930" s="164">
        <v>150.28</v>
      </c>
      <c r="C930" s="164">
        <v>158.28</v>
      </c>
      <c r="F930" s="173">
        <v>44848</v>
      </c>
      <c r="G930" s="163">
        <v>286</v>
      </c>
      <c r="H930" s="163">
        <v>290</v>
      </c>
      <c r="K930" s="173">
        <v>44848</v>
      </c>
      <c r="L930" s="190">
        <v>299.04000000000002</v>
      </c>
      <c r="M930" s="184">
        <f t="shared" si="9"/>
        <v>4.5594405594405751E-2</v>
      </c>
    </row>
    <row r="931" spans="1:13" ht="15.75" thickBot="1" x14ac:dyDescent="0.3">
      <c r="A931" s="172">
        <v>44851</v>
      </c>
      <c r="B931" s="164">
        <v>151.49</v>
      </c>
      <c r="C931" s="164">
        <v>159.49</v>
      </c>
      <c r="F931" s="173">
        <v>44851</v>
      </c>
      <c r="G931" s="163">
        <v>283</v>
      </c>
      <c r="H931" s="163">
        <v>287</v>
      </c>
      <c r="K931" s="173">
        <v>44851</v>
      </c>
      <c r="L931" s="190">
        <v>295.58</v>
      </c>
      <c r="M931" s="184">
        <f t="shared" si="9"/>
        <v>4.4452296819788018E-2</v>
      </c>
    </row>
    <row r="932" spans="1:13" ht="15.75" thickBot="1" x14ac:dyDescent="0.3">
      <c r="A932" s="172">
        <v>44852</v>
      </c>
      <c r="B932" s="164">
        <v>151.71</v>
      </c>
      <c r="C932" s="164">
        <v>159.71</v>
      </c>
      <c r="F932" s="173">
        <v>44852</v>
      </c>
      <c r="G932" s="163">
        <v>286</v>
      </c>
      <c r="H932" s="163">
        <v>290</v>
      </c>
      <c r="K932" s="173">
        <v>44852</v>
      </c>
      <c r="L932" s="190">
        <v>293.33</v>
      </c>
      <c r="M932" s="184">
        <f t="shared" si="9"/>
        <v>2.5629370629370651E-2</v>
      </c>
    </row>
    <row r="933" spans="1:13" ht="15.75" thickBot="1" x14ac:dyDescent="0.3">
      <c r="A933" s="172">
        <v>44853</v>
      </c>
      <c r="B933" s="164">
        <v>151.94</v>
      </c>
      <c r="C933" s="164">
        <v>159.94</v>
      </c>
      <c r="F933" s="173">
        <v>44853</v>
      </c>
      <c r="G933" s="163">
        <v>288</v>
      </c>
      <c r="H933" s="163">
        <v>292</v>
      </c>
      <c r="K933" s="173">
        <v>44853</v>
      </c>
      <c r="L933" s="190">
        <v>292.41000000000003</v>
      </c>
      <c r="M933" s="184">
        <f t="shared" si="9"/>
        <v>1.5312500000000062E-2</v>
      </c>
    </row>
    <row r="934" spans="1:13" ht="15.75" thickBot="1" x14ac:dyDescent="0.3">
      <c r="A934" s="172">
        <v>44854</v>
      </c>
      <c r="B934" s="164">
        <v>152.27000000000001</v>
      </c>
      <c r="C934" s="164">
        <v>160.27000000000001</v>
      </c>
      <c r="F934" s="173">
        <v>44854</v>
      </c>
      <c r="G934" s="163">
        <v>287</v>
      </c>
      <c r="H934" s="163">
        <v>291</v>
      </c>
      <c r="K934" s="173">
        <v>44854</v>
      </c>
      <c r="L934" s="190">
        <v>290.87</v>
      </c>
      <c r="M934" s="184">
        <f t="shared" si="9"/>
        <v>1.3484320557491269E-2</v>
      </c>
    </row>
    <row r="935" spans="1:13" ht="15.75" thickBot="1" x14ac:dyDescent="0.3">
      <c r="A935" s="172">
        <v>44855</v>
      </c>
      <c r="B935" s="164">
        <v>152.57</v>
      </c>
      <c r="C935" s="164">
        <v>160.57</v>
      </c>
      <c r="F935" s="173">
        <v>44855</v>
      </c>
      <c r="G935" s="163">
        <v>287</v>
      </c>
      <c r="H935" s="163">
        <v>291</v>
      </c>
      <c r="K935" s="173">
        <v>44855</v>
      </c>
      <c r="L935" s="190">
        <v>290.63</v>
      </c>
      <c r="M935" s="184">
        <f t="shared" si="9"/>
        <v>1.2648083623693296E-2</v>
      </c>
    </row>
    <row r="936" spans="1:13" ht="15.75" thickBot="1" x14ac:dyDescent="0.3">
      <c r="A936" s="172">
        <v>44858</v>
      </c>
      <c r="B936" s="164">
        <v>153.56</v>
      </c>
      <c r="C936" s="164">
        <v>161.56</v>
      </c>
      <c r="F936" s="173">
        <v>44858</v>
      </c>
      <c r="G936" s="163">
        <v>287</v>
      </c>
      <c r="H936" s="163">
        <v>291</v>
      </c>
      <c r="K936" s="173">
        <v>44858</v>
      </c>
      <c r="L936" s="190">
        <v>291.89</v>
      </c>
      <c r="M936" s="184">
        <f t="shared" si="9"/>
        <v>1.7038327526132324E-2</v>
      </c>
    </row>
    <row r="937" spans="1:13" x14ac:dyDescent="0.25">
      <c r="A937" s="172">
        <v>44859</v>
      </c>
      <c r="B937" s="164">
        <v>154.1</v>
      </c>
      <c r="C937" s="164">
        <v>162.1</v>
      </c>
      <c r="F937" s="173">
        <v>44859</v>
      </c>
      <c r="G937" s="163">
        <v>289</v>
      </c>
      <c r="H937" s="163">
        <v>293</v>
      </c>
      <c r="K937" s="173">
        <v>44859</v>
      </c>
      <c r="L937" s="190">
        <v>293.63</v>
      </c>
      <c r="M937" s="184">
        <f t="shared" si="9"/>
        <v>1.6020761245674642E-2</v>
      </c>
    </row>
  </sheetData>
  <sortState xmlns:xlrd2="http://schemas.microsoft.com/office/spreadsheetml/2017/richdata2" ref="K906:L942">
    <sortCondition ref="K906:K942"/>
  </sortState>
  <hyperlinks>
    <hyperlink ref="A2" r:id="rId1" xr:uid="{F9A1A2EB-7D3A-4ABA-AF0A-367BFAD1B18F}"/>
    <hyperlink ref="F2" r:id="rId2" xr:uid="{ABA63781-D8C6-45C1-9D3F-E2B18705C7D7}"/>
    <hyperlink ref="K2" r:id="rId3" xr:uid="{50C58D42-01F1-4FFB-A5FF-ED70C5640654}"/>
  </hyperlinks>
  <pageMargins left="0.7" right="0.7" top="0.75" bottom="0.75" header="0.3" footer="0.3"/>
  <tableParts count="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9</vt:i4>
      </vt:variant>
    </vt:vector>
  </HeadingPairs>
  <TitlesOfParts>
    <vt:vector size="15" baseType="lpstr">
      <vt:lpstr>Portada</vt:lpstr>
      <vt:lpstr>Ayuda</vt:lpstr>
      <vt:lpstr>Planilla de datos</vt:lpstr>
      <vt:lpstr>Criterios de validación</vt:lpstr>
      <vt:lpstr>SIPM (Actualización en $)</vt:lpstr>
      <vt:lpstr>Dólar</vt:lpstr>
      <vt:lpstr>Actividad</vt:lpstr>
      <vt:lpstr>Cabezas</vt:lpstr>
      <vt:lpstr>Categorías</vt:lpstr>
      <vt:lpstr>Home</vt:lpstr>
      <vt:lpstr>Kg._Diferencia</vt:lpstr>
      <vt:lpstr>KilajeCierre</vt:lpstr>
      <vt:lpstr>PrecioCierre</vt:lpstr>
      <vt:lpstr>Titulo_Inventario_inicio</vt:lpstr>
      <vt:lpstr>TotalDiferencia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Olivero Vila</cp:lastModifiedBy>
  <cp:lastPrinted>2020-11-06T22:14:56Z</cp:lastPrinted>
  <dcterms:created xsi:type="dcterms:W3CDTF">2020-07-08T14:01:51Z</dcterms:created>
  <dcterms:modified xsi:type="dcterms:W3CDTF">2025-08-08T16:19:57Z</dcterms:modified>
</cp:coreProperties>
</file>