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RIPSI !!!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3" i="1" l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<sst xmlns="http://schemas.openxmlformats.org/spreadsheetml/2006/main" count="82" uniqueCount="82">
  <si>
    <t>no</t>
  </si>
  <si>
    <t>alamat</t>
  </si>
  <si>
    <t>nomer</t>
  </si>
  <si>
    <t>nama</t>
  </si>
  <si>
    <t>telepon</t>
  </si>
  <si>
    <t>total</t>
  </si>
  <si>
    <t>produk</t>
  </si>
  <si>
    <t>bulan</t>
  </si>
  <si>
    <t xml:space="preserve">Pricelist Harga = </t>
  </si>
  <si>
    <t>Nama Barang</t>
  </si>
  <si>
    <t>Harga</t>
  </si>
  <si>
    <t>Luxerr Gas</t>
  </si>
  <si>
    <t>Luxerr Listrik</t>
  </si>
  <si>
    <t>Niko Gas</t>
  </si>
  <si>
    <t>Modena Gas</t>
  </si>
  <si>
    <t>Modena Listrik 30Liter</t>
  </si>
  <si>
    <t>Wasser Gas</t>
  </si>
  <si>
    <t>Paloma Gas</t>
  </si>
  <si>
    <t>Rinnai Gas</t>
  </si>
  <si>
    <t>Rinnai Listrik 15 liter</t>
  </si>
  <si>
    <t>Kran Panas Dingin</t>
  </si>
  <si>
    <t>Shower</t>
  </si>
  <si>
    <t>niko @121; luxerrGas @16; luxerrListrik @15; modenaGas @16; modenaListrik @16; Wasser @29; RinnaiGas @14; RinnaiListrik @13; Paloma @10; Kran@120; Shower @97</t>
  </si>
  <si>
    <t>niko @89; luxerrGas @15; luxerrListrik @14; modenaGas @14; modenaListrik @14; Wasser @28; RinnaiGas @15; RinnaiListrik @14; Paloma @15; Kran @87; Shower @86</t>
  </si>
  <si>
    <t>niko @152; luxerrGas @18; luxerrListrik @17; modenaGas @18; modenaListrik @17; Wasser @35; RinnaiGas @16; RinnaiListrik @16; Paloma @14; Kran@150; Shower @160</t>
  </si>
  <si>
    <t>niko @118; luxerrGas @14;luxerrListrik @14; modenaGas @14; modenaListrik @14; Wasser @27; RinnaiGas @14; RinnaiListrik @14; Paloma @13; Kran@118; Shower @118</t>
  </si>
  <si>
    <t>niko @93; luxerrGas @11;luxerrListrik @10; modenaGas @10; modenaListrik @9; Wasser @19; RinnaiGas @10; RinnaiListrik @10; Paloma @12; Kran@93; Shower @95</t>
  </si>
  <si>
    <t>niko @177; luxerrGas @13;luxerrListrik @12;modenaGas @13; modenaListrik @12; Wasser @25; RinnaiGas @11; RinnaiListrik @11; Paloma @11; Kran@177; Shower @177</t>
  </si>
  <si>
    <t>niko @62; luxerrGas @13; luxerrListrik @13; modenaGas @12; modenaListrik @13; Wasser @27; RinnaiGas @13; RinnaiListrik @12; Paloma @10; Kran@62; Shower @71</t>
  </si>
  <si>
    <t>niko @208; luxerrGas @19;luxerrListrik @18; modenaGas @16; modenaListrik @16; Wasser @31; RinnaiGas @15; RinnaiListrik @15; Paloma @16; Kran@207; Shower @207</t>
  </si>
  <si>
    <t>niko @123; luxerrGas @20; luxerrListrik @20; modenaGas@20; modenaListrik @20; Wasser @40; RinnaiGas @20; RinnaiListrik @19; Paloma @12; Kran@123; Shower @124</t>
  </si>
  <si>
    <t>niko @117; luxerrGas @19;luxerrListrik @18; modenaGas @19; modenaListrik @19; Wasser @37; RinnaiGas @18; RinnaiListrik @18; Paloma @11; Kran@115; Shower @115</t>
  </si>
  <si>
    <t>niko @184; luxerrGas @13;luxerrListrik @12; modenaGas@13; modenaListrik @12; Wasser @25; RinnaiGas @13; RinnaiListrik @12; Paloma @14; Kran@184; Shower @188</t>
  </si>
  <si>
    <t>niko @146; luxerrGas @10;luxerrListrik @9; modenaGas @10; modenaListrik @9; Wasser @18; RinnaiGas @9; RinnaiListrik @9; Paloma @9; Kran@131; Shower @140</t>
  </si>
  <si>
    <t>niko @155; luxerrGas @17; luxerrListrik @16; modenaGas @16; modenaListrik @16; Wasser @30; RinnaiGas @14; RinnaiListrik @14; Paloma @11; Kran@150; Shower @150</t>
  </si>
  <si>
    <t>niko @115; luxerrGas @16;luxerrListrik @15; modenaGas @15; modenaListrik @14; Wasser @29; RinnaiGas @13; RinnaiListrik @12; Paloma @14; Kran@112; Shower @112</t>
  </si>
  <si>
    <t>niko @182; luxerrGas @19;luxerrListrik @19; modenaGas @19; modenaListrik @19; Wasser @28; RinnaiGas @15; RinnaiListrik @15; Paloma @15; Kran@180; Shower @180</t>
  </si>
  <si>
    <t>niko @88; luxerrGas @16; luxerrListrik @16; modenaGas @16; modenaListrik @16; Wasser @32; RinnaiGas @15; RinnaiListrik @14; Paloma @12; Kran@89; Shower @90</t>
  </si>
  <si>
    <t>niko @213; luxerrGas @13;luxerrListrik @12; modenaGas @13; modenaListrik @12; Wasser @24; RinnaiGas @12; RinnaiListrik @11; Paloma @10; Kran@215; Shower @215</t>
  </si>
  <si>
    <t>niko @147; luxerrGas @14;luxerrListrik @14; modenaGas @14; modenaListrik @14; Wasser @28; RinnaiGas @11; RinnaiListrik @10; Paloma @13; Kran@145; Shower @155</t>
  </si>
  <si>
    <t>niko @87; luxerrGas @15;luxerrListrik @14; modenaGas @15; modenaListrik @14; Wasser @29; RinnaiGas @16; RinnaiListrik @16; Paloma @11; Kran@85; Shower @85</t>
  </si>
  <si>
    <t>niko @213; luxerrGas@20;luxerrListrik @19; modenaGas @19; modenaListrik @18; Wasser @37; RinnaiGas @19;  RinnaiListrik @19; Paloma @15; Kran@212; Shower @212</t>
  </si>
  <si>
    <t>niko @120; luxerrGas @22;luxerrListrik @21; modenaGas @22; modenaListrik @21; Wasser @44; RinnaiGas @23; RinnaiListrik @22; Paloma @16; Kran@124; Shower @124</t>
  </si>
  <si>
    <t>niko @173; luxerrGas @21;luxerrListrik @21;modenaGas @20; modenaListrik @20; Wasser @47; RinnaiGas @15; RinnaiListrik @25; Paloma @10; Kran@180; Shower @175</t>
  </si>
  <si>
    <t>niko @217; luxerrGas @14 ;luxerrListrik @13;modenaGas @13; modenaListrik @13; Wasser @27; RinnaiGas @12; RinnaiListrik @12; Paloma @13; Kran@216; Shower @211</t>
  </si>
  <si>
    <t>niko @120; luxerrGas @11;luxerrListrik @10; modenaGas @11; modenaListrik @10; Wasser @20; RinnaiGas @8; RinnaiListrik @7; Paloma @11; Kran@111; Shower @113</t>
  </si>
  <si>
    <t>niko @122; luxerrGas @15;luxerrListrik @14; modenaGas @14; modenaListrik @13; Wasser @26; RinnaiGas @12; RinnaiListrik @12; Paloma @8; Kran@120; Shower @120</t>
  </si>
  <si>
    <t>niko @74; luxerrGas @14;luxerrListrik @13; modenaGas @13; modenaListrik @12; Wasser @25; RinnaiGas @13; RinnaiListrik @13; Paloma @11; Kran@73; Shower @73</t>
  </si>
  <si>
    <t>niko @76; luxerrGas @17;luxerrListrik @16; modenaGas @17; modenaListrik @16; Wasser @32; RinnaiGas @15; RinnaiListrik @15; Paloma @13; Kran@77; Shower @90</t>
  </si>
  <si>
    <t>niko @86; luxerrGas@13 ;luxerrListrik @12; modenaGas @12; modenaListrik @12; Wasser @24; RinnaiGas @10; RinnaiListrik @10; Paloma @12; Kran@89; Shower @98</t>
  </si>
  <si>
    <t>niko @203; luxerrGas @10;luxerrListrik @9; modenaGas @9; modenaListrik @9; Wasser @20; RinnaiGas @11; RinnaiListrik @10; Paloma @7; Kran@200; Shower @200</t>
  </si>
  <si>
    <t>niko @187; luxerrGas @11;luxerrListrik @11; modenaGas @11; modenaListrik @10; Wasser @19; RinnaiGas @10; RinnaiListrik @10; Paloma @10; Kran@185; Shower @185</t>
  </si>
  <si>
    <t>niko @90; luxerrGas @12;luxerrListrik @12; modenaGas @12; modenaListrik @12; Wasser @24; RinnaiGas @12; RinnaiListrik @12; Paloma @12; Kran@95; Shower @90</t>
  </si>
  <si>
    <t>niko @156; luxerrGas @18;luxerrListrik @17; modenaGas @17; modenaListrik @16; Wasser @32; RinnaiGas @16; RinnaiListrik @16; Paloma @14; Kran@146; Shower @146</t>
  </si>
  <si>
    <t>niko @84; luxerrGas @19;luxerrListrik @18;modenaGas @19; modenaListrik @19; Wasser @34; RinnaiGas @17; RinnaiListrik @16; Paloma @15; Kran@85; Shower @91</t>
  </si>
  <si>
    <t>niko @172; luxerrGas @19;luxerrListrik @17; modenaGas @18; modenaListrik @17; Wasser @35; RinnaiGas @18; RinnaiListrik @17; Paloma @16; Kran@171; Shower @171</t>
  </si>
  <si>
    <t>niko @118; luxerrGas @12;luxerrListrik @12; modenaGas @13; modenaListrik @12; Wasser @25; RinnaiGas @13; RinnaiListrik @12; Paloma @11; Kran@115; Shower @117</t>
  </si>
  <si>
    <t>niko @120; luxerrGas @8;luxerrListrik @7; modenaGas @8; modenaListrik @7; Wasser @15; RinnaiGas @8; RinnaiListrik @7; Paloma @10; Kran@126; Shower @100</t>
  </si>
  <si>
    <t>niko @176; luxerrGas @14;luxerrListrik @13; modenaListrik @12; modenaGas @13; Wasser @24; RinnaiGas @11; RinnaiListrik @10; Paloma @9; Kran@175; Shower @175</t>
  </si>
  <si>
    <t>niko @65; luxerrGas @12;luxerrListrik @12; modenaListrik @11; modenaGas @12; Wasser @23; RinnaiGas @13; RinnaiListrik @12; Paloma @10; Kran@70; Shower @70</t>
  </si>
  <si>
    <t>niko @55; luxerrGas@16;luxerrListrik @16; modenaGas @15; modenaListrik @15; Wasser @29; RinnaiGas @16; RinnaiListrik @15; Paloma @12; Kran@60; Shower @60</t>
  </si>
  <si>
    <t>niko @154; luxerrGas @11;luxerrListrik @10; modenaGas @12; modenaListrik @12; Wasser @23; RinnaiGas @10; RinnaiListrik @10; Paloma @14; Kran@152; Shower @150</t>
  </si>
  <si>
    <t>niko @97; luxerrGas @9;luxerrListrik @8; modenaGas @9; modenaListrik @9; Wasser @17; RinnaiGas @9; RinnaiListrik @8; Paloma @8; Kran@99; Shower @99</t>
  </si>
  <si>
    <t>niko @113; luxerrGas @10;luxerrListrik @10; modenaGas @10; modenaListrik @9;  Wasser @19; RinnaiGas @9; RinnaiListrik @9; Paloma @11; Kran@115; Shower @115</t>
  </si>
  <si>
    <t>niko @115; luxerrGas @12;luxerrListrik @11; modenaGas @10; modenaListrik @10; Wasser @21; RinnaiGas @11; RinnaiListrik @11; Paloma @12; Kran@116; Shower @117</t>
  </si>
  <si>
    <t>niko @95; luxerrGas@17;luxerrListrik @16; modenaGas @16; modenaListrik @16; Wasser @32; RinnaiGas @16; RinnaiListrik @16; Paloma @13; Kran@90; Shower @90</t>
  </si>
  <si>
    <t>niko @177; luxerrGas @18;luxerrListrik @17; modenaGas @17; modenaListrik @18; Wasser @35; RinnaiGas @17; RinnaiListrik @33; Paloma @10; Kran@165; Shower @177</t>
  </si>
  <si>
    <t>niko @123; luxerrGas @16;luxerrListrik @16; modenaGas @17; modenaListrik @16; Wasser @30; RinnaiGas @14; RinnaiListrik @16; Paloma @16; Kran@124; Shower @124</t>
  </si>
  <si>
    <t>niko @96; luxerrGas@11;luxerrListrik @11; modenaGas @11; modenaListrik @11; Wasser @20; RinnaiGas @10; RinnaiListrik @10; Paloma @10; Kran@92; Shower @92</t>
  </si>
  <si>
    <t>niko @54; luxerrGas@7;luxerrListrik @6; modenaGas @7; modenaListrik @6; Wasser @13; RinnaiGas @7; RinnaiListrik @6; Paloma @7; Kran@21; Shower @67</t>
  </si>
  <si>
    <t>niko @131; luxerrGas @13;luxerrListrik @12; modenaGas @11; modenaListrik @11; Wasser @21; RinnaiGas @10; RinnaiListrik @10; Paloma @10; Kran@129; Shower @129</t>
  </si>
  <si>
    <t>niko @79; luxerrGas @11;luxerrListrik @10; modenaGas @11; modenaListrik @10; Wasser @22; RinnaiGas @11; RinnaiListrik @11; Paloma @8; Kran@80; Shower @75</t>
  </si>
  <si>
    <t>niko @77; luxerrGas @15;luxerrListrik @15; modenaGas @16; modenaListrik @15; Wasser @31; RinnaiGas @13; RinnaiListrik @12; Paloma @9; Kran@62; Shower @62</t>
  </si>
  <si>
    <t>niko @73; luxerrGas @10;luxerrListrik @9; modenaGas @9; modenaListrik @9; Wasser @18; RinnaiGas @9; RinnaiListrik @9; Paloma @11; Kran@71; Shower @71</t>
  </si>
  <si>
    <t>niko @68; luxerrGas @8;luxerrListrik @7; modenaGas @8; modenaListrik @8; Wasser @17; RinnaiGas @5; RinnaiListrik @5; Paloma @7; Kran@66; Shower @66</t>
  </si>
  <si>
    <t>niko @112; luxerrGas @10;luxerrListrik @9; modenaGas @8; modenaListrik @9; Wasser @19; RinnaiGas @10; RinnaiListrik @9; Paloma @10; Kran@110; Shower @76</t>
  </si>
  <si>
    <t>niko @94; luxerrGas @11;luxerrListrik @11; modenaGas @8; modenaListrik @9; Wasser @21; RinnaiGas @11; RinnaiListrik @10; Paloma @11; Kran@95; Shower @100</t>
  </si>
  <si>
    <t>niko @90; luxerrGas @16;luxerrListrik @15; modenaGas @16; modenaListrik @15; Wasser @20; RinnaiGas @10; RinnaiListrik @10; Paloma @13; Kran@92; Shower @92</t>
  </si>
  <si>
    <t>niko @146; luxerrGas @16;luxerrListrik @16; modenaGas @15; modenaListrik @14; Wasser @29; RinnaiGas @12; RinnaiListrik @11; Paloma @12; Kran@135; Shower @145</t>
  </si>
  <si>
    <t>niko @127; luxerrGas @15;luxerrListrik @15; modenaGas @14; modenaListrik @13; Wasser @28; RinnaiGas @14; RinnaiListrik @14; Paloma @14; Kran@128; Shower @110</t>
  </si>
  <si>
    <t>niko @83; luxerrGas @9;luxerrListrik @9; modenaGas @9; modenaListrik @9; Wasser @21; RinnaiGas @11; RinnaiListrik @10; Paloma @9; Kran@92; Shower @92</t>
  </si>
  <si>
    <t>niko @30; luxerrGas@5;luxerrListrik @5; modenaGas @6; modenaListrik @6; Wasser @12; RinnaiGas @10; RinnaiListrik @10; Paloma @6; Kran@35; Shower @89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</si>
</sst>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7" fontId="0" fillId="0" borderId="0" xfId="0" applyNumberFormat="1" applyFill="1"/>
    <xf numFmtId="0" fontId="0" fillId="6" borderId="1" xfId="0" applyFont="1" applyFill="1" applyBorder="1"/>
    <xf numFmtId="3" fontId="0" fillId="6" borderId="1" xfId="0" applyNumberFormat="1" applyFont="1" applyFill="1" applyBorder="1"/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7" fontId="0" fillId="0" borderId="1" xfId="0" applyNumberFormat="1" applyBorder="1"/>
    <xf numFmtId="0" fontId="0" fillId="2" borderId="1" xfId="0" applyFill="1" applyBorder="1"/>
    <xf numFmtId="17" fontId="0" fillId="2" borderId="1" xfId="0" applyNumberFormat="1" applyFill="1" applyBorder="1"/>
    <xf numFmtId="0" fontId="0" fillId="4" borderId="1" xfId="0" applyFill="1" applyBorder="1"/>
    <xf numFmtId="17" fontId="0" fillId="4" borderId="1" xfId="0" applyNumberFormat="1" applyFill="1" applyBorder="1"/>
    <xf numFmtId="0" fontId="0" fillId="3" borderId="1" xfId="0" applyFill="1" applyBorder="1"/>
    <xf numFmtId="17" fontId="0" fillId="3" borderId="1" xfId="0" applyNumberFormat="1" applyFill="1" applyBorder="1"/>
    <xf numFmtId="0" fontId="0" fillId="5" borderId="1" xfId="0" applyFill="1" applyBorder="1"/>
    <xf numFmtId="17" fontId="0" fillId="5" borderId="1" xfId="0" applyNumberFormat="1" applyFill="1" applyBorder="1"/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80"/>
  <sheetViews>
    <sheetView tabSelected="1" workbookViewId="0">
      <selection activeCell="F2" sqref="F2"/>
    </sheetView>
  </sheetViews>
  <sheetFormatPr defaultRowHeight="15" x14ac:dyDescent="0.25"/>
  <cols>
    <col min="1" max="1" width="3" customWidth="1"/>
    <col min="2" max="2" width="11.7109375" customWidth="1"/>
    <col min="3" max="3" width="7.5703125" customWidth="1"/>
    <col min="4" max="4" width="0.140625" customWidth="1"/>
    <col min="5" max="5" width="9.42578125" customWidth="1"/>
    <col min="6" max="6" width="9.5703125" customWidth="1"/>
    <col min="7" max="7" width="151.42578125" customWidth="1"/>
    <col min="8" max="8" width="16.5703125" customWidth="1"/>
    <col min="9" max="9" width="17.28515625" customWidth="1"/>
    <col min="10" max="10" width="21.5703125" customWidth="1"/>
    <col min="11" max="11" width="13.28515625" customWidth="1"/>
  </cols>
  <sheetData>
    <row r="3" spans="1:11" x14ac:dyDescent="0.25">
      <c r="A3" s="6" t="s">
        <v>0</v>
      </c>
      <c r="B3" s="17" t="s">
        <v>7</v>
      </c>
      <c r="C3" s="17" t="s">
        <v>2</v>
      </c>
      <c r="D3" s="17" t="s">
        <v>3</v>
      </c>
      <c r="E3" s="17" t="s">
        <v>1</v>
      </c>
      <c r="F3" s="17" t="s">
        <v>4</v>
      </c>
      <c r="G3" s="17" t="s">
        <v>6</v>
      </c>
      <c r="H3" s="17" t="s">
        <v>5</v>
      </c>
      <c r="J3" s="4" t="s">
        <v>8</v>
      </c>
      <c r="K3" s="5"/>
    </row>
    <row r="4" spans="1:11" x14ac:dyDescent="0.25">
      <c r="A4" s="7">
        <v>1</v>
      </c>
      <c r="B4" s="8">
        <v>42005</v>
      </c>
      <c r="C4" s="7">
        <v>1</v>
      </c>
      <c r="D4" s="7"/>
      <c r="E4" s="7"/>
      <c r="F4" s="7"/>
      <c r="G4" s="7" t="s">
        <v>22</v>
      </c>
      <c r="H4" s="7">
        <f>(121*K7)+(16*K5)+(15*K6)+(16*K8)+(16*K9)+(29*K10)+(14*K12)+(13*K13)+(10*K11)+(120*K14)+(97*K15)</f>
        <v>373095000</v>
      </c>
      <c r="J4" s="4" t="s">
        <v>9</v>
      </c>
      <c r="K4" s="4" t="s">
        <v>10</v>
      </c>
    </row>
    <row r="5" spans="1:11" x14ac:dyDescent="0.25">
      <c r="A5" s="7">
        <v>2</v>
      </c>
      <c r="B5" s="8">
        <v>42036</v>
      </c>
      <c r="C5" s="7">
        <v>2</v>
      </c>
      <c r="D5" s="7"/>
      <c r="E5" s="7"/>
      <c r="F5" s="7"/>
      <c r="G5" s="7" t="s">
        <v>23</v>
      </c>
      <c r="H5" s="7">
        <f>(89*K7)+(15*K5)+(14*K6)+(14*K8)+(14*K9)+(28*K10)+(15*K12)+(14*K13)+(15*K11)+(87*K14)+(86*K15)</f>
        <v>343990000</v>
      </c>
      <c r="J5" s="2" t="s">
        <v>11</v>
      </c>
      <c r="K5" s="3">
        <v>1975000</v>
      </c>
    </row>
    <row r="6" spans="1:11" x14ac:dyDescent="0.25">
      <c r="A6" s="7">
        <v>3</v>
      </c>
      <c r="B6" s="8">
        <v>42064</v>
      </c>
      <c r="C6" s="7">
        <v>3</v>
      </c>
      <c r="D6" s="7"/>
      <c r="E6" s="7"/>
      <c r="F6" s="7"/>
      <c r="G6" s="7" t="s">
        <v>24</v>
      </c>
      <c r="H6" s="7">
        <f>(152*K7)+(18*K5)+(17*K6)+(18*K8)+(17*K9)+(35*K10)+(16*K12)+(16*K13)+(14*K11)+(150*K14)+(160*K15)</f>
        <v>452680000</v>
      </c>
      <c r="J6" s="2" t="s">
        <v>12</v>
      </c>
      <c r="K6" s="3">
        <v>3850000</v>
      </c>
    </row>
    <row r="7" spans="1:11" x14ac:dyDescent="0.25">
      <c r="A7" s="7">
        <v>4</v>
      </c>
      <c r="B7" s="8">
        <v>42095</v>
      </c>
      <c r="C7" s="7">
        <v>4</v>
      </c>
      <c r="D7" s="7"/>
      <c r="E7" s="7"/>
      <c r="F7" s="7"/>
      <c r="G7" s="7" t="s">
        <v>25</v>
      </c>
      <c r="H7" s="7">
        <f>(118*K7)+(14*K5)+(14*K6)+(14*K8)+(14*K9)+(27*K10)+(14*K12)+(14*K13)+(13*K11)+(118*K14)+(118*K15)</f>
        <v>365880000</v>
      </c>
      <c r="J7" s="2" t="s">
        <v>13</v>
      </c>
      <c r="K7" s="3">
        <v>650000</v>
      </c>
    </row>
    <row r="8" spans="1:11" x14ac:dyDescent="0.25">
      <c r="A8" s="7">
        <v>5</v>
      </c>
      <c r="B8" s="8">
        <v>42125</v>
      </c>
      <c r="C8" s="7">
        <v>5</v>
      </c>
      <c r="D8" s="7"/>
      <c r="E8" s="7"/>
      <c r="F8" s="7"/>
      <c r="G8" s="7" t="s">
        <v>26</v>
      </c>
      <c r="H8" s="7">
        <f>(93*K7)+(11*K5)+(10*K6)+(10*K8)+(9*K9)+(19*K10)+(10*K12)+(10*K13)+(12*K11)+(93*K14)+(95*K15)</f>
        <v>277735000</v>
      </c>
      <c r="J8" s="2" t="s">
        <v>14</v>
      </c>
      <c r="K8" s="3">
        <v>1200000</v>
      </c>
    </row>
    <row r="9" spans="1:11" x14ac:dyDescent="0.25">
      <c r="A9" s="7">
        <v>6</v>
      </c>
      <c r="B9" s="8">
        <v>42156</v>
      </c>
      <c r="C9" s="7">
        <v>6</v>
      </c>
      <c r="D9" s="7"/>
      <c r="E9" s="7"/>
      <c r="F9" s="7"/>
      <c r="G9" s="7" t="s">
        <v>27</v>
      </c>
      <c r="H9" s="7">
        <f>(177*K7)+(13*K5)+(12*K6)+(13*K8)+(12*K9)+(25*K10)+(11*K12)+(11*K13)+(11*K11)+(177*K14)+(177*K15)</f>
        <v>397195000</v>
      </c>
      <c r="J9" s="2" t="s">
        <v>15</v>
      </c>
      <c r="K9" s="3">
        <v>1800000</v>
      </c>
    </row>
    <row r="10" spans="1:11" x14ac:dyDescent="0.25">
      <c r="A10" s="7">
        <v>7</v>
      </c>
      <c r="B10" s="8">
        <v>42186</v>
      </c>
      <c r="C10" s="7">
        <v>7</v>
      </c>
      <c r="D10" s="7"/>
      <c r="E10" s="7"/>
      <c r="F10" s="7"/>
      <c r="G10" s="7" t="s">
        <v>28</v>
      </c>
      <c r="H10" s="7">
        <f>(62*K7)+(13*K5)+(13*K6)+(12*K8)+(13*K9)+(27*K10)+(13*K12)+(12*K13)+(10*K11)+(62*K14)+(71*K15)</f>
        <v>284580000</v>
      </c>
      <c r="J10" s="2" t="s">
        <v>16</v>
      </c>
      <c r="K10" s="3">
        <v>1450000</v>
      </c>
    </row>
    <row r="11" spans="1:11" x14ac:dyDescent="0.25">
      <c r="A11" s="7">
        <v>8</v>
      </c>
      <c r="B11" s="8">
        <v>42217</v>
      </c>
      <c r="C11" s="7">
        <v>8</v>
      </c>
      <c r="D11" s="7"/>
      <c r="E11" s="7"/>
      <c r="F11" s="7"/>
      <c r="G11" s="7" t="s">
        <v>29</v>
      </c>
      <c r="H11" s="7">
        <f>(208*K7)+(19*K5)+(18*K6)+(16*K8)+(16*K9)+(31*K10)+(15*K12)+(15*K13)+(16*K11)+(207*K14)+(207*K15)</f>
        <v>509715000</v>
      </c>
      <c r="J11" s="2" t="s">
        <v>17</v>
      </c>
      <c r="K11" s="3">
        <v>2600000</v>
      </c>
    </row>
    <row r="12" spans="1:11" x14ac:dyDescent="0.25">
      <c r="A12" s="7">
        <v>9</v>
      </c>
      <c r="B12" s="8">
        <v>42248</v>
      </c>
      <c r="C12" s="7">
        <v>9</v>
      </c>
      <c r="D12" s="7"/>
      <c r="E12" s="7"/>
      <c r="F12" s="7"/>
      <c r="G12" s="7" t="s">
        <v>30</v>
      </c>
      <c r="H12" s="7">
        <f>(123*K7)+(20*K5)+(20*K6)+(20*K8)+(20*K9)+(40*K10)+(20*K12)+(19*K13)+(12*K11)+(123*K14)+(124*K15)</f>
        <v>457435000</v>
      </c>
      <c r="J12" s="2" t="s">
        <v>18</v>
      </c>
      <c r="K12" s="3">
        <v>1480000</v>
      </c>
    </row>
    <row r="13" spans="1:11" x14ac:dyDescent="0.25">
      <c r="A13" s="7">
        <v>10</v>
      </c>
      <c r="B13" s="8">
        <v>42278</v>
      </c>
      <c r="C13" s="7">
        <v>10</v>
      </c>
      <c r="D13" s="7"/>
      <c r="E13" s="7"/>
      <c r="F13" s="7"/>
      <c r="G13" s="7" t="s">
        <v>31</v>
      </c>
      <c r="H13" s="7">
        <f>(117*K7)+(19*K5)+(18*K6)+(19*K8)+(19*K9)+(37*K10)+(18*K12)+(18*K13)+(11*K11)+(115*K14)+(115*K15)</f>
        <v>425865000</v>
      </c>
      <c r="J13" s="2" t="s">
        <v>19</v>
      </c>
      <c r="K13" s="3">
        <v>1600000</v>
      </c>
    </row>
    <row r="14" spans="1:11" x14ac:dyDescent="0.25">
      <c r="A14" s="7">
        <v>11</v>
      </c>
      <c r="B14" s="8">
        <v>42309</v>
      </c>
      <c r="C14" s="7">
        <v>11</v>
      </c>
      <c r="D14" s="7"/>
      <c r="E14" s="7"/>
      <c r="F14" s="7"/>
      <c r="G14" s="7" t="s">
        <v>32</v>
      </c>
      <c r="H14" s="7">
        <f>(184*K7)+(13*K5)+(12*K6)+(13*K8)+(12*K9)+(25*K10)+(13*K12)+(12*K13)+(14*K11)+(184*K14)+(188*K15)</f>
        <v>417545000</v>
      </c>
      <c r="J14" s="2" t="s">
        <v>20</v>
      </c>
      <c r="K14" s="3">
        <v>295000</v>
      </c>
    </row>
    <row r="15" spans="1:11" x14ac:dyDescent="0.25">
      <c r="A15" s="7">
        <v>12</v>
      </c>
      <c r="B15" s="8">
        <v>42339</v>
      </c>
      <c r="C15" s="7">
        <v>12</v>
      </c>
      <c r="D15" s="7"/>
      <c r="E15" s="7"/>
      <c r="F15" s="7"/>
      <c r="G15" s="7" t="s">
        <v>33</v>
      </c>
      <c r="H15" s="7">
        <f>(146*K7)+(10*K5)+(9*K6)+(10*K8)+(9*K9)+(18*K10)+(9*K12)+(9*K13)+(9*K11)+(131*K14)+(140*K15)</f>
        <v>310865000</v>
      </c>
      <c r="J15" s="2" t="s">
        <v>21</v>
      </c>
      <c r="K15" s="3">
        <v>125000</v>
      </c>
    </row>
    <row r="16" spans="1:11" x14ac:dyDescent="0.25">
      <c r="A16" s="9">
        <v>13</v>
      </c>
      <c r="B16" s="10">
        <v>42370</v>
      </c>
      <c r="C16" s="9">
        <v>13</v>
      </c>
      <c r="D16" s="9"/>
      <c r="E16" s="9"/>
      <c r="F16" s="9"/>
      <c r="G16" s="9" t="s">
        <v>34</v>
      </c>
      <c r="H16" s="9">
        <f>(155*K7)+(17*K5)+(16*K6)+(16*K8)+(16*K9)+(30*K10)+(14*K12)+(14*K13)+(11*K11)+(150*K14)+(150*K15)</f>
        <v>422145000</v>
      </c>
    </row>
    <row r="17" spans="1:8" x14ac:dyDescent="0.25">
      <c r="A17" s="9">
        <v>14</v>
      </c>
      <c r="B17" s="10">
        <v>42401</v>
      </c>
      <c r="C17" s="9">
        <v>14</v>
      </c>
      <c r="D17" s="9"/>
      <c r="E17" s="9"/>
      <c r="F17" s="9"/>
      <c r="G17" s="9" t="s">
        <v>35</v>
      </c>
      <c r="H17" s="9">
        <f>(115*K7)+(16*K5)+(15*K6)+(15*K8)+(14*K9)+(29*K10)+(13*K12)+(12*K13)+(14*K11)+(112*K14)+(112*K15)</f>
        <v>371230000</v>
      </c>
    </row>
    <row r="18" spans="1:8" x14ac:dyDescent="0.25">
      <c r="A18" s="9">
        <v>15</v>
      </c>
      <c r="B18" s="10">
        <v>42430</v>
      </c>
      <c r="C18" s="9">
        <v>15</v>
      </c>
      <c r="D18" s="9"/>
      <c r="E18" s="9"/>
      <c r="F18" s="9"/>
      <c r="G18" s="9" t="s">
        <v>36</v>
      </c>
      <c r="H18" s="9">
        <f>(182*K7)+(19*K5)+(19*K6)+(19*K8)+(19*K9)+(28*K10)+(15*K12)+(15*K13)+(15*K11)+(180*K14)+(180*K15)</f>
        <v>487375000</v>
      </c>
    </row>
    <row r="19" spans="1:8" x14ac:dyDescent="0.25">
      <c r="A19" s="9">
        <v>16</v>
      </c>
      <c r="B19" s="10">
        <v>42461</v>
      </c>
      <c r="C19" s="9">
        <v>16</v>
      </c>
      <c r="D19" s="9"/>
      <c r="E19" s="9"/>
      <c r="F19" s="9"/>
      <c r="G19" s="9" t="s">
        <v>37</v>
      </c>
      <c r="H19" s="9">
        <f>(88*K7)+(16*K5)+(16*K6)+(16*K8)+(16*K9)+(32*K10)+(15*K12)+(14*K13)+(12*K11)+(89*K14)+(90*K15)</f>
        <v>358105000</v>
      </c>
    </row>
    <row r="20" spans="1:8" x14ac:dyDescent="0.25">
      <c r="A20" s="9">
        <v>17</v>
      </c>
      <c r="B20" s="10">
        <v>42491</v>
      </c>
      <c r="C20" s="9">
        <v>17</v>
      </c>
      <c r="D20" s="9"/>
      <c r="E20" s="9"/>
      <c r="F20" s="9"/>
      <c r="G20" s="9" t="s">
        <v>38</v>
      </c>
      <c r="H20" s="9">
        <f>(213*K7)+(13*K5)+(12*K6)+(13*K8)+(12*K9)+(24*K10)+(12*K12)+(11*K13)+(10*K11)+(215*K14)+(215*K15)</f>
        <v>433985000</v>
      </c>
    </row>
    <row r="21" spans="1:8" x14ac:dyDescent="0.25">
      <c r="A21" s="9">
        <v>18</v>
      </c>
      <c r="B21" s="10">
        <v>42522</v>
      </c>
      <c r="C21" s="9">
        <v>18</v>
      </c>
      <c r="D21" s="9"/>
      <c r="E21" s="9"/>
      <c r="F21" s="9"/>
      <c r="G21" s="9" t="s">
        <v>39</v>
      </c>
      <c r="H21" s="9">
        <f>(147*K7)+(14*K5)+(14*K6)+(14*K8)+(14*K9)+(28*K10)+(11*K12)+(10*K13)+(13*K11)+(145*K14)+(155*K15)</f>
        <v>387930000</v>
      </c>
    </row>
    <row r="22" spans="1:8" x14ac:dyDescent="0.25">
      <c r="A22" s="9">
        <v>19</v>
      </c>
      <c r="B22" s="10">
        <v>42552</v>
      </c>
      <c r="C22" s="9">
        <v>19</v>
      </c>
      <c r="D22" s="9"/>
      <c r="E22" s="9"/>
      <c r="F22" s="9"/>
      <c r="G22" s="9" t="s">
        <v>40</v>
      </c>
      <c r="H22" s="9">
        <f>(87*K7)+(15*K5)+(14*K6)+(15*K8)+(14*K9)+(29*K10)+(16*K12)+(16*K13)+(11*K11)+(85*K14)+(85*K15)</f>
        <v>338905000</v>
      </c>
    </row>
    <row r="23" spans="1:8" x14ac:dyDescent="0.25">
      <c r="A23" s="9">
        <v>20</v>
      </c>
      <c r="B23" s="10">
        <v>42583</v>
      </c>
      <c r="C23" s="9">
        <v>20</v>
      </c>
      <c r="D23" s="9"/>
      <c r="E23" s="9"/>
      <c r="F23" s="9"/>
      <c r="G23" s="9" t="s">
        <v>41</v>
      </c>
      <c r="H23" s="9">
        <f>(213*K7)+(20*K5)+(19*K6)+(19*K8)+(18*K9)+(37*K10)+(19*K12)+(19*K13)+(15*K11)+(212*K14)+(212*K15)</f>
        <v>546510000</v>
      </c>
    </row>
    <row r="24" spans="1:8" x14ac:dyDescent="0.25">
      <c r="A24" s="9">
        <v>21</v>
      </c>
      <c r="B24" s="10">
        <v>42614</v>
      </c>
      <c r="C24" s="9">
        <v>21</v>
      </c>
      <c r="D24" s="9"/>
      <c r="E24" s="9"/>
      <c r="F24" s="9"/>
      <c r="G24" s="9" t="s">
        <v>42</v>
      </c>
      <c r="H24" s="9">
        <f>(120*K7)+(22*K5)+(21*K6)+(22*K8)+(21*K9)+(44*K10)+(23*K12)+(22*K13)+(16*K11)+(124*K14)+(124*K15)</f>
        <v>493220000</v>
      </c>
    </row>
    <row r="25" spans="1:8" x14ac:dyDescent="0.25">
      <c r="A25" s="9">
        <v>22</v>
      </c>
      <c r="B25" s="10">
        <v>42644</v>
      </c>
      <c r="C25" s="9">
        <v>22</v>
      </c>
      <c r="D25" s="9"/>
      <c r="E25" s="9"/>
      <c r="F25" s="9"/>
      <c r="G25" s="9" t="s">
        <v>43</v>
      </c>
      <c r="H25" s="9">
        <f>(173*K7)+(21*K5)+(21*K6)+(20*K8)+(20*K9)+(47*K10)+(15*K12)+(25*K13)+(10*K11)+(180*K14)+(175*K15)</f>
        <v>526100000</v>
      </c>
    </row>
    <row r="26" spans="1:8" x14ac:dyDescent="0.25">
      <c r="A26" s="9">
        <v>23</v>
      </c>
      <c r="B26" s="10">
        <v>42675</v>
      </c>
      <c r="C26" s="9">
        <v>23</v>
      </c>
      <c r="D26" s="9"/>
      <c r="E26" s="9"/>
      <c r="F26" s="9"/>
      <c r="G26" s="9" t="s">
        <v>44</v>
      </c>
      <c r="H26" s="9">
        <f>(217*K7)+(14*K5)+(13*K6)+(13*K8)+(13*K9)+(27*K10)+(12*K12)+(12*K13)+(13*K11)+(216*K14)+(211*K15)</f>
        <v>457755000</v>
      </c>
    </row>
    <row r="27" spans="1:8" x14ac:dyDescent="0.25">
      <c r="A27" s="9">
        <v>24</v>
      </c>
      <c r="B27" s="10">
        <v>42705</v>
      </c>
      <c r="C27" s="9">
        <v>24</v>
      </c>
      <c r="D27" s="9"/>
      <c r="E27" s="9"/>
      <c r="F27" s="9"/>
      <c r="G27" s="9" t="s">
        <v>45</v>
      </c>
      <c r="H27" s="9">
        <f>(120*K7)+(11*K5)+(10*K6)+(11*K8)+(10*K9)+(20*K10)+(8*K12)+(7*K13)+(11*K11)+(111*K14)+(113*K15)</f>
        <v>296935000</v>
      </c>
    </row>
    <row r="28" spans="1:8" x14ac:dyDescent="0.25">
      <c r="A28" s="11">
        <v>25</v>
      </c>
      <c r="B28" s="12">
        <v>42736</v>
      </c>
      <c r="C28" s="11">
        <v>25</v>
      </c>
      <c r="D28" s="11"/>
      <c r="E28" s="11"/>
      <c r="F28" s="11"/>
      <c r="G28" s="11" t="s">
        <v>46</v>
      </c>
      <c r="H28" s="11">
        <f>(122*K7)+(15*K5)+(14*K6)+(14*K8)+(13*K9)+(26*K10)+(12*K12)+(12*K13)+(8*K11)+(120*K14)+(120*K15)</f>
        <v>348885000</v>
      </c>
    </row>
    <row r="29" spans="1:8" x14ac:dyDescent="0.25">
      <c r="A29" s="11">
        <v>26</v>
      </c>
      <c r="B29" s="12">
        <v>42767</v>
      </c>
      <c r="C29" s="11">
        <v>26</v>
      </c>
      <c r="D29" s="11"/>
      <c r="E29" s="11"/>
      <c r="F29" s="11"/>
      <c r="G29" s="11" t="s">
        <v>47</v>
      </c>
      <c r="H29" s="11">
        <f>(74*K7)+(14*K5)+(13*K6)+(13*K8)+(12*K9)+(25*K10)+(13*K12)+(13*K13)+(11*K11)+(73*K14)+(73*K15)</f>
        <v>298550000</v>
      </c>
    </row>
    <row r="30" spans="1:8" x14ac:dyDescent="0.25">
      <c r="A30" s="11">
        <v>27</v>
      </c>
      <c r="B30" s="12">
        <v>42795</v>
      </c>
      <c r="C30" s="11">
        <v>27</v>
      </c>
      <c r="D30" s="11"/>
      <c r="E30" s="11"/>
      <c r="F30" s="11"/>
      <c r="G30" s="11" t="s">
        <v>48</v>
      </c>
      <c r="H30" s="11">
        <f>(76*K7)+(17*K5)+(16*K6)+(17*K8)+(16*K9)+(32*K10)+(15*K12)+(15*K13)+(13*K11)+(77*K14)+(90*K15)</f>
        <v>354140000</v>
      </c>
    </row>
    <row r="31" spans="1:8" x14ac:dyDescent="0.25">
      <c r="A31" s="11">
        <v>28</v>
      </c>
      <c r="B31" s="12">
        <v>42826</v>
      </c>
      <c r="C31" s="11">
        <v>28</v>
      </c>
      <c r="D31" s="11"/>
      <c r="E31" s="11"/>
      <c r="F31" s="11"/>
      <c r="G31" s="11" t="s">
        <v>49</v>
      </c>
      <c r="H31" s="11">
        <f>(86*K7)+(13*K5)+(12*K6)+(12*K8)+(12*K9)+(24*K10)+(10*K12)+(10*K13)+(12*K11)+(89*K14)+(98*K15)</f>
        <v>299080000</v>
      </c>
    </row>
    <row r="32" spans="1:8" x14ac:dyDescent="0.25">
      <c r="A32" s="11">
        <v>29</v>
      </c>
      <c r="B32" s="12">
        <v>42856</v>
      </c>
      <c r="C32" s="11">
        <v>29</v>
      </c>
      <c r="D32" s="11"/>
      <c r="E32" s="11"/>
      <c r="F32" s="11"/>
      <c r="G32" s="11" t="s">
        <v>50</v>
      </c>
      <c r="H32" s="11">
        <f>(203*K7)+(10*K5)+(9*K6)+(9*K8)+(9*K9)+(20*K10)+(11*K12)+(10*K13)+(7*K11)+(200*K14)+(200*K15)</f>
        <v>376830000</v>
      </c>
    </row>
    <row r="33" spans="1:8" x14ac:dyDescent="0.25">
      <c r="A33" s="11">
        <v>30</v>
      </c>
      <c r="B33" s="12">
        <v>42887</v>
      </c>
      <c r="C33" s="11">
        <v>30</v>
      </c>
      <c r="D33" s="11"/>
      <c r="E33" s="11"/>
      <c r="F33" s="11"/>
      <c r="G33" s="11" t="s">
        <v>51</v>
      </c>
      <c r="H33" s="11">
        <f>(187*K7)+(11*K5)+(11*K6)+(11*K8)+(10*K9)+(19*K10)+(10*K12)+(10*K13)+(10*K11)+(185*K14)+(185*K15)</f>
        <v>378875000</v>
      </c>
    </row>
    <row r="34" spans="1:8" x14ac:dyDescent="0.25">
      <c r="A34" s="11">
        <v>31</v>
      </c>
      <c r="B34" s="12">
        <v>42917</v>
      </c>
      <c r="C34" s="11">
        <v>31</v>
      </c>
      <c r="D34" s="11"/>
      <c r="E34" s="11"/>
      <c r="F34" s="11"/>
      <c r="G34" s="11" t="s">
        <v>52</v>
      </c>
      <c r="H34" s="11">
        <f>(90*K7)+(12*K5)+(12*K6)+(12*K8)+(12*K9)+(24*K10)+(12*K12)+(12*K13)+(12*K11)+(95*K14)+(90*K15)</f>
        <v>306635000</v>
      </c>
    </row>
    <row r="35" spans="1:8" x14ac:dyDescent="0.25">
      <c r="A35" s="11">
        <v>32</v>
      </c>
      <c r="B35" s="12">
        <v>42948</v>
      </c>
      <c r="C35" s="11">
        <v>32</v>
      </c>
      <c r="D35" s="11"/>
      <c r="E35" s="11"/>
      <c r="F35" s="11"/>
      <c r="G35" s="11" t="s">
        <v>53</v>
      </c>
      <c r="H35" s="11">
        <f>(156*K7)+(18*K5)+(17*K6)+(17*K8)+(16*K9)+(32*K10)+(16*K12)+(16*K13)+(14*K11)+(146*K14)+(146*K15)</f>
        <v>445000000</v>
      </c>
    </row>
    <row r="36" spans="1:8" x14ac:dyDescent="0.25">
      <c r="A36" s="11">
        <v>33</v>
      </c>
      <c r="B36" s="12">
        <v>42979</v>
      </c>
      <c r="C36" s="11">
        <v>33</v>
      </c>
      <c r="D36" s="11"/>
      <c r="E36" s="11"/>
      <c r="F36" s="11"/>
      <c r="G36" s="11" t="s">
        <v>54</v>
      </c>
      <c r="H36" s="11">
        <f>(84*K7)+(19*K5)+(18*K6)+(19*K8)+(19*K9)+(34*K10)+(17*K12)+(16*K13)+(15*K11)+(85*K14)+(91*K15)</f>
        <v>393935000</v>
      </c>
    </row>
    <row r="37" spans="1:8" x14ac:dyDescent="0.25">
      <c r="A37" s="11">
        <v>34</v>
      </c>
      <c r="B37" s="12">
        <v>43009</v>
      </c>
      <c r="C37" s="11">
        <v>34</v>
      </c>
      <c r="D37" s="11"/>
      <c r="E37" s="11"/>
      <c r="F37" s="11"/>
      <c r="G37" s="11" t="s">
        <v>55</v>
      </c>
      <c r="H37" s="11">
        <f>(172*K7)+(19*K5)+(17*K6)+(18*K8)+(17*K9)+(35*K10)+(18*K12)+(17*K13)+(16*K11)+(171*K14)+(171*K15)</f>
        <v>484985000</v>
      </c>
    </row>
    <row r="38" spans="1:8" x14ac:dyDescent="0.25">
      <c r="A38" s="11">
        <v>35</v>
      </c>
      <c r="B38" s="12">
        <v>43040</v>
      </c>
      <c r="C38" s="11">
        <v>35</v>
      </c>
      <c r="D38" s="11"/>
      <c r="E38" s="11"/>
      <c r="F38" s="11"/>
      <c r="G38" s="11" t="s">
        <v>56</v>
      </c>
      <c r="H38" s="11">
        <f>(118*K7)+(12*K5)+(12*K6)+(13*K8)+(12*K9)+(25*K10)+(13*K12)+(12*K13)+(11*K11)+(115*K14)+(117*K15)</f>
        <v>335640000</v>
      </c>
    </row>
    <row r="39" spans="1:8" x14ac:dyDescent="0.25">
      <c r="A39" s="11">
        <v>36</v>
      </c>
      <c r="B39" s="12">
        <v>43070</v>
      </c>
      <c r="C39" s="11">
        <v>36</v>
      </c>
      <c r="D39" s="11"/>
      <c r="E39" s="11"/>
      <c r="F39" s="11"/>
      <c r="G39" s="11" t="s">
        <v>57</v>
      </c>
      <c r="H39" s="11">
        <f>(120*K7)+(8*K5)+(7*K6)+(8*K8)+(7*K9)+(15*K10)+(8*K12)+(7*K13)+(10*K11)+(126*K14)+(100*K15)</f>
        <v>263410000</v>
      </c>
    </row>
    <row r="40" spans="1:8" x14ac:dyDescent="0.25">
      <c r="A40" s="13">
        <v>37</v>
      </c>
      <c r="B40" s="14">
        <v>43101</v>
      </c>
      <c r="C40" s="13">
        <v>37</v>
      </c>
      <c r="D40" s="13"/>
      <c r="E40" s="13"/>
      <c r="F40" s="13"/>
      <c r="G40" s="13" t="s">
        <v>58</v>
      </c>
      <c r="H40" s="13">
        <f>(176*K7)+(14*K5)+(13*K6)+(12*K8)+(13*K9)+(24*K10)+(11*K12)+(10*K13)+(9*K11)+(175*K14)+(175*K15)</f>
        <v>393880000</v>
      </c>
    </row>
    <row r="41" spans="1:8" x14ac:dyDescent="0.25">
      <c r="A41" s="13">
        <v>38</v>
      </c>
      <c r="B41" s="14">
        <v>43132</v>
      </c>
      <c r="C41" s="13">
        <v>38</v>
      </c>
      <c r="D41" s="13"/>
      <c r="E41" s="13"/>
      <c r="F41" s="13"/>
      <c r="G41" s="13" t="s">
        <v>59</v>
      </c>
      <c r="H41" s="13">
        <f>(65*K7)+(12*K5)+(12*K6)+(11*K8)+(12*K9)+(23*K10)+(13*K12)+(12*K13)+(10*K11)+(70*K14)+(70*K15)</f>
        <v>274140000</v>
      </c>
    </row>
    <row r="42" spans="1:8" x14ac:dyDescent="0.25">
      <c r="A42" s="13">
        <v>39</v>
      </c>
      <c r="B42" s="14">
        <v>43160</v>
      </c>
      <c r="C42" s="13">
        <v>39</v>
      </c>
      <c r="D42" s="13"/>
      <c r="E42" s="13"/>
      <c r="F42" s="13"/>
      <c r="G42" s="13" t="s">
        <v>60</v>
      </c>
      <c r="H42" s="13">
        <f>(55*K7)+(16*K5)+(16*K6)+(15*K8)+(15*K9)+(29*K10)+(16*K12)+(15*K13)+(12*K11)+(60*K14)+(60*K15)</f>
        <v>320080000</v>
      </c>
    </row>
    <row r="43" spans="1:8" x14ac:dyDescent="0.25">
      <c r="A43" s="13">
        <v>40</v>
      </c>
      <c r="B43" s="14">
        <v>43191</v>
      </c>
      <c r="C43" s="13">
        <v>40</v>
      </c>
      <c r="D43" s="13"/>
      <c r="E43" s="13"/>
      <c r="F43" s="13"/>
      <c r="G43" s="13" t="s">
        <v>61</v>
      </c>
      <c r="H43" s="13">
        <f>(154*K7)+(11*K5)+(10*K6)+(12*K8)+(12*K9)+(23*K10)+(10*K12)+(10*K13)+(14*K11)+(152*K14)+(150*K15)</f>
        <v>360465000</v>
      </c>
    </row>
    <row r="44" spans="1:8" x14ac:dyDescent="0.25">
      <c r="A44" s="13">
        <v>41</v>
      </c>
      <c r="B44" s="14">
        <v>43221</v>
      </c>
      <c r="C44" s="13">
        <v>41</v>
      </c>
      <c r="D44" s="13"/>
      <c r="E44" s="13"/>
      <c r="F44" s="13"/>
      <c r="G44" s="13" t="s">
        <v>62</v>
      </c>
      <c r="H44" s="13">
        <f>(97*K7)+(9*K5)+(8*K6)+(9*K8)+(9*K9)+(17*K10)+(9*K12)+(8*K13)+(8*K11)+(99*K14)+(99*K15)</f>
        <v>251775000</v>
      </c>
    </row>
    <row r="45" spans="1:8" x14ac:dyDescent="0.25">
      <c r="A45" s="13">
        <v>42</v>
      </c>
      <c r="B45" s="14">
        <v>43252</v>
      </c>
      <c r="C45" s="13">
        <v>42</v>
      </c>
      <c r="D45" s="13"/>
      <c r="E45" s="13"/>
      <c r="F45" s="13"/>
      <c r="G45" s="13" t="s">
        <v>63</v>
      </c>
      <c r="H45" s="13">
        <f>(113*K7)+(10*K5)+(10*K6)+(10*K8)+(9*K9)+(19*K10)+(9*K12)+(9*K13)+(11*K11)+(115*K14)+(115*K15)</f>
        <v>292070000</v>
      </c>
    </row>
    <row r="46" spans="1:8" x14ac:dyDescent="0.25">
      <c r="A46" s="13">
        <v>43</v>
      </c>
      <c r="B46" s="14">
        <v>43282</v>
      </c>
      <c r="C46" s="13">
        <v>43</v>
      </c>
      <c r="D46" s="13"/>
      <c r="E46" s="13"/>
      <c r="F46" s="13"/>
      <c r="G46" s="13" t="s">
        <v>64</v>
      </c>
      <c r="H46" s="13">
        <f>(115*K7)+(12*K5)+(11*K6)+(10*K8)+(10*K9)+(21*K10)+(11*K12)+(11*K13)+(12*K11)+(116*K14)+(117*K15)</f>
        <v>315175000</v>
      </c>
    </row>
    <row r="47" spans="1:8" x14ac:dyDescent="0.25">
      <c r="A47" s="13">
        <v>44</v>
      </c>
      <c r="B47" s="14">
        <v>43313</v>
      </c>
      <c r="C47" s="13">
        <v>44</v>
      </c>
      <c r="D47" s="13"/>
      <c r="E47" s="13"/>
      <c r="F47" s="13"/>
      <c r="G47" s="13" t="s">
        <v>65</v>
      </c>
      <c r="H47" s="13">
        <f>(95*K7)+(17*K5)+(16*K6)+(16*K8)+(16*K9)+(32*K10)+(16*K12)+(16*K13)+(13*K11)+(90*K14)+(90*K15)</f>
        <v>372205000</v>
      </c>
    </row>
    <row r="48" spans="1:8" x14ac:dyDescent="0.25">
      <c r="A48" s="13">
        <v>45</v>
      </c>
      <c r="B48" s="14">
        <v>43344</v>
      </c>
      <c r="C48" s="13">
        <v>45</v>
      </c>
      <c r="D48" s="13"/>
      <c r="E48" s="13"/>
      <c r="F48" s="13"/>
      <c r="G48" s="13" t="s">
        <v>66</v>
      </c>
      <c r="H48" s="13">
        <f>(177*K7)+(18*K5)+(17*K6)+(17*K8)+(18*K9)+(35*K10)+(17*K12)+(33*K13)+(10*K11)+(165*K14)+(177*K15)</f>
        <v>494360000</v>
      </c>
    </row>
    <row r="49" spans="1:8" x14ac:dyDescent="0.25">
      <c r="A49" s="13">
        <v>46</v>
      </c>
      <c r="B49" s="14">
        <v>43374</v>
      </c>
      <c r="C49" s="13">
        <v>46</v>
      </c>
      <c r="D49" s="13"/>
      <c r="E49" s="13"/>
      <c r="F49" s="13"/>
      <c r="G49" s="13" t="s">
        <v>67</v>
      </c>
      <c r="H49" s="13">
        <f>(123*K7)+(16*K5)+(16*K6)+(17*K8)+(16*K9)+(30*K10)+(14*K12)+(16*K13)+(16*K11)+(124*K14)+(124*K15)</f>
        <v>405850000</v>
      </c>
    </row>
    <row r="50" spans="1:8" x14ac:dyDescent="0.25">
      <c r="A50" s="13">
        <v>47</v>
      </c>
      <c r="B50" s="14">
        <v>43405</v>
      </c>
      <c r="C50" s="13">
        <v>47</v>
      </c>
      <c r="D50" s="13"/>
      <c r="E50" s="13"/>
      <c r="F50" s="13"/>
      <c r="G50" s="13" t="s">
        <v>68</v>
      </c>
      <c r="H50" s="13">
        <f>(96*K7)+(11*K5)+(11*K6)+(11*K8)+(11*K9)+(20*K10)+(10*K12)+(10*K13)+(10*K11)+(92*K14)+(92*K15)</f>
        <v>283915000</v>
      </c>
    </row>
    <row r="51" spans="1:8" x14ac:dyDescent="0.25">
      <c r="A51" s="13">
        <v>48</v>
      </c>
      <c r="B51" s="14">
        <v>43435</v>
      </c>
      <c r="C51" s="13">
        <v>48</v>
      </c>
      <c r="D51" s="13"/>
      <c r="E51" s="13"/>
      <c r="F51" s="13"/>
      <c r="G51" s="13" t="s">
        <v>69</v>
      </c>
      <c r="H51" s="13">
        <f>(54*K7)+(7*K5)+(6*K6)+(7*K8)+(6*K9)+(13*K10)+(7*K12)+(6*K13)+(7*K11)+(21*K14)+(67*K15)</f>
        <v>162805000</v>
      </c>
    </row>
    <row r="52" spans="1:8" x14ac:dyDescent="0.25">
      <c r="A52" s="15">
        <v>49</v>
      </c>
      <c r="B52" s="16">
        <v>43466</v>
      </c>
      <c r="C52" s="15">
        <v>49</v>
      </c>
      <c r="D52" s="15"/>
      <c r="E52" s="15"/>
      <c r="F52" s="15"/>
      <c r="G52" s="15" t="s">
        <v>70</v>
      </c>
      <c r="H52" s="15">
        <f>(131*K7)+(13*K5)+(12*K6)+(11*K8)+(11*K9)+(21*K10)+(10*K12)+(10*K13)+(10*K11)+(129*K14)+(129*K15)</f>
        <v>331455000</v>
      </c>
    </row>
    <row r="53" spans="1:8" x14ac:dyDescent="0.25">
      <c r="A53" s="15">
        <v>50</v>
      </c>
      <c r="B53" s="16">
        <v>43497</v>
      </c>
      <c r="C53" s="15">
        <v>50</v>
      </c>
      <c r="D53" s="15"/>
      <c r="E53" s="15"/>
      <c r="F53" s="15"/>
      <c r="G53" s="15" t="s">
        <v>71</v>
      </c>
      <c r="H53" s="15">
        <f>(79*K7)+(11*K5)+(10*K6)+(11*K8)+(10*K9)+(22*K10)+(11*K12)+(11*K13)+(8*K11)+(80*K14)+(75*K15)</f>
        <v>262330000</v>
      </c>
    </row>
    <row r="54" spans="1:8" x14ac:dyDescent="0.25">
      <c r="A54" s="15">
        <v>51</v>
      </c>
      <c r="B54" s="16">
        <v>43525</v>
      </c>
      <c r="C54" s="15">
        <v>51</v>
      </c>
      <c r="D54" s="15"/>
      <c r="E54" s="15"/>
      <c r="F54" s="15"/>
      <c r="G54" s="15" t="s">
        <v>72</v>
      </c>
      <c r="H54" s="15">
        <f>(77*K7)+(15*K5)+(15*K6)+(16*K8)+(15*K9)+(31*K10)+(13*K12)+(12*K13)+(9*K11)+(62*K14)+(62*K15)</f>
        <v>316455000</v>
      </c>
    </row>
    <row r="55" spans="1:8" x14ac:dyDescent="0.25">
      <c r="A55" s="15">
        <v>52</v>
      </c>
      <c r="B55" s="16">
        <v>43556</v>
      </c>
      <c r="C55" s="15">
        <v>52</v>
      </c>
      <c r="D55" s="15"/>
      <c r="E55" s="15"/>
      <c r="F55" s="15"/>
      <c r="G55" s="15" t="s">
        <v>73</v>
      </c>
      <c r="H55" s="15">
        <f>(73*K7)+(10*K5)+(9*K6)+(9*K8)+(9*K9)+(18*K10)+(9*K12)+(9*K13)+(11*K11)+(71*K14)+(71*K15)</f>
        <v>241090000</v>
      </c>
    </row>
    <row r="56" spans="1:8" x14ac:dyDescent="0.25">
      <c r="A56" s="15">
        <v>53</v>
      </c>
      <c r="B56" s="16">
        <v>43586</v>
      </c>
      <c r="C56" s="15">
        <v>53</v>
      </c>
      <c r="D56" s="15"/>
      <c r="E56" s="15"/>
      <c r="F56" s="15"/>
      <c r="G56" s="15" t="s">
        <v>74</v>
      </c>
      <c r="H56" s="15">
        <f>(68*K7)+(8*K5)+(7*K6)+(8*K8)+(8*K9)+(17*K10)+(5*K12)+(5*K13)+(7*K11)+(66*K14)+(66*K15)</f>
        <v>196920000</v>
      </c>
    </row>
    <row r="57" spans="1:8" x14ac:dyDescent="0.25">
      <c r="A57" s="15">
        <v>54</v>
      </c>
      <c r="B57" s="16">
        <v>43617</v>
      </c>
      <c r="C57" s="15">
        <v>54</v>
      </c>
      <c r="D57" s="15"/>
      <c r="E57" s="15"/>
      <c r="F57" s="15"/>
      <c r="G57" s="15" t="s">
        <v>75</v>
      </c>
      <c r="H57" s="15">
        <f>(112*K7)+(10*K5)+(9*K6)+(8*K8)+(9*K9)+(19*K10)+(10*K12)+(9*K13)+(10*K11)+(110*K14)+(76*K15)</f>
        <v>277700000</v>
      </c>
    </row>
    <row r="58" spans="1:8" x14ac:dyDescent="0.25">
      <c r="A58" s="15">
        <v>55</v>
      </c>
      <c r="B58" s="16">
        <v>43647</v>
      </c>
      <c r="C58" s="15">
        <v>55</v>
      </c>
      <c r="D58" s="15"/>
      <c r="E58" s="15"/>
      <c r="F58" s="15"/>
      <c r="G58" s="15" t="s">
        <v>76</v>
      </c>
      <c r="H58" s="15">
        <f>(94*K7)+(11*K5)+(11*K6)+(8*K8)+(9*K9)+(21*K10)+(11*K12)+(10*K13)+(11*K11)+(95*K14)+(100*K15)</f>
        <v>282830000</v>
      </c>
    </row>
    <row r="59" spans="1:8" x14ac:dyDescent="0.25">
      <c r="A59" s="15">
        <v>56</v>
      </c>
      <c r="B59" s="16">
        <v>43678</v>
      </c>
      <c r="C59" s="15">
        <v>56</v>
      </c>
      <c r="D59" s="15"/>
      <c r="E59" s="15"/>
      <c r="F59" s="15"/>
      <c r="G59" s="15" t="s">
        <v>77</v>
      </c>
      <c r="H59" s="15">
        <f>(90*K7)+(16*K5)+(15*K6)+(16*K8)+(15*K9)+(20*K10)+(10*K12)+(10*K13)+(13*K11)+(92*K14)+(92*K15)</f>
        <v>326290000</v>
      </c>
    </row>
    <row r="60" spans="1:8" x14ac:dyDescent="0.25">
      <c r="A60" s="15">
        <v>57</v>
      </c>
      <c r="B60" s="16">
        <v>43709</v>
      </c>
      <c r="C60" s="15">
        <v>57</v>
      </c>
      <c r="D60" s="15"/>
      <c r="E60" s="15"/>
      <c r="F60" s="15"/>
      <c r="G60" s="15" t="s">
        <v>78</v>
      </c>
      <c r="H60" s="15">
        <f>(146*K7)+(16*K5)+(16*K6)+(15*K8)+(14*K9)+(29*K10)+(12*K12)+(11*K13)+(12*K11)+(135*K14)+(145*K15)</f>
        <v>397860000</v>
      </c>
    </row>
    <row r="61" spans="1:8" x14ac:dyDescent="0.25">
      <c r="A61" s="15">
        <v>58</v>
      </c>
      <c r="B61" s="16">
        <v>43739</v>
      </c>
      <c r="C61" s="15">
        <v>58</v>
      </c>
      <c r="D61" s="15"/>
      <c r="E61" s="15"/>
      <c r="F61" s="15"/>
      <c r="G61" s="15" t="s">
        <v>79</v>
      </c>
      <c r="H61" s="15">
        <f>(121*K7)+(15*K5)+(15*K6)+(14*K8)+(13*K9)+(28*K10)+(14*K12)+(14*K13)+(14*K11)+(128*K14)+(110*K15)</f>
        <v>377855000</v>
      </c>
    </row>
    <row r="62" spans="1:8" x14ac:dyDescent="0.25">
      <c r="A62" s="15">
        <v>59</v>
      </c>
      <c r="B62" s="16">
        <v>43770</v>
      </c>
      <c r="C62" s="15">
        <v>59</v>
      </c>
      <c r="D62" s="15"/>
      <c r="E62" s="15"/>
      <c r="F62" s="15"/>
      <c r="G62" s="15" t="s">
        <v>80</v>
      </c>
      <c r="H62" s="15">
        <f>(83*K7)+(9*K5)+(9*K6)+(9*K8)+(9*K9)+(21*K10)+(11*K12)+(10*K13)+(9*K11)+(92*K14)+(92*K15)</f>
        <v>258145000</v>
      </c>
    </row>
    <row r="63" spans="1:8" x14ac:dyDescent="0.25">
      <c r="A63" s="15">
        <v>60</v>
      </c>
      <c r="B63" s="16">
        <v>43800</v>
      </c>
      <c r="C63" s="15">
        <v>60</v>
      </c>
      <c r="D63" s="15"/>
      <c r="E63" s="15"/>
      <c r="F63" s="15"/>
      <c r="G63" s="15" t="s">
        <v>81</v>
      </c>
      <c r="H63" s="15">
        <f>(30*K7)+(5*K5)+(5*K6)+(6*K8)+(6*K9)+(12*K10)+(10*K12)+(10*K13)+(6*K11)+(35*K14)+(89*K15)</f>
        <v>151875000</v>
      </c>
    </row>
    <row r="64" spans="1:8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2020-01-31T07:56:11Z</dcterms:created>
  <dcterms:modified xsi:type="dcterms:W3CDTF">2020-03-21T12:09:22Z</dcterms:modified>
</cp:coreProperties>
</file>