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xml" ContentType="application/vnd.ms-excel.rdrichvalue+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zhan4116\OneDrive - purdue.edu\test the 2015 paper from Azzuni\"/>
    </mc:Choice>
  </mc:AlternateContent>
  <xr:revisionPtr revIDLastSave="468" documentId="8_{A6B02F76-EACB-4170-A527-B4192CC56468}" xr6:coauthVersionLast="36" xr6:coauthVersionMax="47" xr10:uidLastSave="{45FEE536-F48E-43CB-9EC6-221C2AE3607C}"/>
  <bookViews>
    <workbookView xWindow="-105" yWindow="-105" windowWidth="23250" windowHeight="12570" activeTab="7" xr2:uid="{431F1F9B-C079-4FC4-8962-8155E2A046F0}"/>
  </bookViews>
  <sheets>
    <sheet name="INPUT" sheetId="1" r:id="rId1"/>
    <sheet name="tx" sheetId="3" state="hidden" r:id="rId2"/>
    <sheet name="Wind Shell" sheetId="9" r:id="rId3"/>
    <sheet name="Top angle Design" sheetId="11" r:id="rId4"/>
    <sheet name="Intermediate angle Design " sheetId="12" r:id="rId5"/>
    <sheet name="Angle Properties" sheetId="13" r:id="rId6"/>
    <sheet name="Wind speed" sheetId="10" r:id="rId7"/>
    <sheet name="VDP Method" sheetId="8" r:id="rId8"/>
    <sheet name="Summary of shell design" sheetId="6" state="hidden" r:id="rId9"/>
    <sheet name="1-Foot Method" sheetId="7" r:id="rId10"/>
    <sheet name="section moduli" sheetId="5" r:id="rId11"/>
    <sheet name="Material" sheetId="2" r:id="rId12"/>
    <sheet name="dx" sheetId="4" state="hidden" r:id="rId13"/>
  </sheets>
  <definedNames>
    <definedName name="_xlnm._FilterDatabase" localSheetId="0" hidden="1">INPUT!$B$39:$D$41</definedName>
    <definedName name="_xlnm.Criteria" localSheetId="0">INPUT!$C$38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6" i="11" l="1"/>
  <c r="L76" i="11"/>
  <c r="K76" i="11"/>
  <c r="J76" i="11"/>
  <c r="I76" i="11"/>
  <c r="M56" i="11"/>
  <c r="L56" i="11"/>
  <c r="K56" i="11"/>
  <c r="J56" i="11"/>
  <c r="I56" i="11"/>
  <c r="M39" i="11"/>
  <c r="L39" i="11"/>
  <c r="K39" i="11"/>
  <c r="J39" i="11"/>
  <c r="I39" i="11"/>
  <c r="M24" i="11"/>
  <c r="L24" i="11"/>
  <c r="K24" i="11"/>
  <c r="J24" i="11"/>
  <c r="I24" i="11"/>
  <c r="M9" i="11"/>
  <c r="L9" i="11"/>
  <c r="K9" i="11"/>
  <c r="J9" i="11"/>
  <c r="I9" i="11"/>
  <c r="D9" i="9"/>
  <c r="D31" i="11"/>
  <c r="E31" i="11"/>
  <c r="L31" i="11" s="1"/>
  <c r="M31" i="11" s="1"/>
  <c r="P3" i="11"/>
  <c r="M3" i="11" s="1"/>
  <c r="Q3" i="11" s="1"/>
  <c r="R3" i="11" s="1"/>
  <c r="S3" i="11" s="1"/>
  <c r="P2" i="11"/>
  <c r="E2" i="11"/>
  <c r="D2" i="11"/>
  <c r="T2" i="11"/>
  <c r="U2" i="11" s="1"/>
  <c r="V2" i="11" s="1"/>
  <c r="Q2" i="11"/>
  <c r="R2" i="11" s="1"/>
  <c r="S2" i="11" s="1"/>
  <c r="N31" i="11" l="1"/>
  <c r="T3" i="11"/>
  <c r="U3" i="11" s="1"/>
  <c r="V3" i="11" s="1"/>
  <c r="E17" i="11" l="1"/>
  <c r="L17" i="11" s="1"/>
  <c r="D17" i="11"/>
  <c r="I2" i="11"/>
  <c r="J2" i="11" s="1"/>
  <c r="C21" i="12"/>
  <c r="C22" i="12"/>
  <c r="C23" i="12"/>
  <c r="C20" i="12"/>
  <c r="D11" i="9"/>
  <c r="E49" i="11"/>
  <c r="C49" i="11"/>
  <c r="F49" i="11"/>
  <c r="I31" i="11"/>
  <c r="J31" i="11" s="1"/>
  <c r="K31" i="11" s="1"/>
  <c r="D3" i="9"/>
  <c r="D5" i="9" s="1"/>
  <c r="D6" i="9"/>
  <c r="H2" i="10"/>
  <c r="H3" i="10"/>
  <c r="N11" i="8"/>
  <c r="N10" i="8"/>
  <c r="N9" i="8"/>
  <c r="N8" i="8"/>
  <c r="N7" i="8"/>
  <c r="N6" i="8"/>
  <c r="N5" i="8"/>
  <c r="N4" i="8"/>
  <c r="N3" i="8"/>
  <c r="N2" i="8"/>
  <c r="M4" i="7"/>
  <c r="M5" i="7"/>
  <c r="M6" i="7"/>
  <c r="M7" i="7"/>
  <c r="M8" i="7"/>
  <c r="M9" i="7"/>
  <c r="M10" i="7"/>
  <c r="M11" i="7"/>
  <c r="M3" i="7"/>
  <c r="M2" i="7"/>
  <c r="C20" i="6"/>
  <c r="C19" i="6"/>
  <c r="C11" i="6"/>
  <c r="C10" i="6"/>
  <c r="H11" i="9" s="1"/>
  <c r="L11" i="9" s="1"/>
  <c r="C9" i="6"/>
  <c r="H10" i="9" s="1"/>
  <c r="L10" i="9" s="1"/>
  <c r="C8" i="6"/>
  <c r="H9" i="9" s="1"/>
  <c r="C7" i="6"/>
  <c r="H8" i="9" s="1"/>
  <c r="C6" i="6"/>
  <c r="H7" i="9" s="1"/>
  <c r="C5" i="6"/>
  <c r="H6" i="9" s="1"/>
  <c r="C4" i="6"/>
  <c r="H5" i="9" s="1"/>
  <c r="C3" i="6"/>
  <c r="H4" i="9" s="1"/>
  <c r="C2" i="6"/>
  <c r="H3" i="9" s="1"/>
  <c r="C10" i="1"/>
  <c r="C18" i="1"/>
  <c r="G36" i="8" l="1"/>
  <c r="B36" i="8"/>
  <c r="G37" i="8"/>
  <c r="B37" i="8"/>
  <c r="F7" i="9" a="1"/>
  <c r="F7" i="9" s="1"/>
  <c r="M17" i="11"/>
  <c r="N17" i="11" s="1"/>
  <c r="I17" i="11"/>
  <c r="J17" i="11" s="1"/>
  <c r="K17" i="11" s="1"/>
  <c r="J49" i="11"/>
  <c r="N49" i="11" s="1"/>
  <c r="O49" i="11" s="1"/>
  <c r="P49" i="11" s="1"/>
  <c r="K49" i="11"/>
  <c r="L49" i="11" s="1"/>
  <c r="M49" i="11" s="1"/>
  <c r="K2" i="11"/>
  <c r="J11" i="9"/>
  <c r="I11" i="9"/>
  <c r="J9" i="9"/>
  <c r="I10" i="9"/>
  <c r="K11" i="9"/>
  <c r="J10" i="9"/>
  <c r="K10" i="9"/>
  <c r="H4" i="10"/>
  <c r="H5" i="10" s="1"/>
  <c r="D7" i="9" s="1"/>
  <c r="B2" i="7"/>
  <c r="G2" i="7"/>
  <c r="G2" i="8" s="1"/>
  <c r="C1" i="6"/>
  <c r="B11" i="8"/>
  <c r="B21" i="8" s="1"/>
  <c r="L11" i="8" s="1"/>
  <c r="C30" i="6" s="1"/>
  <c r="B11" i="7"/>
  <c r="G10" i="7"/>
  <c r="B10" i="7"/>
  <c r="B2" i="8"/>
  <c r="B10" i="8"/>
  <c r="G11" i="8"/>
  <c r="G10" i="8"/>
  <c r="G11" i="7"/>
  <c r="D14" i="9" l="1"/>
  <c r="G21" i="8"/>
  <c r="G21" i="7"/>
  <c r="B11" i="3"/>
  <c r="G11" i="3" s="1"/>
  <c r="G20" i="7"/>
  <c r="B10" i="3"/>
  <c r="G10" i="3" s="1"/>
  <c r="G12" i="7"/>
  <c r="B2" i="3"/>
  <c r="B12" i="7"/>
  <c r="B2" i="4"/>
  <c r="B20" i="7"/>
  <c r="K10" i="7" s="1"/>
  <c r="B10" i="4"/>
  <c r="G10" i="4" s="1"/>
  <c r="B21" i="7"/>
  <c r="K11" i="7" s="1"/>
  <c r="B11" i="4"/>
  <c r="G11" i="4" s="1"/>
  <c r="G20" i="8"/>
  <c r="B20" i="8"/>
  <c r="L10" i="8" s="1"/>
  <c r="C29" i="6" s="1"/>
  <c r="C12" i="6"/>
  <c r="H2" i="9"/>
  <c r="D2" i="8"/>
  <c r="B12" i="8"/>
  <c r="P12" i="1"/>
  <c r="P13" i="1" s="1"/>
  <c r="K2" i="7" l="1"/>
  <c r="C11" i="4"/>
  <c r="D11" i="4" s="1"/>
  <c r="F11" i="4" s="1"/>
  <c r="C11" i="3"/>
  <c r="D11" i="3" s="1"/>
  <c r="C13" i="6"/>
  <c r="G3" i="7"/>
  <c r="B3" i="7"/>
  <c r="E11" i="4" l="1"/>
  <c r="H11" i="4" s="1"/>
  <c r="C22" i="4" s="1"/>
  <c r="D22" i="4" s="1"/>
  <c r="F22" i="4" s="1"/>
  <c r="G13" i="7"/>
  <c r="B3" i="3"/>
  <c r="G3" i="3" s="1"/>
  <c r="E11" i="3"/>
  <c r="H11" i="3" s="1"/>
  <c r="F11" i="3"/>
  <c r="B13" i="7"/>
  <c r="B3" i="4"/>
  <c r="G3" i="4" s="1"/>
  <c r="B4" i="7"/>
  <c r="C14" i="6"/>
  <c r="G4" i="7"/>
  <c r="G22" i="4" l="1"/>
  <c r="K3" i="7"/>
  <c r="G14" i="7"/>
  <c r="B4" i="3"/>
  <c r="G22" i="3"/>
  <c r="C22" i="3"/>
  <c r="D22" i="3" s="1"/>
  <c r="F22" i="3" s="1"/>
  <c r="B14" i="7"/>
  <c r="B4" i="4"/>
  <c r="G4" i="4" s="1"/>
  <c r="C3" i="4"/>
  <c r="D3" i="4" s="1"/>
  <c r="F3" i="4" s="1"/>
  <c r="E22" i="4"/>
  <c r="H22" i="4" s="1"/>
  <c r="C15" i="6"/>
  <c r="G5" i="7"/>
  <c r="B5" i="7"/>
  <c r="E22" i="3" l="1"/>
  <c r="H22" i="3" s="1"/>
  <c r="G15" i="7"/>
  <c r="B5" i="3"/>
  <c r="G5" i="3" s="1"/>
  <c r="K4" i="7"/>
  <c r="G4" i="3"/>
  <c r="B15" i="7"/>
  <c r="B5" i="4"/>
  <c r="G5" i="4" s="1"/>
  <c r="E3" i="4"/>
  <c r="H3" i="4" s="1"/>
  <c r="G33" i="4"/>
  <c r="C33" i="4"/>
  <c r="D33" i="4" s="1"/>
  <c r="F33" i="4" s="1"/>
  <c r="B6" i="7"/>
  <c r="G6" i="7"/>
  <c r="C16" i="6"/>
  <c r="G33" i="3" l="1"/>
  <c r="C33" i="3"/>
  <c r="D33" i="3" s="1"/>
  <c r="F33" i="3" s="1"/>
  <c r="K5" i="7"/>
  <c r="G16" i="7"/>
  <c r="B6" i="3"/>
  <c r="G6" i="3" s="1"/>
  <c r="B16" i="7"/>
  <c r="B6" i="4"/>
  <c r="G6" i="4" s="1"/>
  <c r="C14" i="4"/>
  <c r="D14" i="4" s="1"/>
  <c r="F14" i="4" s="1"/>
  <c r="E33" i="4"/>
  <c r="H33" i="4" s="1"/>
  <c r="G14" i="4"/>
  <c r="G7" i="7"/>
  <c r="C17" i="6"/>
  <c r="B7" i="7"/>
  <c r="C18" i="6" l="1"/>
  <c r="B35" i="8" s="1"/>
  <c r="E33" i="3"/>
  <c r="H33" i="3" s="1"/>
  <c r="G17" i="7"/>
  <c r="B7" i="3"/>
  <c r="G7" i="3" s="1"/>
  <c r="K6" i="7"/>
  <c r="B17" i="7"/>
  <c r="B7" i="4"/>
  <c r="G7" i="4" s="1"/>
  <c r="E14" i="4"/>
  <c r="H14" i="4" s="1"/>
  <c r="G44" i="4"/>
  <c r="C44" i="4"/>
  <c r="D44" i="4" s="1"/>
  <c r="F44" i="4" s="1"/>
  <c r="B8" i="7"/>
  <c r="G8" i="7"/>
  <c r="B9" i="7" l="1"/>
  <c r="B19" i="7" s="1"/>
  <c r="G9" i="7"/>
  <c r="G19" i="7" s="1"/>
  <c r="K7" i="7"/>
  <c r="G18" i="7"/>
  <c r="B8" i="3"/>
  <c r="G8" i="3" s="1"/>
  <c r="G44" i="3"/>
  <c r="C44" i="3"/>
  <c r="D44" i="3" s="1"/>
  <c r="F44" i="3" s="1"/>
  <c r="B18" i="7"/>
  <c r="B8" i="4"/>
  <c r="G8" i="4" s="1"/>
  <c r="C25" i="4"/>
  <c r="D25" i="4" s="1"/>
  <c r="F25" i="4" s="1"/>
  <c r="E44" i="4"/>
  <c r="H44" i="4" s="1"/>
  <c r="G25" i="4"/>
  <c r="G55" i="4" l="1"/>
  <c r="C55" i="4"/>
  <c r="D55" i="4" s="1"/>
  <c r="B9" i="4"/>
  <c r="G9" i="4" s="1"/>
  <c r="B9" i="3"/>
  <c r="G9" i="3" s="1"/>
  <c r="G23" i="7"/>
  <c r="K9" i="7"/>
  <c r="K8" i="7"/>
  <c r="E44" i="3"/>
  <c r="H44" i="3" s="1"/>
  <c r="B23" i="7"/>
  <c r="E25" i="4"/>
  <c r="H25" i="4" s="1"/>
  <c r="G36" i="4" s="1"/>
  <c r="E55" i="4" l="1"/>
  <c r="H55" i="4" s="1"/>
  <c r="F55" i="4"/>
  <c r="K13" i="7"/>
  <c r="G55" i="3"/>
  <c r="C55" i="3"/>
  <c r="D55" i="3" s="1"/>
  <c r="F55" i="3" s="1"/>
  <c r="C36" i="4"/>
  <c r="D36" i="4" s="1"/>
  <c r="F36" i="4" s="1"/>
  <c r="G66" i="4" l="1"/>
  <c r="C66" i="4"/>
  <c r="D66" i="4" s="1"/>
  <c r="F66" i="4" s="1"/>
  <c r="E55" i="3"/>
  <c r="H55" i="3" s="1"/>
  <c r="E36" i="4"/>
  <c r="H36" i="4" s="1"/>
  <c r="G47" i="4" l="1"/>
  <c r="C47" i="4"/>
  <c r="D47" i="4" s="1"/>
  <c r="F47" i="4" s="1"/>
  <c r="E66" i="4"/>
  <c r="H66" i="4" s="1"/>
  <c r="G66" i="3"/>
  <c r="C66" i="3"/>
  <c r="D66" i="3" s="1"/>
  <c r="E47" i="4" l="1"/>
  <c r="H47" i="4" s="1"/>
  <c r="G77" i="4"/>
  <c r="C77" i="4"/>
  <c r="D77" i="4" s="1"/>
  <c r="F77" i="4" s="1"/>
  <c r="E66" i="3"/>
  <c r="H66" i="3" s="1"/>
  <c r="F66" i="3"/>
  <c r="G58" i="4" l="1"/>
  <c r="C58" i="4"/>
  <c r="D58" i="4" s="1"/>
  <c r="F58" i="4" s="1"/>
  <c r="E77" i="4"/>
  <c r="H77" i="4" s="1"/>
  <c r="G77" i="3"/>
  <c r="C77" i="3"/>
  <c r="D77" i="3" s="1"/>
  <c r="F77" i="3" s="1"/>
  <c r="E58" i="4" l="1"/>
  <c r="H58" i="4" s="1"/>
  <c r="G88" i="4"/>
  <c r="C88" i="4"/>
  <c r="D88" i="4" s="1"/>
  <c r="F88" i="4" s="1"/>
  <c r="E77" i="3"/>
  <c r="H77" i="3" s="1"/>
  <c r="G69" i="4" l="1"/>
  <c r="C69" i="4"/>
  <c r="D69" i="4" s="1"/>
  <c r="F69" i="4" s="1"/>
  <c r="E88" i="4"/>
  <c r="H88" i="4" s="1"/>
  <c r="G88" i="3"/>
  <c r="C88" i="3"/>
  <c r="D88" i="3" s="1"/>
  <c r="F88" i="3" s="1"/>
  <c r="E69" i="4" l="1"/>
  <c r="H69" i="4" s="1"/>
  <c r="E88" i="3"/>
  <c r="H88" i="3" s="1"/>
  <c r="G80" i="4" l="1"/>
  <c r="C80" i="4"/>
  <c r="D80" i="4" s="1"/>
  <c r="F80" i="4" s="1"/>
  <c r="G99" i="3"/>
  <c r="C99" i="3"/>
  <c r="D99" i="3" s="1"/>
  <c r="F99" i="3" s="1"/>
  <c r="E80" i="4" l="1"/>
  <c r="H80" i="4" s="1"/>
  <c r="B29" i="8" s="1"/>
  <c r="B3" i="8" s="1"/>
  <c r="E99" i="3"/>
  <c r="H99" i="3" s="1"/>
  <c r="C4" i="4" l="1"/>
  <c r="D4" i="4" s="1"/>
  <c r="B13" i="8"/>
  <c r="G110" i="3"/>
  <c r="C110" i="3"/>
  <c r="D110" i="3" s="1"/>
  <c r="F110" i="3" s="1"/>
  <c r="E4" i="4" l="1"/>
  <c r="F4" i="4"/>
  <c r="E110" i="3"/>
  <c r="H110" i="3" s="1"/>
  <c r="H4" i="4" l="1"/>
  <c r="G15" i="4" s="1"/>
  <c r="G121" i="3"/>
  <c r="C121" i="3"/>
  <c r="D121" i="3" s="1"/>
  <c r="F121" i="3" s="1"/>
  <c r="C15" i="4" l="1"/>
  <c r="D15" i="4" s="1"/>
  <c r="F15" i="4" s="1"/>
  <c r="E121" i="3"/>
  <c r="H121" i="3" s="1"/>
  <c r="E15" i="4" l="1"/>
  <c r="H15" i="4" s="1"/>
  <c r="G26" i="4" s="1"/>
  <c r="G132" i="3"/>
  <c r="C132" i="3"/>
  <c r="D132" i="3" s="1"/>
  <c r="F132" i="3" s="1"/>
  <c r="C26" i="4" l="1"/>
  <c r="D26" i="4" s="1"/>
  <c r="F26" i="4" s="1"/>
  <c r="E132" i="3"/>
  <c r="H132" i="3" s="1"/>
  <c r="E26" i="4" l="1"/>
  <c r="H26" i="4" s="1"/>
  <c r="C37" i="4" s="1"/>
  <c r="D37" i="4" s="1"/>
  <c r="F37" i="4" s="1"/>
  <c r="G143" i="3"/>
  <c r="C143" i="3"/>
  <c r="D143" i="3" s="1"/>
  <c r="F143" i="3" s="1"/>
  <c r="E37" i="4" l="1"/>
  <c r="G37" i="4"/>
  <c r="E143" i="3"/>
  <c r="H143" i="3" s="1"/>
  <c r="H37" i="4" l="1"/>
  <c r="G48" i="4" s="1"/>
  <c r="C48" i="4" l="1"/>
  <c r="D48" i="4" s="1"/>
  <c r="F48" i="4" s="1"/>
  <c r="E48" i="4" l="1"/>
  <c r="H48" i="4" s="1"/>
  <c r="G59" i="4" l="1"/>
  <c r="C59" i="4"/>
  <c r="D59" i="4" s="1"/>
  <c r="F59" i="4" s="1"/>
  <c r="E59" i="4" l="1"/>
  <c r="H59" i="4" s="1"/>
  <c r="G70" i="4" s="1"/>
  <c r="C70" i="4" l="1"/>
  <c r="D70" i="4" s="1"/>
  <c r="F70" i="4" s="1"/>
  <c r="E70" i="4" l="1"/>
  <c r="H70" i="4" s="1"/>
  <c r="G81" i="4" s="1"/>
  <c r="C81" i="4" l="1"/>
  <c r="D81" i="4" s="1"/>
  <c r="F81" i="4" s="1"/>
  <c r="E81" i="4" l="1"/>
  <c r="H81" i="4" s="1"/>
  <c r="B30" i="8" s="1"/>
  <c r="B4" i="8" s="1"/>
  <c r="B14" i="8" s="1"/>
  <c r="C5" i="4" l="1"/>
  <c r="D5" i="4" s="1"/>
  <c r="E5" i="4" s="1"/>
  <c r="F5" i="4" l="1"/>
  <c r="H5" i="4" s="1"/>
  <c r="G16" i="4" s="1"/>
  <c r="C16" i="4" l="1"/>
  <c r="D16" i="4" s="1"/>
  <c r="F16" i="4" s="1"/>
  <c r="E16" i="4" l="1"/>
  <c r="H16" i="4" s="1"/>
  <c r="G27" i="4" s="1"/>
  <c r="C27" i="4" l="1"/>
  <c r="D27" i="4" s="1"/>
  <c r="F27" i="4" s="1"/>
  <c r="E27" i="4" l="1"/>
  <c r="H27" i="4" s="1"/>
  <c r="C38" i="4" s="1"/>
  <c r="D38" i="4" s="1"/>
  <c r="F38" i="4" s="1"/>
  <c r="G38" i="4" l="1"/>
  <c r="E38" i="4"/>
  <c r="H38" i="4" s="1"/>
  <c r="G49" i="4" l="1"/>
  <c r="C49" i="4"/>
  <c r="D49" i="4" s="1"/>
  <c r="F49" i="4" s="1"/>
  <c r="E49" i="4" l="1"/>
  <c r="H49" i="4" s="1"/>
  <c r="C60" i="4" l="1"/>
  <c r="D60" i="4" s="1"/>
  <c r="F60" i="4" s="1"/>
  <c r="G60" i="4"/>
  <c r="E60" i="4" l="1"/>
  <c r="H60" i="4" s="1"/>
  <c r="G71" i="4" l="1"/>
  <c r="C71" i="4"/>
  <c r="D71" i="4" s="1"/>
  <c r="F71" i="4" s="1"/>
  <c r="E71" i="4" l="1"/>
  <c r="H71" i="4" s="1"/>
  <c r="C82" i="4" l="1"/>
  <c r="D82" i="4" s="1"/>
  <c r="F82" i="4" s="1"/>
  <c r="G82" i="4"/>
  <c r="E82" i="4"/>
  <c r="H82" i="4" s="1"/>
  <c r="B31" i="8" s="1"/>
  <c r="B5" i="8" s="1"/>
  <c r="B15" i="8" s="1"/>
  <c r="C6" i="4" l="1"/>
  <c r="D6" i="4" s="1"/>
  <c r="F6" i="4" s="1"/>
  <c r="E6" i="4" l="1"/>
  <c r="H6" i="4" s="1"/>
  <c r="G17" i="4" s="1"/>
  <c r="C17" i="4" l="1"/>
  <c r="D17" i="4" s="1"/>
  <c r="F17" i="4" s="1"/>
  <c r="E17" i="4"/>
  <c r="H17" i="4" s="1"/>
  <c r="C28" i="4" l="1"/>
  <c r="D28" i="4" s="1"/>
  <c r="F28" i="4" s="1"/>
  <c r="G28" i="4"/>
  <c r="E28" i="4" l="1"/>
  <c r="H28" i="4" s="1"/>
  <c r="G39" i="4" l="1"/>
  <c r="C39" i="4"/>
  <c r="D39" i="4" s="1"/>
  <c r="F39" i="4" s="1"/>
  <c r="E39" i="4" l="1"/>
  <c r="H39" i="4"/>
  <c r="G50" i="4" s="1"/>
  <c r="C50" i="4" l="1"/>
  <c r="D50" i="4" s="1"/>
  <c r="F50" i="4" s="1"/>
  <c r="E50" i="4" l="1"/>
  <c r="H50" i="4" s="1"/>
  <c r="C61" i="4" s="1"/>
  <c r="D61" i="4" s="1"/>
  <c r="F61" i="4" s="1"/>
  <c r="E61" i="4" l="1"/>
  <c r="G61" i="4"/>
  <c r="C3" i="3"/>
  <c r="D3" i="3" s="1"/>
  <c r="G12" i="8"/>
  <c r="L2" i="8" s="1"/>
  <c r="C21" i="6" s="1"/>
  <c r="I2" i="8"/>
  <c r="H61" i="4" l="1"/>
  <c r="C72" i="4" s="1"/>
  <c r="D72" i="4" s="1"/>
  <c r="F72" i="4" s="1"/>
  <c r="J2" i="9"/>
  <c r="F3" i="3"/>
  <c r="E3" i="3"/>
  <c r="G72" i="4" l="1"/>
  <c r="E72" i="4"/>
  <c r="H72" i="4" s="1"/>
  <c r="H3" i="3"/>
  <c r="G14" i="3" s="1"/>
  <c r="C83" i="4" l="1"/>
  <c r="D83" i="4" s="1"/>
  <c r="F83" i="4" s="1"/>
  <c r="G83" i="4"/>
  <c r="B9" i="8"/>
  <c r="C10" i="4" s="1"/>
  <c r="D10" i="4" s="1"/>
  <c r="F10" i="4" s="1"/>
  <c r="C14" i="3"/>
  <c r="D14" i="3" s="1"/>
  <c r="F14" i="3" s="1"/>
  <c r="E83" i="4" l="1"/>
  <c r="H83" i="4" s="1"/>
  <c r="B32" i="8" s="1"/>
  <c r="B6" i="8" s="1"/>
  <c r="B19" i="8"/>
  <c r="E10" i="4"/>
  <c r="H10" i="4" s="1"/>
  <c r="G21" i="4" s="1"/>
  <c r="E14" i="3"/>
  <c r="H14" i="3" s="1"/>
  <c r="G25" i="3" s="1"/>
  <c r="B16" i="8" l="1"/>
  <c r="C7" i="4"/>
  <c r="D7" i="4" s="1"/>
  <c r="C21" i="4"/>
  <c r="D21" i="4" s="1"/>
  <c r="F21" i="4" s="1"/>
  <c r="C25" i="3"/>
  <c r="D25" i="3" s="1"/>
  <c r="F25" i="3" s="1"/>
  <c r="F7" i="4" l="1"/>
  <c r="E7" i="4"/>
  <c r="H7" i="4" s="1"/>
  <c r="E21" i="4"/>
  <c r="H21" i="4" s="1"/>
  <c r="G32" i="4" s="1"/>
  <c r="E25" i="3"/>
  <c r="H25" i="3" s="1"/>
  <c r="C36" i="3" s="1"/>
  <c r="D36" i="3" s="1"/>
  <c r="F36" i="3" s="1"/>
  <c r="G18" i="4" l="1"/>
  <c r="C18" i="4"/>
  <c r="D18" i="4" s="1"/>
  <c r="F18" i="4" s="1"/>
  <c r="C32" i="4"/>
  <c r="D32" i="4" s="1"/>
  <c r="F32" i="4" s="1"/>
  <c r="G36" i="3"/>
  <c r="E36" i="3"/>
  <c r="E18" i="4" l="1"/>
  <c r="H18" i="4" s="1"/>
  <c r="E32" i="4"/>
  <c r="H32" i="4" s="1"/>
  <c r="G43" i="4" s="1"/>
  <c r="H36" i="3"/>
  <c r="G47" i="3" s="1"/>
  <c r="G29" i="4" l="1"/>
  <c r="C29" i="4"/>
  <c r="D29" i="4" s="1"/>
  <c r="F29" i="4" s="1"/>
  <c r="E29" i="4"/>
  <c r="H29" i="4" s="1"/>
  <c r="G40" i="4" s="1"/>
  <c r="C43" i="4"/>
  <c r="D43" i="4" s="1"/>
  <c r="F43" i="4" s="1"/>
  <c r="C47" i="3"/>
  <c r="D47" i="3" s="1"/>
  <c r="F47" i="3" s="1"/>
  <c r="C40" i="4" l="1"/>
  <c r="D40" i="4" s="1"/>
  <c r="F40" i="4" s="1"/>
  <c r="E43" i="4"/>
  <c r="H43" i="4" s="1"/>
  <c r="E47" i="3"/>
  <c r="H47" i="3" s="1"/>
  <c r="C58" i="3" s="1"/>
  <c r="D58" i="3" s="1"/>
  <c r="F58" i="3" s="1"/>
  <c r="E40" i="4" l="1"/>
  <c r="H40" i="4" s="1"/>
  <c r="C51" i="4" s="1"/>
  <c r="D51" i="4" s="1"/>
  <c r="F51" i="4" s="1"/>
  <c r="G54" i="4"/>
  <c r="C54" i="4"/>
  <c r="D54" i="4" s="1"/>
  <c r="F54" i="4" s="1"/>
  <c r="G58" i="3"/>
  <c r="E58" i="3"/>
  <c r="E51" i="4" l="1"/>
  <c r="H51" i="4" s="1"/>
  <c r="C62" i="4" s="1"/>
  <c r="D62" i="4" s="1"/>
  <c r="F62" i="4" s="1"/>
  <c r="G51" i="4"/>
  <c r="E54" i="4"/>
  <c r="H54" i="4" s="1"/>
  <c r="H58" i="3"/>
  <c r="C69" i="3" s="1"/>
  <c r="D69" i="3" s="1"/>
  <c r="F69" i="3" s="1"/>
  <c r="E62" i="4" l="1"/>
  <c r="H62" i="4" s="1"/>
  <c r="G73" i="4" s="1"/>
  <c r="G62" i="4"/>
  <c r="G65" i="4"/>
  <c r="C65" i="4"/>
  <c r="D65" i="4" s="1"/>
  <c r="F65" i="4" s="1"/>
  <c r="E69" i="3"/>
  <c r="G69" i="3"/>
  <c r="C73" i="4" l="1"/>
  <c r="D73" i="4" s="1"/>
  <c r="F73" i="4" s="1"/>
  <c r="E65" i="4"/>
  <c r="H65" i="4" s="1"/>
  <c r="H69" i="3"/>
  <c r="E73" i="4" l="1"/>
  <c r="H73" i="4" s="1"/>
  <c r="C84" i="4" s="1"/>
  <c r="D84" i="4" s="1"/>
  <c r="F84" i="4" s="1"/>
  <c r="G76" i="4"/>
  <c r="C76" i="4"/>
  <c r="D76" i="4" s="1"/>
  <c r="F76" i="4" s="1"/>
  <c r="C80" i="3"/>
  <c r="D80" i="3" s="1"/>
  <c r="F80" i="3" s="1"/>
  <c r="G80" i="3"/>
  <c r="G84" i="4" l="1"/>
  <c r="E84" i="4"/>
  <c r="H84" i="4" s="1"/>
  <c r="B33" i="8" s="1"/>
  <c r="B7" i="8" s="1"/>
  <c r="C8" i="4" s="1"/>
  <c r="D8" i="4" s="1"/>
  <c r="E76" i="4"/>
  <c r="H76" i="4" s="1"/>
  <c r="E80" i="3"/>
  <c r="H80" i="3" s="1"/>
  <c r="B17" i="8" l="1"/>
  <c r="E8" i="4"/>
  <c r="H8" i="4" s="1"/>
  <c r="F8" i="4"/>
  <c r="G87" i="4"/>
  <c r="C87" i="4"/>
  <c r="D87" i="4" s="1"/>
  <c r="F87" i="4" s="1"/>
  <c r="G91" i="3"/>
  <c r="C91" i="3"/>
  <c r="D91" i="3" s="1"/>
  <c r="F91" i="3" s="1"/>
  <c r="G19" i="4" l="1"/>
  <c r="C19" i="4"/>
  <c r="D19" i="4" s="1"/>
  <c r="F19" i="4" s="1"/>
  <c r="E87" i="4"/>
  <c r="H87" i="4" s="1"/>
  <c r="E91" i="3"/>
  <c r="H91" i="3" s="1"/>
  <c r="E19" i="4" l="1"/>
  <c r="H19" i="4" s="1"/>
  <c r="G102" i="3"/>
  <c r="C102" i="3"/>
  <c r="D102" i="3" s="1"/>
  <c r="F102" i="3" s="1"/>
  <c r="C30" i="4" l="1"/>
  <c r="D30" i="4" s="1"/>
  <c r="F30" i="4" s="1"/>
  <c r="G30" i="4"/>
  <c r="E102" i="3"/>
  <c r="H102" i="3" s="1"/>
  <c r="E30" i="4" l="1"/>
  <c r="H30" i="4" s="1"/>
  <c r="G41" i="4" s="1"/>
  <c r="G113" i="3"/>
  <c r="C113" i="3"/>
  <c r="D113" i="3" s="1"/>
  <c r="F113" i="3" s="1"/>
  <c r="C41" i="4" l="1"/>
  <c r="D41" i="4" s="1"/>
  <c r="F41" i="4" s="1"/>
  <c r="E113" i="3"/>
  <c r="H113" i="3" s="1"/>
  <c r="G124" i="3" s="1"/>
  <c r="E41" i="4" l="1"/>
  <c r="H41" i="4" s="1"/>
  <c r="G52" i="4" s="1"/>
  <c r="C124" i="3"/>
  <c r="D124" i="3" s="1"/>
  <c r="F124" i="3" s="1"/>
  <c r="C52" i="4" l="1"/>
  <c r="D52" i="4" s="1"/>
  <c r="F52" i="4" s="1"/>
  <c r="E124" i="3"/>
  <c r="H124" i="3" s="1"/>
  <c r="G135" i="3" s="1"/>
  <c r="E52" i="4" l="1"/>
  <c r="H52" i="4" s="1"/>
  <c r="G63" i="4" s="1"/>
  <c r="C135" i="3"/>
  <c r="D135" i="3" s="1"/>
  <c r="F135" i="3" s="1"/>
  <c r="C63" i="4" l="1"/>
  <c r="D63" i="4" s="1"/>
  <c r="F63" i="4" s="1"/>
  <c r="E135" i="3"/>
  <c r="H135" i="3" s="1"/>
  <c r="E63" i="4" l="1"/>
  <c r="H63" i="4" s="1"/>
  <c r="C74" i="4" s="1"/>
  <c r="D74" i="4" s="1"/>
  <c r="F74" i="4" s="1"/>
  <c r="G29" i="8"/>
  <c r="G3" i="8" s="1"/>
  <c r="G74" i="4" l="1"/>
  <c r="E74" i="4"/>
  <c r="H74" i="4"/>
  <c r="G85" i="4" s="1"/>
  <c r="C4" i="3"/>
  <c r="D4" i="3" s="1"/>
  <c r="G13" i="8"/>
  <c r="L3" i="8" s="1"/>
  <c r="C22" i="6" s="1"/>
  <c r="C85" i="4" l="1"/>
  <c r="D85" i="4" s="1"/>
  <c r="F85" i="4" s="1"/>
  <c r="J3" i="9"/>
  <c r="E4" i="3"/>
  <c r="F4" i="3"/>
  <c r="E85" i="4" l="1"/>
  <c r="H85" i="4" s="1"/>
  <c r="B34" i="8" s="1"/>
  <c r="B8" i="8" s="1"/>
  <c r="B18" i="8" s="1"/>
  <c r="B23" i="8" s="1"/>
  <c r="H4" i="3"/>
  <c r="C9" i="4" l="1"/>
  <c r="D9" i="4" s="1"/>
  <c r="F9" i="4" s="1"/>
  <c r="G15" i="3"/>
  <c r="C15" i="3"/>
  <c r="D15" i="3" s="1"/>
  <c r="E9" i="4" l="1"/>
  <c r="H9" i="4" s="1"/>
  <c r="G20" i="4" s="1"/>
  <c r="F15" i="3"/>
  <c r="E15" i="3"/>
  <c r="C20" i="4" l="1"/>
  <c r="D20" i="4" s="1"/>
  <c r="F20" i="4" s="1"/>
  <c r="H15" i="3"/>
  <c r="C26" i="3" s="1"/>
  <c r="D26" i="3" s="1"/>
  <c r="F26" i="3" s="1"/>
  <c r="E20" i="4" l="1"/>
  <c r="H20" i="4" s="1"/>
  <c r="G26" i="3"/>
  <c r="E26" i="3"/>
  <c r="G31" i="4" l="1"/>
  <c r="C31" i="4"/>
  <c r="D31" i="4" s="1"/>
  <c r="F31" i="4" s="1"/>
  <c r="H26" i="3"/>
  <c r="G37" i="3" s="1"/>
  <c r="E31" i="4" l="1"/>
  <c r="H31" i="4" s="1"/>
  <c r="C37" i="3"/>
  <c r="D37" i="3" s="1"/>
  <c r="F37" i="3" s="1"/>
  <c r="G42" i="4" l="1"/>
  <c r="C42" i="4"/>
  <c r="D42" i="4" s="1"/>
  <c r="F42" i="4" s="1"/>
  <c r="E37" i="3"/>
  <c r="H37" i="3" s="1"/>
  <c r="G48" i="3" s="1"/>
  <c r="E42" i="4" l="1"/>
  <c r="H42" i="4" s="1"/>
  <c r="C48" i="3"/>
  <c r="D48" i="3" s="1"/>
  <c r="F48" i="3" s="1"/>
  <c r="C53" i="4" l="1"/>
  <c r="D53" i="4" s="1"/>
  <c r="F53" i="4" s="1"/>
  <c r="G53" i="4"/>
  <c r="E48" i="3"/>
  <c r="H48" i="3" s="1"/>
  <c r="C59" i="3" s="1"/>
  <c r="D59" i="3" s="1"/>
  <c r="F59" i="3" s="1"/>
  <c r="E53" i="4" l="1"/>
  <c r="H53" i="4" s="1"/>
  <c r="C64" i="4" s="1"/>
  <c r="D64" i="4" s="1"/>
  <c r="F64" i="4" s="1"/>
  <c r="G59" i="3"/>
  <c r="E59" i="3"/>
  <c r="H59" i="3" s="1"/>
  <c r="G64" i="4" l="1"/>
  <c r="E64" i="4"/>
  <c r="H64" i="4" s="1"/>
  <c r="G70" i="3"/>
  <c r="C70" i="3"/>
  <c r="D70" i="3" s="1"/>
  <c r="F70" i="3" s="1"/>
  <c r="C75" i="4" l="1"/>
  <c r="D75" i="4" s="1"/>
  <c r="F75" i="4" s="1"/>
  <c r="G75" i="4"/>
  <c r="E70" i="3"/>
  <c r="H70" i="3" s="1"/>
  <c r="E75" i="4" l="1"/>
  <c r="H75" i="4" s="1"/>
  <c r="G81" i="3"/>
  <c r="C81" i="3"/>
  <c r="D81" i="3" s="1"/>
  <c r="F81" i="3" s="1"/>
  <c r="C86" i="4" l="1"/>
  <c r="D86" i="4" s="1"/>
  <c r="F86" i="4" s="1"/>
  <c r="G86" i="4"/>
  <c r="E81" i="3"/>
  <c r="H81" i="3" s="1"/>
  <c r="E86" i="4" l="1"/>
  <c r="H86" i="4" s="1"/>
  <c r="C92" i="3"/>
  <c r="D92" i="3" s="1"/>
  <c r="F92" i="3" s="1"/>
  <c r="G92" i="3"/>
  <c r="E92" i="3" l="1"/>
  <c r="H92" i="3" s="1"/>
  <c r="G103" i="3" l="1"/>
  <c r="C103" i="3"/>
  <c r="D103" i="3" s="1"/>
  <c r="F103" i="3" s="1"/>
  <c r="E103" i="3" l="1"/>
  <c r="H103" i="3" s="1"/>
  <c r="C114" i="3" l="1"/>
  <c r="D114" i="3" s="1"/>
  <c r="F114" i="3" s="1"/>
  <c r="G114" i="3"/>
  <c r="E114" i="3" l="1"/>
  <c r="H114" i="3" s="1"/>
  <c r="G125" i="3" l="1"/>
  <c r="C125" i="3"/>
  <c r="D125" i="3" s="1"/>
  <c r="F125" i="3" s="1"/>
  <c r="E125" i="3" l="1"/>
  <c r="H125" i="3" s="1"/>
  <c r="C136" i="3" l="1"/>
  <c r="D136" i="3" s="1"/>
  <c r="F136" i="3" s="1"/>
  <c r="G136" i="3"/>
  <c r="E136" i="3" l="1"/>
  <c r="H136" i="3" s="1"/>
  <c r="G30" i="8" l="1"/>
  <c r="G4" i="8" s="1"/>
  <c r="C5" i="3" l="1"/>
  <c r="D5" i="3" s="1"/>
  <c r="G14" i="8"/>
  <c r="L4" i="8" s="1"/>
  <c r="C23" i="6" s="1"/>
  <c r="J4" i="9" l="1"/>
  <c r="F5" i="3"/>
  <c r="E5" i="3"/>
  <c r="H5" i="3" l="1"/>
  <c r="C16" i="3" s="1"/>
  <c r="D16" i="3" s="1"/>
  <c r="F16" i="3" s="1"/>
  <c r="G16" i="3" l="1"/>
  <c r="E16" i="3"/>
  <c r="H16" i="3" l="1"/>
  <c r="G27" i="3" s="1"/>
  <c r="C27" i="3" l="1"/>
  <c r="D27" i="3" s="1"/>
  <c r="F27" i="3" s="1"/>
  <c r="E27" i="3" l="1"/>
  <c r="H27" i="3" s="1"/>
  <c r="C38" i="3" s="1"/>
  <c r="D38" i="3" s="1"/>
  <c r="F38" i="3" s="1"/>
  <c r="G38" i="3" l="1"/>
  <c r="E38" i="3"/>
  <c r="H38" i="3" l="1"/>
  <c r="C49" i="3" s="1"/>
  <c r="D49" i="3" s="1"/>
  <c r="F49" i="3" s="1"/>
  <c r="G49" i="3" l="1"/>
  <c r="E49" i="3"/>
  <c r="H49" i="3" s="1"/>
  <c r="C60" i="3" s="1"/>
  <c r="D60" i="3" s="1"/>
  <c r="F60" i="3" s="1"/>
  <c r="G60" i="3" l="1"/>
  <c r="E60" i="3"/>
  <c r="H60" i="3" l="1"/>
  <c r="G71" i="3" s="1"/>
  <c r="C71" i="3" l="1"/>
  <c r="D71" i="3" s="1"/>
  <c r="F71" i="3" s="1"/>
  <c r="E71" i="3" l="1"/>
  <c r="H71" i="3" s="1"/>
  <c r="G82" i="3" s="1"/>
  <c r="C82" i="3" l="1"/>
  <c r="D82" i="3" s="1"/>
  <c r="F82" i="3" s="1"/>
  <c r="E82" i="3" l="1"/>
  <c r="H82" i="3" s="1"/>
  <c r="G93" i="3" s="1"/>
  <c r="C93" i="3" l="1"/>
  <c r="D93" i="3" s="1"/>
  <c r="F93" i="3" s="1"/>
  <c r="E93" i="3" l="1"/>
  <c r="H93" i="3" s="1"/>
  <c r="C104" i="3" s="1"/>
  <c r="D104" i="3" s="1"/>
  <c r="F104" i="3" s="1"/>
  <c r="E104" i="3" l="1"/>
  <c r="G104" i="3"/>
  <c r="H104" i="3" l="1"/>
  <c r="C115" i="3" s="1"/>
  <c r="D115" i="3" s="1"/>
  <c r="F115" i="3" s="1"/>
  <c r="G115" i="3" l="1"/>
  <c r="E115" i="3"/>
  <c r="H115" i="3" l="1"/>
  <c r="C126" i="3" s="1"/>
  <c r="D126" i="3" s="1"/>
  <c r="F126" i="3" s="1"/>
  <c r="G126" i="3" l="1"/>
  <c r="E126" i="3"/>
  <c r="H126" i="3" l="1"/>
  <c r="C137" i="3" s="1"/>
  <c r="D137" i="3" s="1"/>
  <c r="F137" i="3" s="1"/>
  <c r="E137" i="3" l="1"/>
  <c r="G137" i="3"/>
  <c r="H137" i="3" l="1"/>
  <c r="G31" i="8" s="1"/>
  <c r="G5" i="8" s="1"/>
  <c r="C6" i="3" s="1"/>
  <c r="D6" i="3" s="1"/>
  <c r="F6" i="3" s="1"/>
  <c r="E6" i="3" l="1"/>
  <c r="H6" i="3" s="1"/>
  <c r="C17" i="3" s="1"/>
  <c r="D17" i="3" s="1"/>
  <c r="F17" i="3" s="1"/>
  <c r="G15" i="8"/>
  <c r="L5" i="8" s="1"/>
  <c r="C24" i="6" s="1"/>
  <c r="J5" i="9" s="1"/>
  <c r="G17" i="3" l="1"/>
  <c r="E17" i="3"/>
  <c r="H17" i="3" l="1"/>
  <c r="G28" i="3" l="1"/>
  <c r="C28" i="3"/>
  <c r="D28" i="3" s="1"/>
  <c r="F28" i="3" s="1"/>
  <c r="E28" i="3" l="1"/>
  <c r="H28" i="3"/>
  <c r="G39" i="3" l="1"/>
  <c r="C39" i="3"/>
  <c r="D39" i="3" s="1"/>
  <c r="F39" i="3" s="1"/>
  <c r="E39" i="3" l="1"/>
  <c r="H39" i="3" s="1"/>
  <c r="G50" i="3" l="1"/>
  <c r="C50" i="3"/>
  <c r="D50" i="3" s="1"/>
  <c r="F50" i="3" s="1"/>
  <c r="E50" i="3" l="1"/>
  <c r="H50" i="3" s="1"/>
  <c r="G61" i="3" l="1"/>
  <c r="C61" i="3"/>
  <c r="D61" i="3" s="1"/>
  <c r="F61" i="3" s="1"/>
  <c r="E61" i="3" l="1"/>
  <c r="H61" i="3" s="1"/>
  <c r="C72" i="3" l="1"/>
  <c r="D72" i="3" s="1"/>
  <c r="F72" i="3" s="1"/>
  <c r="G72" i="3"/>
  <c r="E72" i="3" l="1"/>
  <c r="H72" i="3" s="1"/>
  <c r="G83" i="3" l="1"/>
  <c r="C83" i="3"/>
  <c r="D83" i="3" s="1"/>
  <c r="F83" i="3" s="1"/>
  <c r="E83" i="3" l="1"/>
  <c r="H83" i="3" s="1"/>
  <c r="C94" i="3" l="1"/>
  <c r="D94" i="3" s="1"/>
  <c r="F94" i="3" s="1"/>
  <c r="G94" i="3"/>
  <c r="E94" i="3" l="1"/>
  <c r="H94" i="3" s="1"/>
  <c r="G105" i="3" s="1"/>
  <c r="C105" i="3" l="1"/>
  <c r="D105" i="3" s="1"/>
  <c r="F105" i="3" s="1"/>
  <c r="E105" i="3" l="1"/>
  <c r="H105" i="3" s="1"/>
  <c r="C116" i="3" s="1"/>
  <c r="D116" i="3" s="1"/>
  <c r="F116" i="3" s="1"/>
  <c r="G116" i="3" l="1"/>
  <c r="E116" i="3"/>
  <c r="H116" i="3" s="1"/>
  <c r="G127" i="3" s="1"/>
  <c r="C127" i="3" l="1"/>
  <c r="D127" i="3" s="1"/>
  <c r="F127" i="3" s="1"/>
  <c r="E127" i="3" l="1"/>
  <c r="H127" i="3" s="1"/>
  <c r="C138" i="3" s="1"/>
  <c r="D138" i="3" s="1"/>
  <c r="F138" i="3" s="1"/>
  <c r="E138" i="3" l="1"/>
  <c r="G138" i="3"/>
  <c r="H138" i="3" l="1"/>
  <c r="G32" i="8" s="1"/>
  <c r="G6" i="8" s="1"/>
  <c r="G16" i="8" s="1"/>
  <c r="L6" i="8" s="1"/>
  <c r="C25" i="6" s="1"/>
  <c r="J6" i="9" s="1"/>
  <c r="C7" i="3"/>
  <c r="D7" i="3" s="1"/>
  <c r="F7" i="3" s="1"/>
  <c r="E7" i="3" l="1"/>
  <c r="H7" i="3" s="1"/>
  <c r="C18" i="3" s="1"/>
  <c r="D18" i="3" s="1"/>
  <c r="F18" i="3" s="1"/>
  <c r="G18" i="3" l="1"/>
  <c r="E18" i="3"/>
  <c r="H18" i="3" s="1"/>
  <c r="G29" i="3" s="1"/>
  <c r="C29" i="3" l="1"/>
  <c r="D29" i="3" s="1"/>
  <c r="F29" i="3" s="1"/>
  <c r="E29" i="3" l="1"/>
  <c r="H29" i="3" s="1"/>
  <c r="G40" i="3" s="1"/>
  <c r="C40" i="3" l="1"/>
  <c r="D40" i="3" s="1"/>
  <c r="F40" i="3" s="1"/>
  <c r="E40" i="3" l="1"/>
  <c r="H40" i="3" s="1"/>
  <c r="G51" i="3" s="1"/>
  <c r="C51" i="3" l="1"/>
  <c r="D51" i="3" s="1"/>
  <c r="F51" i="3" s="1"/>
  <c r="E51" i="3" l="1"/>
  <c r="H51" i="3" s="1"/>
  <c r="G62" i="3" s="1"/>
  <c r="C62" i="3" l="1"/>
  <c r="D62" i="3" s="1"/>
  <c r="F62" i="3" s="1"/>
  <c r="E62" i="3"/>
  <c r="H62" i="3" s="1"/>
  <c r="C73" i="3" s="1"/>
  <c r="D73" i="3" s="1"/>
  <c r="F73" i="3" s="1"/>
  <c r="E73" i="3" l="1"/>
  <c r="G73" i="3"/>
  <c r="H73" i="3" l="1"/>
  <c r="C84" i="3" s="1"/>
  <c r="D84" i="3" s="1"/>
  <c r="F84" i="3" s="1"/>
  <c r="E84" i="3" l="1"/>
  <c r="G84" i="3"/>
  <c r="H84" i="3" l="1"/>
  <c r="C95" i="3" s="1"/>
  <c r="D95" i="3" s="1"/>
  <c r="F95" i="3" s="1"/>
  <c r="G95" i="3" l="1"/>
  <c r="E95" i="3"/>
  <c r="H95" i="3" s="1"/>
  <c r="G106" i="3" s="1"/>
  <c r="C106" i="3" l="1"/>
  <c r="D106" i="3" s="1"/>
  <c r="F106" i="3" s="1"/>
  <c r="E106" i="3" l="1"/>
  <c r="H106" i="3" s="1"/>
  <c r="C117" i="3" s="1"/>
  <c r="D117" i="3" s="1"/>
  <c r="F117" i="3" s="1"/>
  <c r="E117" i="3" l="1"/>
  <c r="G117" i="3"/>
  <c r="H117" i="3"/>
  <c r="G128" i="3" s="1"/>
  <c r="C128" i="3" l="1"/>
  <c r="D128" i="3" s="1"/>
  <c r="F128" i="3" s="1"/>
  <c r="E128" i="3" l="1"/>
  <c r="H128" i="3" s="1"/>
  <c r="G139" i="3" s="1"/>
  <c r="C139" i="3" l="1"/>
  <c r="D139" i="3" s="1"/>
  <c r="F139" i="3" s="1"/>
  <c r="E139" i="3" l="1"/>
  <c r="H139" i="3" s="1"/>
  <c r="G33" i="8" l="1"/>
  <c r="G7" i="8" s="1"/>
  <c r="C8" i="3" l="1"/>
  <c r="D8" i="3" s="1"/>
  <c r="G17" i="8"/>
  <c r="L7" i="8" s="1"/>
  <c r="C26" i="6" s="1"/>
  <c r="J7" i="9" s="1"/>
  <c r="F8" i="3" l="1"/>
  <c r="E8" i="3"/>
  <c r="H8" i="3" s="1"/>
  <c r="G19" i="3" l="1"/>
  <c r="C19" i="3"/>
  <c r="D19" i="3" s="1"/>
  <c r="F19" i="3" s="1"/>
  <c r="E19" i="3" l="1"/>
  <c r="H19" i="3" s="1"/>
  <c r="C30" i="3" l="1"/>
  <c r="D30" i="3" s="1"/>
  <c r="F30" i="3" s="1"/>
  <c r="G30" i="3"/>
  <c r="E30" i="3" l="1"/>
  <c r="H30" i="3" s="1"/>
  <c r="C41" i="3" s="1"/>
  <c r="D41" i="3" s="1"/>
  <c r="F41" i="3" s="1"/>
  <c r="G41" i="3" l="1"/>
  <c r="E41" i="3"/>
  <c r="H41" i="3" l="1"/>
  <c r="C52" i="3" s="1"/>
  <c r="D52" i="3" s="1"/>
  <c r="F52" i="3" s="1"/>
  <c r="G52" i="3" l="1"/>
  <c r="E52" i="3"/>
  <c r="H52" i="3" l="1"/>
  <c r="G63" i="3" s="1"/>
  <c r="C63" i="3" l="1"/>
  <c r="D63" i="3" s="1"/>
  <c r="F63" i="3" s="1"/>
  <c r="E63" i="3" l="1"/>
  <c r="H63" i="3" s="1"/>
  <c r="C74" i="3" s="1"/>
  <c r="D74" i="3" s="1"/>
  <c r="F74" i="3" s="1"/>
  <c r="G74" i="3" l="1"/>
  <c r="E74" i="3"/>
  <c r="H74" i="3" l="1"/>
  <c r="G85" i="3" s="1"/>
  <c r="C85" i="3" l="1"/>
  <c r="D85" i="3" s="1"/>
  <c r="F85" i="3" s="1"/>
  <c r="E85" i="3" l="1"/>
  <c r="H85" i="3" s="1"/>
  <c r="C96" i="3" s="1"/>
  <c r="D96" i="3" s="1"/>
  <c r="F96" i="3" s="1"/>
  <c r="G96" i="3" l="1"/>
  <c r="E96" i="3"/>
  <c r="H96" i="3" l="1"/>
  <c r="C107" i="3" s="1"/>
  <c r="D107" i="3" s="1"/>
  <c r="F107" i="3" s="1"/>
  <c r="G107" i="3" l="1"/>
  <c r="E107" i="3"/>
  <c r="H107" i="3" s="1"/>
  <c r="C118" i="3" s="1"/>
  <c r="D118" i="3" s="1"/>
  <c r="F118" i="3" s="1"/>
  <c r="G118" i="3" l="1"/>
  <c r="E118" i="3"/>
  <c r="H118" i="3" l="1"/>
  <c r="G129" i="3" s="1"/>
  <c r="C129" i="3" l="1"/>
  <c r="D129" i="3" s="1"/>
  <c r="F129" i="3" s="1"/>
  <c r="E129" i="3" l="1"/>
  <c r="H129" i="3" s="1"/>
  <c r="G140" i="3" s="1"/>
  <c r="C140" i="3" l="1"/>
  <c r="D140" i="3" s="1"/>
  <c r="F140" i="3" s="1"/>
  <c r="E140" i="3" l="1"/>
  <c r="H140" i="3" s="1"/>
  <c r="G34" i="8" s="1"/>
  <c r="G8" i="8" s="1"/>
  <c r="C9" i="3" s="1"/>
  <c r="D9" i="3" s="1"/>
  <c r="E9" i="3" s="1"/>
  <c r="H9" i="3" s="1"/>
  <c r="G20" i="3" s="1"/>
  <c r="F9" i="3" l="1"/>
  <c r="G18" i="8"/>
  <c r="L8" i="8" s="1"/>
  <c r="C27" i="6" s="1"/>
  <c r="J8" i="9" s="1"/>
  <c r="C20" i="3"/>
  <c r="D20" i="3" s="1"/>
  <c r="F20" i="3" s="1"/>
  <c r="E20" i="3" l="1"/>
  <c r="H20" i="3" s="1"/>
  <c r="G31" i="3" l="1"/>
  <c r="C31" i="3"/>
  <c r="D31" i="3" s="1"/>
  <c r="F31" i="3" s="1"/>
  <c r="E31" i="3" l="1"/>
  <c r="H31" i="3" s="1"/>
  <c r="C42" i="3" l="1"/>
  <c r="D42" i="3" s="1"/>
  <c r="F42" i="3" s="1"/>
  <c r="G42" i="3"/>
  <c r="E42" i="3" l="1"/>
  <c r="H42" i="3" s="1"/>
  <c r="C53" i="3" s="1"/>
  <c r="D53" i="3" s="1"/>
  <c r="F53" i="3" s="1"/>
  <c r="E53" i="3" l="1"/>
  <c r="H53" i="3" s="1"/>
  <c r="C64" i="3" s="1"/>
  <c r="D64" i="3" s="1"/>
  <c r="F64" i="3" s="1"/>
  <c r="G53" i="3"/>
  <c r="E64" i="3" l="1"/>
  <c r="G64" i="3"/>
  <c r="H64" i="3" l="1"/>
  <c r="C75" i="3" l="1"/>
  <c r="D75" i="3" s="1"/>
  <c r="F75" i="3" s="1"/>
  <c r="G75" i="3"/>
  <c r="E75" i="3" l="1"/>
  <c r="H75" i="3" s="1"/>
  <c r="G86" i="3" s="1"/>
  <c r="C86" i="3" l="1"/>
  <c r="D86" i="3" s="1"/>
  <c r="F86" i="3" s="1"/>
  <c r="E86" i="3" l="1"/>
  <c r="H86" i="3" s="1"/>
  <c r="G97" i="3" s="1"/>
  <c r="C97" i="3" l="1"/>
  <c r="D97" i="3" s="1"/>
  <c r="F97" i="3" s="1"/>
  <c r="E97" i="3" l="1"/>
  <c r="H97" i="3" s="1"/>
  <c r="C108" i="3" l="1"/>
  <c r="D108" i="3" s="1"/>
  <c r="F108" i="3" s="1"/>
  <c r="G108" i="3"/>
  <c r="E108" i="3" l="1"/>
  <c r="H108" i="3" s="1"/>
  <c r="G119" i="3" s="1"/>
  <c r="C119" i="3" l="1"/>
  <c r="D119" i="3" s="1"/>
  <c r="F119" i="3" l="1"/>
  <c r="E119" i="3"/>
  <c r="H119" i="3" s="1"/>
  <c r="G130" i="3" l="1"/>
  <c r="C130" i="3"/>
  <c r="D130" i="3" s="1"/>
  <c r="F130" i="3" s="1"/>
  <c r="E130" i="3" l="1"/>
  <c r="H130" i="3" s="1"/>
  <c r="C141" i="3" l="1"/>
  <c r="D141" i="3" s="1"/>
  <c r="F141" i="3" s="1"/>
  <c r="G141" i="3"/>
  <c r="E141" i="3" l="1"/>
  <c r="H141" i="3" s="1"/>
  <c r="G35" i="8" l="1"/>
  <c r="G9" i="8" s="1"/>
  <c r="C10" i="3" l="1"/>
  <c r="D10" i="3" s="1"/>
  <c r="F10" i="3" s="1"/>
  <c r="G19" i="8"/>
  <c r="G23" i="8" s="1"/>
  <c r="E10" i="3" l="1"/>
  <c r="H10" i="3" s="1"/>
  <c r="C21" i="3" s="1"/>
  <c r="D21" i="3" s="1"/>
  <c r="F21" i="3" s="1"/>
  <c r="L9" i="8"/>
  <c r="L13" i="8" l="1"/>
  <c r="D8" i="9" s="1"/>
  <c r="D12" i="9" s="1"/>
  <c r="C28" i="6"/>
  <c r="C71" i="11" s="1"/>
  <c r="D71" i="11" s="1"/>
  <c r="E71" i="11" s="1"/>
  <c r="F71" i="11" s="1"/>
  <c r="D10" i="9" s="1"/>
  <c r="F10" i="9" s="1"/>
  <c r="G21" i="3"/>
  <c r="I9" i="9"/>
  <c r="K9" i="9" s="1"/>
  <c r="E21" i="3"/>
  <c r="H21" i="3" s="1"/>
  <c r="D13" i="9" l="1"/>
  <c r="I3" i="9" s="1"/>
  <c r="K3" i="9" s="1"/>
  <c r="G32" i="3"/>
  <c r="C32" i="3"/>
  <c r="D32" i="3" s="1"/>
  <c r="F32" i="3" s="1"/>
  <c r="I5" i="9" l="1"/>
  <c r="K5" i="9" s="1"/>
  <c r="I6" i="9"/>
  <c r="K6" i="9" s="1"/>
  <c r="I7" i="9"/>
  <c r="K7" i="9" s="1"/>
  <c r="I8" i="9"/>
  <c r="K8" i="9" s="1"/>
  <c r="I4" i="9"/>
  <c r="K4" i="9" s="1"/>
  <c r="I2" i="9"/>
  <c r="K2" i="9" s="1"/>
  <c r="L2" i="9" s="1"/>
  <c r="L3" i="9" s="1"/>
  <c r="E32" i="3"/>
  <c r="H32" i="3" s="1"/>
  <c r="L4" i="9" l="1"/>
  <c r="L5" i="9" s="1"/>
  <c r="L6" i="9" s="1"/>
  <c r="L7" i="9" s="1"/>
  <c r="L8" i="9" s="1"/>
  <c r="L9" i="9" s="1"/>
  <c r="K13" i="9"/>
  <c r="L13" i="9" s="1"/>
  <c r="C43" i="3"/>
  <c r="D43" i="3" s="1"/>
  <c r="F43" i="3" s="1"/>
  <c r="G43" i="3"/>
  <c r="M13" i="9" l="1"/>
  <c r="M15" i="9" s="1"/>
  <c r="O13" i="9"/>
  <c r="O15" i="9" s="1"/>
  <c r="K19" i="9"/>
  <c r="M8" i="9" s="1"/>
  <c r="N8" i="9" s="1"/>
  <c r="O19" i="9"/>
  <c r="O17" i="9"/>
  <c r="N13" i="9"/>
  <c r="N15" i="9" s="1"/>
  <c r="E43" i="3"/>
  <c r="H43" i="3" s="1"/>
  <c r="K20" i="9" l="1"/>
  <c r="P5" i="9" s="1"/>
  <c r="Q5" i="9" s="1"/>
  <c r="R5" i="9" s="1"/>
  <c r="M3" i="9"/>
  <c r="O3" i="9" s="1"/>
  <c r="M7" i="9"/>
  <c r="N7" i="9" s="1"/>
  <c r="M9" i="9"/>
  <c r="N9" i="9" s="1"/>
  <c r="M5" i="9"/>
  <c r="N5" i="9" s="1"/>
  <c r="O5" i="9" s="1"/>
  <c r="M11" i="9"/>
  <c r="O11" i="9" s="1"/>
  <c r="M6" i="9"/>
  <c r="N6" i="9" s="1"/>
  <c r="O6" i="9" s="1"/>
  <c r="M2" i="9"/>
  <c r="O2" i="9" s="1"/>
  <c r="M10" i="9"/>
  <c r="O10" i="9" s="1"/>
  <c r="M4" i="9"/>
  <c r="N4" i="9" s="1"/>
  <c r="O4" i="9" s="1"/>
  <c r="K21" i="9"/>
  <c r="K22" i="9"/>
  <c r="D19" i="9" s="1"/>
  <c r="O8" i="9"/>
  <c r="C54" i="3"/>
  <c r="D54" i="3" s="1"/>
  <c r="F54" i="3" s="1"/>
  <c r="G54" i="3"/>
  <c r="O9" i="9" l="1"/>
  <c r="D23" i="9"/>
  <c r="I23" i="12"/>
  <c r="F43" i="12"/>
  <c r="H5" i="12"/>
  <c r="N10" i="9"/>
  <c r="P3" i="9"/>
  <c r="Q3" i="9" s="1"/>
  <c r="P8" i="9"/>
  <c r="Q8" i="9" s="1"/>
  <c r="R8" i="9" s="1"/>
  <c r="P10" i="9"/>
  <c r="Q10" i="9" s="1"/>
  <c r="P7" i="9"/>
  <c r="Q7" i="9" s="1"/>
  <c r="R7" i="9" s="1"/>
  <c r="P2" i="9"/>
  <c r="R2" i="9" s="1"/>
  <c r="P4" i="9"/>
  <c r="P9" i="9"/>
  <c r="P11" i="9"/>
  <c r="P6" i="9"/>
  <c r="Q6" i="9" s="1"/>
  <c r="R6" i="9" s="1"/>
  <c r="N11" i="9"/>
  <c r="N3" i="9"/>
  <c r="O7" i="9"/>
  <c r="R10" i="9"/>
  <c r="V4" i="9"/>
  <c r="W4" i="9" s="1"/>
  <c r="V10" i="9"/>
  <c r="W10" i="9" s="1"/>
  <c r="V2" i="9"/>
  <c r="X2" i="9" s="1"/>
  <c r="S6" i="9"/>
  <c r="T6" i="9" s="1"/>
  <c r="S10" i="9"/>
  <c r="T10" i="9" s="1"/>
  <c r="S8" i="9"/>
  <c r="T8" i="9" s="1"/>
  <c r="S4" i="9"/>
  <c r="T4" i="9" s="1"/>
  <c r="V7" i="9"/>
  <c r="W7" i="9" s="1"/>
  <c r="V8" i="9"/>
  <c r="X8" i="9" s="1"/>
  <c r="S5" i="9"/>
  <c r="T5" i="9" s="1"/>
  <c r="V9" i="9"/>
  <c r="W9" i="9" s="1"/>
  <c r="V6" i="9"/>
  <c r="W6" i="9" s="1"/>
  <c r="N2" i="9"/>
  <c r="S2" i="9"/>
  <c r="T2" i="9" s="1"/>
  <c r="V11" i="9"/>
  <c r="X11" i="9" s="1"/>
  <c r="S7" i="9"/>
  <c r="S9" i="9"/>
  <c r="S3" i="9"/>
  <c r="S11" i="9"/>
  <c r="T11" i="9" s="1"/>
  <c r="V3" i="9"/>
  <c r="X3" i="9" s="1"/>
  <c r="V5" i="9"/>
  <c r="X5" i="9" s="1"/>
  <c r="D15" i="9"/>
  <c r="D18" i="9" s="1"/>
  <c r="O24" i="9" a="1"/>
  <c r="O24" i="9" s="1"/>
  <c r="O29" i="9" s="1"/>
  <c r="E54" i="3"/>
  <c r="H54" i="3" s="1"/>
  <c r="U7" i="9" l="1"/>
  <c r="T7" i="9"/>
  <c r="U3" i="9"/>
  <c r="T3" i="9"/>
  <c r="R3" i="9"/>
  <c r="U9" i="9"/>
  <c r="T9" i="9"/>
  <c r="D22" i="9"/>
  <c r="Q2" i="9"/>
  <c r="U6" i="9"/>
  <c r="Q11" i="9"/>
  <c r="R11" i="9"/>
  <c r="R9" i="9"/>
  <c r="Q9" i="9"/>
  <c r="Q4" i="9"/>
  <c r="R4" i="9" s="1"/>
  <c r="N24" i="9" a="1"/>
  <c r="N24" i="9" s="1"/>
  <c r="U4" i="9"/>
  <c r="X4" i="9"/>
  <c r="X9" i="9"/>
  <c r="W2" i="9"/>
  <c r="X10" i="9"/>
  <c r="W8" i="9"/>
  <c r="U11" i="9"/>
  <c r="W3" i="9"/>
  <c r="X6" i="9"/>
  <c r="U8" i="9"/>
  <c r="W11" i="9"/>
  <c r="U10" i="9"/>
  <c r="U5" i="9"/>
  <c r="W5" i="9"/>
  <c r="X7" i="9"/>
  <c r="U2" i="9"/>
  <c r="D16" i="9"/>
  <c r="G65" i="3"/>
  <c r="C65" i="3"/>
  <c r="D65" i="3" s="1"/>
  <c r="F65" i="3" s="1"/>
  <c r="X24" i="9" l="1" a="1"/>
  <c r="X24" i="9" s="1"/>
  <c r="Q24" i="9" a="1"/>
  <c r="Q24" i="9" s="1"/>
  <c r="R24" i="9" a="1"/>
  <c r="R30" i="9" s="1"/>
  <c r="D20" i="9"/>
  <c r="T24" i="9" a="1"/>
  <c r="T24" i="9" s="1"/>
  <c r="W24" i="9" a="1"/>
  <c r="W24" i="9" s="1"/>
  <c r="U24" i="9" a="1"/>
  <c r="E65" i="3"/>
  <c r="H65" i="3" s="1"/>
  <c r="G76" i="3" s="1"/>
  <c r="U24" i="9" l="1"/>
  <c r="U29" i="9" s="1"/>
  <c r="U30" i="9"/>
  <c r="U31" i="9"/>
  <c r="D17" i="9"/>
  <c r="F21" i="9" s="1"/>
  <c r="R24" i="9"/>
  <c r="R29" i="9" s="1"/>
  <c r="C76" i="3"/>
  <c r="D76" i="3" s="1"/>
  <c r="F76" i="3" s="1"/>
  <c r="D21" i="9" l="1"/>
  <c r="E76" i="3"/>
  <c r="H76" i="3" s="1"/>
  <c r="G87" i="3" s="1"/>
  <c r="C87" i="3" l="1"/>
  <c r="D87" i="3" s="1"/>
  <c r="F87" i="3" s="1"/>
  <c r="E87" i="3" l="1"/>
  <c r="H87" i="3" s="1"/>
  <c r="G98" i="3" s="1"/>
  <c r="C98" i="3" l="1"/>
  <c r="D98" i="3" s="1"/>
  <c r="F98" i="3" s="1"/>
  <c r="E98" i="3" l="1"/>
  <c r="H98" i="3" s="1"/>
  <c r="G109" i="3" s="1"/>
  <c r="C109" i="3" l="1"/>
  <c r="D109" i="3" s="1"/>
  <c r="F109" i="3" s="1"/>
  <c r="E109" i="3" l="1"/>
  <c r="H109" i="3" s="1"/>
  <c r="G120" i="3" s="1"/>
  <c r="C120" i="3" l="1"/>
  <c r="D120" i="3" s="1"/>
  <c r="F120" i="3" s="1"/>
  <c r="E120" i="3" l="1"/>
  <c r="H120" i="3" s="1"/>
  <c r="G131" i="3" s="1"/>
  <c r="C131" i="3" l="1"/>
  <c r="D131" i="3" s="1"/>
  <c r="F131" i="3" s="1"/>
  <c r="E131" i="3" l="1"/>
  <c r="H131" i="3" s="1"/>
  <c r="G142" i="3" s="1"/>
  <c r="C142" i="3" l="1"/>
  <c r="D142" i="3" s="1"/>
  <c r="F142" i="3" s="1"/>
  <c r="E142" i="3" l="1"/>
  <c r="H142" i="3" s="1"/>
  <c r="D24" i="9"/>
  <c r="D25" i="9" s="1"/>
  <c r="E4" i="12" a="1"/>
  <c r="E4" i="12" s="1"/>
  <c r="F20" i="12" a="1"/>
  <c r="F20" i="12" s="1"/>
  <c r="F23" i="12" a="1"/>
  <c r="F23" i="12" s="1"/>
  <c r="F22" i="12" a="1"/>
  <c r="F22" i="12" s="1"/>
  <c r="C42" i="12" s="1"/>
  <c r="F21" i="12" a="1"/>
  <c r="F21" i="12" s="1"/>
  <c r="E2" i="12" a="1"/>
  <c r="E2" i="12" s="1"/>
  <c r="E3" i="12" a="1"/>
  <c r="E3" i="12" s="1"/>
  <c r="E5" i="12" a="1"/>
  <c r="E5" i="12" s="1"/>
  <c r="D26" i="9" a="1"/>
  <c r="D26" i="9" s="1"/>
  <c r="D29" i="9" a="1"/>
  <c r="D29" i="9" s="1"/>
  <c r="D28" i="9" a="1"/>
  <c r="D28" i="9" s="1"/>
  <c r="D27" i="9" a="1"/>
  <c r="D27" i="9" s="1"/>
  <c r="F4" i="12" l="1"/>
  <c r="G4" i="12" s="1"/>
  <c r="H4" i="12" s="1"/>
  <c r="F3" i="12"/>
  <c r="G3" i="12" s="1"/>
  <c r="H3" i="12" s="1"/>
  <c r="F5" i="12"/>
  <c r="G5" i="12" s="1"/>
  <c r="F2" i="12"/>
  <c r="G2" i="12" s="1"/>
  <c r="H2" i="12" s="1"/>
  <c r="G21" i="12"/>
  <c r="H21" i="12" s="1"/>
  <c r="I21" i="12" s="1"/>
  <c r="C41" i="12"/>
  <c r="G20" i="12"/>
  <c r="H20" i="12" s="1"/>
  <c r="I20" i="12" s="1"/>
  <c r="G22" i="12"/>
  <c r="H22" i="12" s="1"/>
  <c r="I22" i="12" s="1"/>
  <c r="D42" i="12"/>
  <c r="E42" i="12" s="1"/>
  <c r="F42" i="12" s="1"/>
  <c r="G23" i="12"/>
  <c r="H23" i="12" s="1"/>
  <c r="C43" i="12"/>
  <c r="D43" i="12" s="1"/>
  <c r="E43" i="12" s="1"/>
  <c r="C40" i="12"/>
  <c r="D40" i="12" s="1"/>
  <c r="E40" i="12" s="1"/>
  <c r="F40" i="12" s="1"/>
  <c r="D41" i="12" l="1"/>
  <c r="E41" i="12" s="1"/>
  <c r="F41" i="12" s="1"/>
  <c r="F9" i="9"/>
  <c r="F8" i="9"/>
</calcChain>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xmlns:xlrd="http://schemas.microsoft.com/office/spreadsheetml/2017/richdata" uri="{3e2802c4-a4d2-4d8b-9148-e3be6c30e623}">
          <xlrd:rvb i="0"/>
        </ext>
      </extLst>
    </bk>
    <bk>
      <extLst>
        <ext xmlns:xlrd="http://schemas.microsoft.com/office/spreadsheetml/2017/richdata"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<sst xmlns="http://schemas.openxmlformats.org/spreadsheetml/2006/main" count="1056" uniqueCount="568">
  <si>
    <t>Description</t>
    <phoneticPr fontId="4" type="noConversion"/>
  </si>
  <si>
    <t>Numerical value</t>
    <phoneticPr fontId="4" type="noConversion"/>
  </si>
  <si>
    <t>Unit</t>
    <phoneticPr fontId="4" type="noConversion"/>
  </si>
  <si>
    <t>G</t>
    <phoneticPr fontId="4" type="noConversion"/>
  </si>
  <si>
    <t>Design specific gravity of the liquid to be stored</t>
    <phoneticPr fontId="4" type="noConversion"/>
  </si>
  <si>
    <t>CA</t>
    <phoneticPr fontId="4" type="noConversion"/>
  </si>
  <si>
    <t>Corrosion allowance</t>
    <phoneticPr fontId="4" type="noConversion"/>
  </si>
  <si>
    <t>in</t>
    <phoneticPr fontId="4" type="noConversion"/>
  </si>
  <si>
    <t>D</t>
    <phoneticPr fontId="4" type="noConversion"/>
  </si>
  <si>
    <t>Nominal tank diameter</t>
    <phoneticPr fontId="4" type="noConversion"/>
  </si>
  <si>
    <t>ft</t>
    <phoneticPr fontId="4" type="noConversion"/>
  </si>
  <si>
    <r>
      <t>D</t>
    </r>
    <r>
      <rPr>
        <sz val="11"/>
        <color theme="1"/>
        <rFont val="等线"/>
        <family val="2"/>
        <charset val="134"/>
      </rPr>
      <t>≤</t>
    </r>
    <r>
      <rPr>
        <sz val="11"/>
        <color theme="1"/>
        <rFont val="Calibri"/>
        <family val="2"/>
        <charset val="134"/>
        <scheme val="minor"/>
      </rPr>
      <t>200</t>
    </r>
    <phoneticPr fontId="4" type="noConversion"/>
  </si>
  <si>
    <t>H</t>
    <phoneticPr fontId="4" type="noConversion"/>
  </si>
  <si>
    <t>Design liquid level</t>
    <phoneticPr fontId="4" type="noConversion"/>
  </si>
  <si>
    <t>Height of the tank</t>
    <phoneticPr fontId="4" type="noConversion"/>
  </si>
  <si>
    <t>Number of shell courses</t>
    <phoneticPr fontId="4" type="noConversion"/>
  </si>
  <si>
    <r>
      <t>S</t>
    </r>
    <r>
      <rPr>
        <vertAlign val="subscript"/>
        <sz val="11"/>
        <color theme="1"/>
        <rFont val="Calibri"/>
        <family val="3"/>
        <charset val="134"/>
        <scheme val="minor"/>
      </rPr>
      <t>d</t>
    </r>
    <phoneticPr fontId="4" type="noConversion"/>
  </si>
  <si>
    <t>Allowable stress for the design condition</t>
    <phoneticPr fontId="4" type="noConversion"/>
  </si>
  <si>
    <t>lbf/in.2</t>
    <phoneticPr fontId="4" type="noConversion"/>
  </si>
  <si>
    <r>
      <t>S</t>
    </r>
    <r>
      <rPr>
        <vertAlign val="subscript"/>
        <sz val="11"/>
        <color theme="1"/>
        <rFont val="Calibri"/>
        <family val="3"/>
        <charset val="134"/>
        <scheme val="minor"/>
      </rPr>
      <t>t</t>
    </r>
    <phoneticPr fontId="4" type="noConversion"/>
  </si>
  <si>
    <t>Allowable stress for the hydrostatic test condition</t>
    <phoneticPr fontId="4" type="noConversion"/>
  </si>
  <si>
    <r>
      <t>h</t>
    </r>
    <r>
      <rPr>
        <vertAlign val="subscript"/>
        <sz val="11"/>
        <color theme="1"/>
        <rFont val="Calibri"/>
        <family val="3"/>
        <charset val="134"/>
        <scheme val="minor"/>
      </rPr>
      <t>i</t>
    </r>
    <phoneticPr fontId="4" type="noConversion"/>
  </si>
  <si>
    <t>Height of each course</t>
    <phoneticPr fontId="4" type="noConversion"/>
  </si>
  <si>
    <t>L</t>
  </si>
  <si>
    <t>Formula/value</t>
    <phoneticPr fontId="4" type="noConversion"/>
  </si>
  <si>
    <t>L/H</t>
  </si>
  <si>
    <t>(≤2)</t>
    <phoneticPr fontId="4" type="noConversion"/>
  </si>
  <si>
    <r>
      <t>t</t>
    </r>
    <r>
      <rPr>
        <vertAlign val="subscript"/>
        <sz val="11"/>
        <color theme="1"/>
        <rFont val="Calibri"/>
        <family val="3"/>
        <charset val="134"/>
        <scheme val="minor"/>
      </rPr>
      <t>d</t>
    </r>
    <phoneticPr fontId="4" type="noConversion"/>
  </si>
  <si>
    <t>design shell thickness</t>
    <phoneticPr fontId="4" type="noConversion"/>
  </si>
  <si>
    <r>
      <rPr>
        <sz val="11"/>
        <color theme="1"/>
        <rFont val="Calibri"/>
        <family val="3"/>
        <charset val="134"/>
        <scheme val="minor"/>
      </rPr>
      <t>2.6</t>
    </r>
    <r>
      <rPr>
        <sz val="11"/>
        <color theme="1"/>
        <rFont val="Calibri"/>
        <family val="2"/>
        <charset val="134"/>
        <scheme val="minor"/>
      </rPr>
      <t>D(H-1)G/S</t>
    </r>
    <r>
      <rPr>
        <vertAlign val="subscript"/>
        <sz val="11"/>
        <color theme="1"/>
        <rFont val="Calibri"/>
        <family val="3"/>
        <charset val="134"/>
        <scheme val="minor"/>
      </rPr>
      <t>d</t>
    </r>
    <r>
      <rPr>
        <sz val="11"/>
        <color theme="1"/>
        <rFont val="Calibri"/>
        <family val="3"/>
        <charset val="134"/>
        <scheme val="minor"/>
      </rPr>
      <t>+CA</t>
    </r>
    <phoneticPr fontId="4" type="noConversion"/>
  </si>
  <si>
    <r>
      <t>t</t>
    </r>
    <r>
      <rPr>
        <vertAlign val="subscript"/>
        <sz val="11"/>
        <color theme="1"/>
        <rFont val="Calibri"/>
        <family val="3"/>
        <charset val="134"/>
        <scheme val="minor"/>
      </rPr>
      <t>t</t>
    </r>
    <phoneticPr fontId="4" type="noConversion"/>
  </si>
  <si>
    <t>hydrostatic test shell thickness</t>
    <phoneticPr fontId="4" type="noConversion"/>
  </si>
  <si>
    <r>
      <t>2.6D(H-1)/S</t>
    </r>
    <r>
      <rPr>
        <vertAlign val="subscript"/>
        <sz val="11"/>
        <color theme="1"/>
        <rFont val="Calibri"/>
        <family val="3"/>
        <charset val="134"/>
        <scheme val="minor"/>
      </rPr>
      <t>t</t>
    </r>
    <phoneticPr fontId="4" type="noConversion"/>
  </si>
  <si>
    <t>&lt;=tpt</t>
  </si>
  <si>
    <r>
      <t>t</t>
    </r>
    <r>
      <rPr>
        <vertAlign val="subscript"/>
        <sz val="11"/>
        <color theme="1"/>
        <rFont val="Calibri"/>
        <family val="3"/>
        <charset val="134"/>
        <scheme val="minor"/>
      </rPr>
      <t>1d</t>
    </r>
    <phoneticPr fontId="4" type="noConversion"/>
  </si>
  <si>
    <t>bottom-course thickness for the design condition</t>
    <phoneticPr fontId="4" type="noConversion"/>
  </si>
  <si>
    <r>
      <t>(1.06-0.463D*sqrt(HG/S</t>
    </r>
    <r>
      <rPr>
        <vertAlign val="subscript"/>
        <sz val="11"/>
        <color theme="1"/>
        <rFont val="Calibri"/>
        <family val="3"/>
        <charset val="134"/>
        <scheme val="minor"/>
      </rPr>
      <t>d</t>
    </r>
    <r>
      <rPr>
        <sz val="11"/>
        <color theme="1"/>
        <rFont val="Calibri"/>
        <family val="2"/>
        <charset val="134"/>
        <scheme val="minor"/>
      </rPr>
      <t>)/H)*(2.6HDG/S</t>
    </r>
    <r>
      <rPr>
        <vertAlign val="subscript"/>
        <sz val="11"/>
        <color theme="1"/>
        <rFont val="Calibri"/>
        <family val="3"/>
        <charset val="134"/>
        <scheme val="minor"/>
      </rPr>
      <t>d</t>
    </r>
    <r>
      <rPr>
        <sz val="11"/>
        <color theme="1"/>
        <rFont val="Calibri"/>
        <family val="3"/>
        <charset val="134"/>
        <scheme val="minor"/>
      </rPr>
      <t>)+CA</t>
    </r>
    <phoneticPr fontId="4" type="noConversion"/>
  </si>
  <si>
    <r>
      <t>t</t>
    </r>
    <r>
      <rPr>
        <vertAlign val="subscript"/>
        <sz val="11"/>
        <color theme="1"/>
        <rFont val="Calibri"/>
        <family val="3"/>
        <charset val="134"/>
        <scheme val="minor"/>
      </rPr>
      <t>1t</t>
    </r>
    <phoneticPr fontId="4" type="noConversion"/>
  </si>
  <si>
    <t>bottom-course thickness for the hydrostatic condition</t>
    <phoneticPr fontId="4" type="noConversion"/>
  </si>
  <si>
    <r>
      <t>(1.06-0.463D*sqrt(H/S</t>
    </r>
    <r>
      <rPr>
        <vertAlign val="subscript"/>
        <sz val="11"/>
        <color theme="1"/>
        <rFont val="Calibri"/>
        <family val="3"/>
        <charset val="134"/>
        <scheme val="minor"/>
      </rPr>
      <t>t</t>
    </r>
    <r>
      <rPr>
        <sz val="11"/>
        <color theme="1"/>
        <rFont val="Calibri"/>
        <family val="2"/>
        <charset val="134"/>
        <scheme val="minor"/>
      </rPr>
      <t>)/H)*(2.6HD/S</t>
    </r>
    <r>
      <rPr>
        <vertAlign val="subscript"/>
        <sz val="11"/>
        <color theme="1"/>
        <rFont val="Calibri"/>
        <family val="3"/>
        <charset val="134"/>
        <scheme val="minor"/>
      </rPr>
      <t>t</t>
    </r>
    <r>
      <rPr>
        <sz val="11"/>
        <color theme="1"/>
        <rFont val="Calibri"/>
        <family val="3"/>
        <charset val="134"/>
        <scheme val="minor"/>
      </rPr>
      <t>)</t>
    </r>
    <phoneticPr fontId="4" type="noConversion"/>
  </si>
  <si>
    <t>r</t>
    <phoneticPr fontId="4" type="noConversion"/>
  </si>
  <si>
    <t>nominal tank radius</t>
    <phoneticPr fontId="4" type="noConversion"/>
  </si>
  <si>
    <t>ratio</t>
    <phoneticPr fontId="4" type="noConversion"/>
  </si>
  <si>
    <r>
      <t>h</t>
    </r>
    <r>
      <rPr>
        <vertAlign val="subscript"/>
        <sz val="11"/>
        <color theme="1"/>
        <rFont val="Calibri"/>
        <family val="3"/>
        <charset val="134"/>
        <scheme val="minor"/>
      </rPr>
      <t>1</t>
    </r>
    <r>
      <rPr>
        <sz val="11"/>
        <color theme="1"/>
        <rFont val="Calibri"/>
        <family val="3"/>
        <charset val="134"/>
        <scheme val="minor"/>
      </rPr>
      <t>/(rt</t>
    </r>
    <r>
      <rPr>
        <vertAlign val="subscript"/>
        <sz val="11"/>
        <color theme="1"/>
        <rFont val="Calibri"/>
        <family val="3"/>
        <charset val="134"/>
        <scheme val="minor"/>
      </rPr>
      <t>1</t>
    </r>
    <r>
      <rPr>
        <sz val="11"/>
        <color theme="1"/>
        <rFont val="Calibri"/>
        <family val="3"/>
        <charset val="134"/>
        <scheme val="minor"/>
      </rPr>
      <t>)</t>
    </r>
    <r>
      <rPr>
        <vertAlign val="superscript"/>
        <sz val="11"/>
        <color theme="1"/>
        <rFont val="Calibri"/>
        <family val="3"/>
        <charset val="134"/>
        <scheme val="minor"/>
      </rPr>
      <t>0.5</t>
    </r>
    <phoneticPr fontId="4" type="noConversion"/>
  </si>
  <si>
    <r>
      <t>t</t>
    </r>
    <r>
      <rPr>
        <vertAlign val="subscript"/>
        <sz val="11"/>
        <color theme="1"/>
        <rFont val="Calibri"/>
        <family val="3"/>
        <charset val="134"/>
        <scheme val="minor"/>
      </rPr>
      <t>L</t>
    </r>
    <phoneticPr fontId="4" type="noConversion"/>
  </si>
  <si>
    <t>corroded thickness of the lower course at the girth joint</t>
    <phoneticPr fontId="4" type="noConversion"/>
  </si>
  <si>
    <r>
      <t>t</t>
    </r>
    <r>
      <rPr>
        <vertAlign val="subscript"/>
        <sz val="11"/>
        <color theme="1"/>
        <rFont val="Calibri"/>
        <family val="3"/>
        <charset val="134"/>
        <scheme val="minor"/>
      </rPr>
      <t>u</t>
    </r>
    <phoneticPr fontId="4" type="noConversion"/>
  </si>
  <si>
    <t>corroded thickness of the upper course at the girth joint</t>
    <phoneticPr fontId="4" type="noConversion"/>
  </si>
  <si>
    <t>K</t>
    <phoneticPr fontId="4" type="noConversion"/>
  </si>
  <si>
    <r>
      <t>t</t>
    </r>
    <r>
      <rPr>
        <vertAlign val="subscript"/>
        <sz val="11"/>
        <color theme="1"/>
        <rFont val="Calibri"/>
        <family val="3"/>
        <charset val="134"/>
        <scheme val="minor"/>
      </rPr>
      <t>L</t>
    </r>
    <r>
      <rPr>
        <sz val="11"/>
        <color theme="1"/>
        <rFont val="Calibri"/>
        <family val="2"/>
        <charset val="134"/>
        <scheme val="minor"/>
      </rPr>
      <t>/t</t>
    </r>
    <r>
      <rPr>
        <vertAlign val="subscript"/>
        <sz val="11"/>
        <color theme="1"/>
        <rFont val="Calibri"/>
        <family val="3"/>
        <charset val="134"/>
        <scheme val="minor"/>
      </rPr>
      <t>u</t>
    </r>
    <phoneticPr fontId="4" type="noConversion"/>
  </si>
  <si>
    <t>C</t>
    <phoneticPr fontId="4" type="noConversion"/>
  </si>
  <si>
    <r>
      <rPr>
        <sz val="11"/>
        <color theme="1"/>
        <rFont val="Calibri"/>
        <family val="3"/>
        <charset val="134"/>
        <scheme val="minor"/>
      </rPr>
      <t>[</t>
    </r>
    <r>
      <rPr>
        <sz val="11"/>
        <color theme="1"/>
        <rFont val="Calibri"/>
        <family val="2"/>
        <charset val="134"/>
        <scheme val="minor"/>
      </rPr>
      <t>K</t>
    </r>
    <r>
      <rPr>
        <vertAlign val="superscript"/>
        <sz val="11"/>
        <color theme="1"/>
        <rFont val="Calibri"/>
        <family val="3"/>
        <charset val="134"/>
        <scheme val="minor"/>
      </rPr>
      <t>0.5</t>
    </r>
    <r>
      <rPr>
        <sz val="11"/>
        <color theme="1"/>
        <rFont val="Calibri"/>
        <family val="3"/>
        <charset val="134"/>
        <scheme val="minor"/>
      </rPr>
      <t>(K-1)]/(1+K</t>
    </r>
    <r>
      <rPr>
        <vertAlign val="superscript"/>
        <sz val="11"/>
        <color theme="1"/>
        <rFont val="Calibri"/>
        <family val="3"/>
        <charset val="134"/>
        <scheme val="minor"/>
      </rPr>
      <t>1.5</t>
    </r>
    <r>
      <rPr>
        <sz val="11"/>
        <color theme="1"/>
        <rFont val="Calibri"/>
        <family val="3"/>
        <charset val="134"/>
        <scheme val="minor"/>
      </rPr>
      <t>)</t>
    </r>
    <phoneticPr fontId="4" type="noConversion"/>
  </si>
  <si>
    <r>
      <t>x</t>
    </r>
    <r>
      <rPr>
        <vertAlign val="subscript"/>
        <sz val="11"/>
        <color theme="1"/>
        <rFont val="Calibri"/>
        <family val="3"/>
        <charset val="134"/>
        <scheme val="minor"/>
      </rPr>
      <t>1</t>
    </r>
    <phoneticPr fontId="4" type="noConversion"/>
  </si>
  <si>
    <r>
      <t>0.61(rt</t>
    </r>
    <r>
      <rPr>
        <vertAlign val="subscript"/>
        <sz val="11"/>
        <color theme="1"/>
        <rFont val="Calibri"/>
        <family val="3"/>
        <charset val="134"/>
        <scheme val="minor"/>
      </rPr>
      <t>u</t>
    </r>
    <r>
      <rPr>
        <sz val="11"/>
        <color theme="1"/>
        <rFont val="Calibri"/>
        <family val="3"/>
        <charset val="134"/>
        <scheme val="minor"/>
      </rPr>
      <t>)</t>
    </r>
    <r>
      <rPr>
        <vertAlign val="superscript"/>
        <sz val="11"/>
        <color theme="1"/>
        <rFont val="Calibri"/>
        <family val="3"/>
        <charset val="134"/>
        <scheme val="minor"/>
      </rPr>
      <t>0.5</t>
    </r>
    <r>
      <rPr>
        <sz val="11"/>
        <color theme="1"/>
        <rFont val="Calibri"/>
        <family val="3"/>
        <charset val="134"/>
        <scheme val="minor"/>
      </rPr>
      <t>+3.84CH</t>
    </r>
    <phoneticPr fontId="4" type="noConversion"/>
  </si>
  <si>
    <r>
      <t>x</t>
    </r>
    <r>
      <rPr>
        <vertAlign val="subscript"/>
        <sz val="11"/>
        <color theme="1"/>
        <rFont val="Calibri"/>
        <family val="3"/>
        <charset val="134"/>
        <scheme val="minor"/>
      </rPr>
      <t>2</t>
    </r>
    <phoneticPr fontId="4" type="noConversion"/>
  </si>
  <si>
    <t>12CH</t>
    <phoneticPr fontId="4" type="noConversion"/>
  </si>
  <si>
    <r>
      <t>x</t>
    </r>
    <r>
      <rPr>
        <vertAlign val="subscript"/>
        <sz val="11"/>
        <color theme="1"/>
        <rFont val="Calibri"/>
        <family val="3"/>
        <charset val="134"/>
        <scheme val="minor"/>
      </rPr>
      <t>3</t>
    </r>
    <phoneticPr fontId="4" type="noConversion"/>
  </si>
  <si>
    <r>
      <t>1.22(rt</t>
    </r>
    <r>
      <rPr>
        <vertAlign val="subscript"/>
        <sz val="11"/>
        <color theme="1"/>
        <rFont val="Calibri"/>
        <family val="3"/>
        <charset val="134"/>
        <scheme val="minor"/>
      </rPr>
      <t>u</t>
    </r>
    <r>
      <rPr>
        <sz val="11"/>
        <color theme="1"/>
        <rFont val="Calibri"/>
        <family val="3"/>
        <charset val="134"/>
        <scheme val="minor"/>
      </rPr>
      <t>)</t>
    </r>
    <r>
      <rPr>
        <vertAlign val="superscript"/>
        <sz val="11"/>
        <color theme="1"/>
        <rFont val="Calibri"/>
        <family val="3"/>
        <charset val="134"/>
        <scheme val="minor"/>
      </rPr>
      <t>0.5</t>
    </r>
    <phoneticPr fontId="4" type="noConversion"/>
  </si>
  <si>
    <t>Top and Intermediate Stiffening Rings (Wind Girders)</t>
  </si>
  <si>
    <t>calculation 1</t>
    <phoneticPr fontId="4" type="noConversion"/>
  </si>
  <si>
    <t>required minimum section modulus of the top wind girder</t>
    <phoneticPr fontId="4" type="noConversion"/>
  </si>
  <si>
    <t>max design temperature</t>
  </si>
  <si>
    <t>°F</t>
  </si>
  <si>
    <t>yield strength of shell material at maximum operating temperature</t>
    <phoneticPr fontId="4" type="noConversion"/>
  </si>
  <si>
    <t>psi</t>
    <phoneticPr fontId="4" type="noConversion"/>
  </si>
  <si>
    <t>yield strength of stiffening ring material at maximum operating temperature</t>
    <phoneticPr fontId="4" type="noConversion"/>
  </si>
  <si>
    <t>calculation method for shell thickness</t>
    <phoneticPr fontId="4" type="noConversion"/>
  </si>
  <si>
    <t>VDP Method</t>
  </si>
  <si>
    <t>E</t>
    <phoneticPr fontId="4" type="noConversion"/>
  </si>
  <si>
    <t>modulus of elasticity at max design temperature</t>
    <phoneticPr fontId="4" type="noConversion"/>
  </si>
  <si>
    <t>5.9.5.2</t>
    <phoneticPr fontId="4" type="noConversion"/>
  </si>
  <si>
    <t>the location of the top wind girder (distance below the top of the shell)</t>
    <phoneticPr fontId="4" type="noConversion"/>
  </si>
  <si>
    <t>effected by type of the top angle</t>
  </si>
  <si>
    <t>type</t>
    <phoneticPr fontId="4" type="noConversion"/>
  </si>
  <si>
    <t>Detail e</t>
  </si>
  <si>
    <t>calculation method for wind speed</t>
    <phoneticPr fontId="4" type="noConversion"/>
  </si>
  <si>
    <t>ASCE 7-10</t>
  </si>
  <si>
    <t>should reported</t>
    <phoneticPr fontId="4" type="noConversion"/>
  </si>
  <si>
    <t>design wind speed by 2% annual probability</t>
    <phoneticPr fontId="4" type="noConversion"/>
  </si>
  <si>
    <t>miles/hour(2% annual probability)</t>
    <phoneticPr fontId="4" type="noConversion"/>
  </si>
  <si>
    <t>design wind speed by ASCE 7-10</t>
    <phoneticPr fontId="4" type="noConversion"/>
  </si>
  <si>
    <t>miles/hour(ASCE 7-10)</t>
    <phoneticPr fontId="4" type="noConversion"/>
  </si>
  <si>
    <t>design wind speed by ASCE 7-05</t>
    <phoneticPr fontId="4" type="noConversion"/>
  </si>
  <si>
    <t>miles/hour(ASCE 7-05)</t>
    <phoneticPr fontId="4" type="noConversion"/>
  </si>
  <si>
    <t>Pwv</t>
    <phoneticPr fontId="4" type="noConversion"/>
  </si>
  <si>
    <t>wind pressure at 33 ft above ground per applicable building code considering all applicable factors</t>
  </si>
  <si>
    <r>
      <t>lbf/ft</t>
    </r>
    <r>
      <rPr>
        <vertAlign val="superscript"/>
        <sz val="11"/>
        <color theme="1"/>
        <rFont val="Calibri"/>
        <family val="3"/>
        <charset val="134"/>
        <scheme val="minor"/>
      </rPr>
      <t>2</t>
    </r>
    <phoneticPr fontId="4" type="noConversion"/>
  </si>
  <si>
    <t>I</t>
    <phoneticPr fontId="4" type="noConversion"/>
  </si>
  <si>
    <t>Importance factor</t>
    <phoneticPr fontId="4" type="noConversion"/>
  </si>
  <si>
    <t>K1</t>
    <phoneticPr fontId="4" type="noConversion"/>
  </si>
  <si>
    <t>C1</t>
    <phoneticPr fontId="4" type="noConversion"/>
  </si>
  <si>
    <t>X1</t>
    <phoneticPr fontId="4" type="noConversion"/>
  </si>
  <si>
    <t>X2</t>
    <phoneticPr fontId="4" type="noConversion"/>
  </si>
  <si>
    <t>X3</t>
    <phoneticPr fontId="4" type="noConversion"/>
  </si>
  <si>
    <r>
      <t>t</t>
    </r>
    <r>
      <rPr>
        <vertAlign val="subscript"/>
        <sz val="11"/>
        <color theme="1"/>
        <rFont val="Calibri"/>
        <family val="3"/>
        <charset val="134"/>
        <scheme val="minor"/>
      </rPr>
      <t>tx</t>
    </r>
    <phoneticPr fontId="4" type="noConversion"/>
  </si>
  <si>
    <r>
      <t>t</t>
    </r>
    <r>
      <rPr>
        <vertAlign val="subscript"/>
        <sz val="11"/>
        <color theme="1"/>
        <rFont val="Calibri"/>
        <family val="2"/>
        <charset val="134"/>
        <scheme val="minor"/>
      </rPr>
      <t>t</t>
    </r>
    <r>
      <rPr>
        <vertAlign val="subscript"/>
        <sz val="11"/>
        <color theme="1"/>
        <rFont val="Calibri"/>
        <family val="3"/>
        <charset val="134"/>
        <scheme val="minor"/>
      </rPr>
      <t>1</t>
    </r>
  </si>
  <si>
    <r>
      <t>t</t>
    </r>
    <r>
      <rPr>
        <vertAlign val="subscript"/>
        <sz val="11"/>
        <color theme="1"/>
        <rFont val="Calibri"/>
        <family val="3"/>
        <charset val="134"/>
        <scheme val="minor"/>
      </rPr>
      <t>t2</t>
    </r>
    <phoneticPr fontId="4" type="noConversion"/>
  </si>
  <si>
    <r>
      <t>t</t>
    </r>
    <r>
      <rPr>
        <vertAlign val="subscript"/>
        <sz val="11"/>
        <color theme="1"/>
        <rFont val="Calibri"/>
        <family val="2"/>
        <charset val="134"/>
        <scheme val="minor"/>
      </rPr>
      <t>t</t>
    </r>
    <r>
      <rPr>
        <vertAlign val="subscript"/>
        <sz val="11"/>
        <color theme="1"/>
        <rFont val="Calibri"/>
        <family val="3"/>
        <charset val="134"/>
        <scheme val="minor"/>
      </rPr>
      <t>3</t>
    </r>
    <r>
      <rPr>
        <sz val="11"/>
        <color theme="1"/>
        <rFont val="Calibri"/>
        <family val="2"/>
        <scheme val="minor"/>
      </rPr>
      <t/>
    </r>
  </si>
  <si>
    <r>
      <t>t</t>
    </r>
    <r>
      <rPr>
        <vertAlign val="subscript"/>
        <sz val="11"/>
        <color theme="1"/>
        <rFont val="Calibri"/>
        <family val="3"/>
        <charset val="134"/>
        <scheme val="minor"/>
      </rPr>
      <t>t4</t>
    </r>
    <r>
      <rPr>
        <sz val="11"/>
        <color theme="1"/>
        <rFont val="Calibri"/>
        <family val="2"/>
        <scheme val="minor"/>
      </rPr>
      <t/>
    </r>
  </si>
  <si>
    <r>
      <t>t</t>
    </r>
    <r>
      <rPr>
        <vertAlign val="subscript"/>
        <sz val="11"/>
        <color theme="1"/>
        <rFont val="Calibri"/>
        <family val="2"/>
        <charset val="134"/>
        <scheme val="minor"/>
      </rPr>
      <t>t</t>
    </r>
    <r>
      <rPr>
        <vertAlign val="subscript"/>
        <sz val="11"/>
        <color theme="1"/>
        <rFont val="Calibri"/>
        <family val="3"/>
        <charset val="134"/>
        <scheme val="minor"/>
      </rPr>
      <t>5</t>
    </r>
    <r>
      <rPr>
        <sz val="11"/>
        <color theme="1"/>
        <rFont val="Calibri"/>
        <family val="2"/>
        <scheme val="minor"/>
      </rPr>
      <t/>
    </r>
  </si>
  <si>
    <r>
      <t>t</t>
    </r>
    <r>
      <rPr>
        <vertAlign val="subscript"/>
        <sz val="11"/>
        <color theme="1"/>
        <rFont val="Calibri"/>
        <family val="3"/>
        <charset val="134"/>
        <scheme val="minor"/>
      </rPr>
      <t>t6</t>
    </r>
    <r>
      <rPr>
        <sz val="11"/>
        <color theme="1"/>
        <rFont val="Calibri"/>
        <family val="2"/>
        <scheme val="minor"/>
      </rPr>
      <t/>
    </r>
  </si>
  <si>
    <r>
      <t>t</t>
    </r>
    <r>
      <rPr>
        <vertAlign val="subscript"/>
        <sz val="11"/>
        <color theme="1"/>
        <rFont val="Calibri"/>
        <family val="2"/>
        <charset val="134"/>
        <scheme val="minor"/>
      </rPr>
      <t>t</t>
    </r>
    <r>
      <rPr>
        <vertAlign val="subscript"/>
        <sz val="11"/>
        <color theme="1"/>
        <rFont val="Calibri"/>
        <family val="3"/>
        <charset val="134"/>
        <scheme val="minor"/>
      </rPr>
      <t>7</t>
    </r>
    <r>
      <rPr>
        <sz val="11"/>
        <color theme="1"/>
        <rFont val="Calibri"/>
        <family val="2"/>
        <scheme val="minor"/>
      </rPr>
      <t/>
    </r>
  </si>
  <si>
    <r>
      <t>t</t>
    </r>
    <r>
      <rPr>
        <vertAlign val="subscript"/>
        <sz val="11"/>
        <color theme="1"/>
        <rFont val="Calibri"/>
        <family val="3"/>
        <charset val="134"/>
        <scheme val="minor"/>
      </rPr>
      <t>t8</t>
    </r>
    <r>
      <rPr>
        <sz val="11"/>
        <color theme="1"/>
        <rFont val="Calibri"/>
        <family val="2"/>
        <scheme val="minor"/>
      </rPr>
      <t/>
    </r>
  </si>
  <si>
    <r>
      <t>t</t>
    </r>
    <r>
      <rPr>
        <vertAlign val="subscript"/>
        <sz val="11"/>
        <color theme="1"/>
        <rFont val="Calibri"/>
        <family val="2"/>
        <charset val="134"/>
        <scheme val="minor"/>
      </rPr>
      <t>t</t>
    </r>
    <r>
      <rPr>
        <vertAlign val="subscript"/>
        <sz val="11"/>
        <color theme="1"/>
        <rFont val="Calibri"/>
        <family val="3"/>
        <charset val="134"/>
        <scheme val="minor"/>
      </rPr>
      <t>9</t>
    </r>
    <r>
      <rPr>
        <sz val="11"/>
        <color theme="1"/>
        <rFont val="Calibri"/>
        <family val="2"/>
        <scheme val="minor"/>
      </rPr>
      <t/>
    </r>
  </si>
  <si>
    <r>
      <t>t</t>
    </r>
    <r>
      <rPr>
        <vertAlign val="subscript"/>
        <sz val="11"/>
        <color theme="1"/>
        <rFont val="Calibri"/>
        <family val="3"/>
        <charset val="134"/>
        <scheme val="minor"/>
      </rPr>
      <t>t10</t>
    </r>
    <r>
      <rPr>
        <sz val="11"/>
        <color theme="1"/>
        <rFont val="Calibri"/>
        <family val="2"/>
        <scheme val="minor"/>
      </rPr>
      <t/>
    </r>
  </si>
  <si>
    <t>K2</t>
    <phoneticPr fontId="4" type="noConversion"/>
  </si>
  <si>
    <t>C2</t>
    <phoneticPr fontId="4" type="noConversion"/>
  </si>
  <si>
    <t>K3</t>
    <phoneticPr fontId="4" type="noConversion"/>
  </si>
  <si>
    <t>C3</t>
    <phoneticPr fontId="4" type="noConversion"/>
  </si>
  <si>
    <t>K4</t>
    <phoneticPr fontId="4" type="noConversion"/>
  </si>
  <si>
    <t>C4</t>
    <phoneticPr fontId="4" type="noConversion"/>
  </si>
  <si>
    <t>K5</t>
  </si>
  <si>
    <t>C5</t>
  </si>
  <si>
    <t>K6</t>
  </si>
  <si>
    <t>C6</t>
  </si>
  <si>
    <t>K7</t>
  </si>
  <si>
    <t>C7</t>
  </si>
  <si>
    <t>X1</t>
  </si>
  <si>
    <t>K8</t>
  </si>
  <si>
    <t>C8</t>
  </si>
  <si>
    <t>K9</t>
  </si>
  <si>
    <t>C9</t>
  </si>
  <si>
    <t>K10</t>
  </si>
  <si>
    <t>C10</t>
  </si>
  <si>
    <t>K11</t>
  </si>
  <si>
    <t>C11</t>
  </si>
  <si>
    <t>K12</t>
  </si>
  <si>
    <t>C12</t>
  </si>
  <si>
    <t>K13</t>
  </si>
  <si>
    <t>C13</t>
  </si>
  <si>
    <t>W, actual width of each shell course, in.</t>
    <phoneticPr fontId="4" type="noConversion"/>
  </si>
  <si>
    <t>uniform thickness</t>
    <phoneticPr fontId="4" type="noConversion"/>
  </si>
  <si>
    <t>actual thickness</t>
  </si>
  <si>
    <r>
      <t>W</t>
    </r>
    <r>
      <rPr>
        <vertAlign val="subscript"/>
        <sz val="11"/>
        <color theme="1"/>
        <rFont val="Calibri"/>
        <family val="3"/>
        <charset val="134"/>
        <scheme val="minor"/>
      </rPr>
      <t>tr</t>
    </r>
    <r>
      <rPr>
        <sz val="11"/>
        <color theme="1"/>
        <rFont val="Calibri"/>
        <family val="2"/>
        <charset val="134"/>
        <scheme val="minor"/>
      </rPr>
      <t>, transposed width of each shell course, in</t>
    </r>
    <phoneticPr fontId="4" type="noConversion"/>
  </si>
  <si>
    <t>sum height</t>
  </si>
  <si>
    <t>fitst</t>
    <phoneticPr fontId="4" type="noConversion"/>
  </si>
  <si>
    <t>5.9.6.3.1 first actual location</t>
    <phoneticPr fontId="4" type="noConversion"/>
  </si>
  <si>
    <t>5.9.6.5 Check first</t>
    <phoneticPr fontId="4" type="noConversion"/>
  </si>
  <si>
    <t>5.9.6.4 second</t>
    <phoneticPr fontId="4" type="noConversion"/>
  </si>
  <si>
    <t>5.9.6.3.1 second actual location</t>
    <phoneticPr fontId="4" type="noConversion"/>
  </si>
  <si>
    <t>5.9.6.5 Check second</t>
    <phoneticPr fontId="4" type="noConversion"/>
  </si>
  <si>
    <t>third</t>
    <phoneticPr fontId="4" type="noConversion"/>
  </si>
  <si>
    <t>third actual location</t>
    <phoneticPr fontId="4" type="noConversion"/>
  </si>
  <si>
    <t>Check third</t>
    <phoneticPr fontId="4" type="noConversion"/>
  </si>
  <si>
    <t>fourth</t>
    <phoneticPr fontId="4" type="noConversion"/>
  </si>
  <si>
    <t>fourth actual location</t>
    <phoneticPr fontId="4" type="noConversion"/>
  </si>
  <si>
    <t>Check fourth</t>
    <phoneticPr fontId="4" type="noConversion"/>
  </si>
  <si>
    <t>5.9.5.3</t>
    <phoneticPr fontId="4" type="noConversion"/>
  </si>
  <si>
    <t>min of yield strength of shell and ring at maximum operating temperature</t>
    <phoneticPr fontId="4" type="noConversion"/>
  </si>
  <si>
    <t>comprision value</t>
    <phoneticPr fontId="4" type="noConversion"/>
  </si>
  <si>
    <t>Fy</t>
    <phoneticPr fontId="4" type="noConversion"/>
  </si>
  <si>
    <t>least minimum yield strength of the shell and stiffening ring at maximum operating temperature or 30000 psi, whichever is less</t>
    <phoneticPr fontId="4" type="noConversion"/>
  </si>
  <si>
    <t>nominal tank diameter</t>
    <phoneticPr fontId="4" type="noConversion"/>
  </si>
  <si>
    <t>Z</t>
    <phoneticPr fontId="4" type="noConversion"/>
  </si>
  <si>
    <r>
      <t>in</t>
    </r>
    <r>
      <rPr>
        <vertAlign val="superscript"/>
        <sz val="11"/>
        <color theme="1"/>
        <rFont val="Calibri"/>
        <family val="3"/>
        <charset val="134"/>
        <scheme val="minor"/>
      </rPr>
      <t>3</t>
    </r>
    <phoneticPr fontId="4" type="noConversion"/>
  </si>
  <si>
    <t>as-built shell thickness (thinnest)</t>
    <phoneticPr fontId="4" type="noConversion"/>
  </si>
  <si>
    <t>additional curb angle or with other members of equivalent section modulus</t>
    <phoneticPr fontId="4" type="noConversion"/>
  </si>
  <si>
    <t>5.9.5.6</t>
  </si>
  <si>
    <t>section moduli of stiffening-ring sections on tank shells</t>
    <phoneticPr fontId="4" type="noConversion"/>
  </si>
  <si>
    <t>M.6</t>
  </si>
  <si>
    <t>the ratio of the material’s modulus of elasticity at the maximum design temperature to 28,800,000 lbf/in.2</t>
  </si>
  <si>
    <t>5.9.6.1</t>
    <phoneticPr fontId="4" type="noConversion"/>
  </si>
  <si>
    <t>H1</t>
    <phoneticPr fontId="4" type="noConversion"/>
  </si>
  <si>
    <t>maximum height of the unstiffened shell</t>
    <phoneticPr fontId="4" type="noConversion"/>
  </si>
  <si>
    <t>height of the transformed shell</t>
  </si>
  <si>
    <t>half height</t>
    <phoneticPr fontId="4" type="noConversion"/>
  </si>
  <si>
    <t>1/3 height</t>
  </si>
  <si>
    <t>1/4 height</t>
  </si>
  <si>
    <t>1/5 height</t>
  </si>
  <si>
    <t>5.9.6.2</t>
    <phoneticPr fontId="4" type="noConversion"/>
  </si>
  <si>
    <r>
      <t>t</t>
    </r>
    <r>
      <rPr>
        <vertAlign val="subscript"/>
        <sz val="11"/>
        <color theme="1"/>
        <rFont val="Calibri"/>
        <family val="3"/>
        <charset val="134"/>
        <scheme val="minor"/>
      </rPr>
      <t>uniform</t>
    </r>
    <phoneticPr fontId="4" type="noConversion"/>
  </si>
  <si>
    <t>nominal thickness, thinnest shell course</t>
    <phoneticPr fontId="4" type="noConversion"/>
  </si>
  <si>
    <t>5.9.5.4</t>
    <phoneticPr fontId="4" type="noConversion"/>
  </si>
  <si>
    <t>for tanks over 200 ft check the min required moment of inertia for the top-stiffening ring</t>
    <phoneticPr fontId="4" type="noConversion"/>
  </si>
  <si>
    <r>
      <t>in</t>
    </r>
    <r>
      <rPr>
        <vertAlign val="superscript"/>
        <sz val="11"/>
        <color theme="1"/>
        <rFont val="Calibri"/>
        <family val="3"/>
        <charset val="134"/>
        <scheme val="minor"/>
      </rPr>
      <t>4</t>
    </r>
    <phoneticPr fontId="4" type="noConversion"/>
  </si>
  <si>
    <t>2/3 height</t>
  </si>
  <si>
    <t>3/4 height</t>
  </si>
  <si>
    <t>2/5 height</t>
  </si>
  <si>
    <t>number of the intermediate wind girders</t>
  </si>
  <si>
    <r>
      <t>h</t>
    </r>
    <r>
      <rPr>
        <vertAlign val="subscript"/>
        <sz val="11"/>
        <color theme="1"/>
        <rFont val="Calibri"/>
        <family val="2"/>
        <scheme val="minor"/>
      </rPr>
      <t>1</t>
    </r>
  </si>
  <si>
    <t>vertical distance between the 1st intermediate wind girder and the top angle/girder of the shell</t>
  </si>
  <si>
    <t>ft</t>
  </si>
  <si>
    <t>3/5 height</t>
  </si>
  <si>
    <r>
      <t>h</t>
    </r>
    <r>
      <rPr>
        <vertAlign val="subscript"/>
        <sz val="11"/>
        <color theme="1"/>
        <rFont val="Calibri"/>
        <family val="2"/>
        <scheme val="minor"/>
      </rPr>
      <t>2</t>
    </r>
  </si>
  <si>
    <t>vertical distance between the 2nd intermediate wind girder and the top angle/girder of the shell</t>
  </si>
  <si>
    <r>
      <t>h</t>
    </r>
    <r>
      <rPr>
        <vertAlign val="subscript"/>
        <sz val="11"/>
        <color theme="1"/>
        <rFont val="Calibri"/>
        <family val="2"/>
        <scheme val="minor"/>
      </rPr>
      <t>3</t>
    </r>
    <r>
      <rPr>
        <sz val="11"/>
        <color theme="1"/>
        <rFont val="Calibri"/>
        <family val="2"/>
        <scheme val="minor"/>
      </rPr>
      <t/>
    </r>
  </si>
  <si>
    <t>vertical distance between the 3rd intermediate wind girder and the top angle/girder of the shell</t>
  </si>
  <si>
    <t>4/5 height</t>
  </si>
  <si>
    <r>
      <t>h</t>
    </r>
    <r>
      <rPr>
        <vertAlign val="subscript"/>
        <sz val="11"/>
        <color theme="1"/>
        <rFont val="Calibri"/>
        <family val="2"/>
        <scheme val="minor"/>
      </rPr>
      <t>4</t>
    </r>
    <r>
      <rPr>
        <sz val="11"/>
        <color theme="1"/>
        <rFont val="Calibri"/>
        <family val="2"/>
        <scheme val="minor"/>
      </rPr>
      <t/>
    </r>
  </si>
  <si>
    <t>vertical distance between the 4th intermediate wind girder and the top angle/girder of the shell</t>
  </si>
  <si>
    <t xml:space="preserve">5.9.6.3.1 </t>
    <phoneticPr fontId="4" type="noConversion"/>
  </si>
  <si>
    <t>first</t>
    <phoneticPr fontId="4" type="noConversion"/>
  </si>
  <si>
    <r>
      <t>Z</t>
    </r>
    <r>
      <rPr>
        <vertAlign val="subscript"/>
        <sz val="11"/>
        <color theme="1"/>
        <rFont val="Calibri"/>
        <family val="3"/>
        <charset val="134"/>
        <scheme val="minor"/>
      </rPr>
      <t>1</t>
    </r>
    <phoneticPr fontId="4" type="noConversion"/>
  </si>
  <si>
    <t>required minimum section modulus of the first intermediate wind girder</t>
    <phoneticPr fontId="4" type="noConversion"/>
  </si>
  <si>
    <r>
      <t>in</t>
    </r>
    <r>
      <rPr>
        <vertAlign val="superscript"/>
        <sz val="11"/>
        <color theme="1"/>
        <rFont val="Calibri"/>
        <family val="2"/>
        <scheme val="minor"/>
      </rPr>
      <t>3</t>
    </r>
  </si>
  <si>
    <t>5.9.6.4</t>
    <phoneticPr fontId="4" type="noConversion"/>
  </si>
  <si>
    <t>second</t>
    <phoneticPr fontId="4" type="noConversion"/>
  </si>
  <si>
    <r>
      <t>Z</t>
    </r>
    <r>
      <rPr>
        <vertAlign val="subscript"/>
        <sz val="11"/>
        <color theme="1"/>
        <rFont val="Calibri"/>
        <family val="3"/>
        <charset val="134"/>
        <scheme val="minor"/>
      </rPr>
      <t>2</t>
    </r>
    <r>
      <rPr>
        <sz val="11"/>
        <color theme="1"/>
        <rFont val="Calibri"/>
        <family val="2"/>
        <scheme val="minor"/>
      </rPr>
      <t/>
    </r>
  </si>
  <si>
    <t>required minimum section modulus of the second intermediate wind girder</t>
  </si>
  <si>
    <r>
      <t>Z</t>
    </r>
    <r>
      <rPr>
        <vertAlign val="subscript"/>
        <sz val="11"/>
        <color theme="1"/>
        <rFont val="Calibri"/>
        <family val="3"/>
        <charset val="134"/>
        <scheme val="minor"/>
      </rPr>
      <t>3</t>
    </r>
    <r>
      <rPr>
        <sz val="11"/>
        <color theme="1"/>
        <rFont val="Calibri"/>
        <family val="2"/>
        <scheme val="minor"/>
      </rPr>
      <t/>
    </r>
  </si>
  <si>
    <t>required minimum section modulus of the third intermediate wind girder</t>
  </si>
  <si>
    <r>
      <t>Z</t>
    </r>
    <r>
      <rPr>
        <vertAlign val="subscript"/>
        <sz val="11"/>
        <color theme="1"/>
        <rFont val="Calibri"/>
        <family val="3"/>
        <charset val="134"/>
        <scheme val="minor"/>
      </rPr>
      <t>4</t>
    </r>
    <r>
      <rPr>
        <sz val="11"/>
        <color theme="1"/>
        <rFont val="Calibri"/>
        <family val="2"/>
        <scheme val="minor"/>
      </rPr>
      <t/>
    </r>
  </si>
  <si>
    <t>required minimum section modulus of the fourth intermediate wind girder</t>
  </si>
  <si>
    <t>5.9.6.6.1</t>
  </si>
  <si>
    <r>
      <t>h</t>
    </r>
    <r>
      <rPr>
        <vertAlign val="subscript"/>
        <sz val="11"/>
        <color theme="1"/>
        <rFont val="Calibri"/>
        <family val="2"/>
        <scheme val="minor"/>
      </rPr>
      <t>1</t>
    </r>
    <r>
      <rPr>
        <sz val="11"/>
        <color theme="1"/>
        <rFont val="Calibri"/>
        <family val="2"/>
        <charset val="134"/>
        <scheme val="minor"/>
      </rPr>
      <t>'</t>
    </r>
  </si>
  <si>
    <r>
      <t>Z</t>
    </r>
    <r>
      <rPr>
        <vertAlign val="subscript"/>
        <sz val="11"/>
        <color theme="1"/>
        <rFont val="Calibri"/>
        <family val="3"/>
        <charset val="134"/>
        <scheme val="minor"/>
      </rPr>
      <t>1</t>
    </r>
    <r>
      <rPr>
        <sz val="11"/>
        <color theme="1"/>
        <rFont val="Calibri"/>
        <family val="2"/>
        <charset val="134"/>
        <scheme val="minor"/>
      </rPr>
      <t>'</t>
    </r>
  </si>
  <si>
    <t>5.9.6.6.2</t>
  </si>
  <si>
    <t>1.47*(Dt)^0.5  first</t>
  </si>
  <si>
    <t>in</t>
  </si>
  <si>
    <t>1.47*(Dt)^0.5  second</t>
  </si>
  <si>
    <t>1.47*(Dt)^0.5  third</t>
  </si>
  <si>
    <t>1.47*(Dt)^0.5  fourth</t>
  </si>
  <si>
    <t>Table M.2b—Modulus of Elasticity at the Maximum Design Temperature (USC)</t>
  </si>
  <si>
    <t>Maximum Design Temperature</t>
  </si>
  <si>
    <t>Modulus of Elasticity</t>
  </si>
  <si>
    <r>
      <t>lbf/in.</t>
    </r>
    <r>
      <rPr>
        <vertAlign val="superscript"/>
        <sz val="12"/>
        <color rgb="FF000000"/>
        <rFont val="Times New Roman"/>
        <family val="1"/>
      </rPr>
      <t>2</t>
    </r>
  </si>
  <si>
    <t>NOTE    Linear interpolation shall be applied for intermediate values.</t>
  </si>
  <si>
    <t>Detail a</t>
    <phoneticPr fontId="4" type="noConversion"/>
  </si>
  <si>
    <t>a</t>
  </si>
  <si>
    <t>b</t>
  </si>
  <si>
    <t>t'</t>
    <phoneticPr fontId="4" type="noConversion"/>
  </si>
  <si>
    <t>t</t>
    <phoneticPr fontId="4" type="noConversion"/>
  </si>
  <si>
    <r>
      <rPr>
        <sz val="11"/>
        <color theme="1"/>
        <rFont val="Calibri"/>
        <family val="2"/>
        <scheme val="minor"/>
      </rPr>
      <t>x</t>
    </r>
    <r>
      <rPr>
        <vertAlign val="subscript"/>
        <sz val="11"/>
        <color theme="1"/>
        <rFont val="Calibri"/>
        <family val="2"/>
        <scheme val="minor"/>
      </rPr>
      <t>angle</t>
    </r>
  </si>
  <si>
    <r>
      <t>I</t>
    </r>
    <r>
      <rPr>
        <vertAlign val="subscript"/>
        <sz val="11"/>
        <color theme="1"/>
        <rFont val="Calibri"/>
        <family val="2"/>
        <scheme val="minor"/>
      </rPr>
      <t>angle</t>
    </r>
  </si>
  <si>
    <r>
      <t>A</t>
    </r>
    <r>
      <rPr>
        <vertAlign val="subscript"/>
        <sz val="11"/>
        <color theme="1"/>
        <rFont val="Calibri"/>
        <family val="2"/>
        <scheme val="minor"/>
      </rPr>
      <t>angle</t>
    </r>
  </si>
  <si>
    <t>𝑥 ̅</t>
  </si>
  <si>
    <r>
      <t>I</t>
    </r>
    <r>
      <rPr>
        <vertAlign val="subscript"/>
        <sz val="11"/>
        <color theme="1"/>
        <rFont val="Calibri"/>
        <family val="2"/>
        <scheme val="minor"/>
      </rPr>
      <t>yy</t>
    </r>
  </si>
  <si>
    <t>Wx</t>
    <phoneticPr fontId="4" type="noConversion"/>
  </si>
  <si>
    <t>b</t>
    <phoneticPr fontId="4" type="noConversion"/>
  </si>
  <si>
    <t>a</t>
    <phoneticPr fontId="4" type="noConversion"/>
  </si>
  <si>
    <t>𝑦 ̅</t>
    <phoneticPr fontId="4" type="noConversion"/>
  </si>
  <si>
    <t>Iyy</t>
    <phoneticPr fontId="4" type="noConversion"/>
  </si>
  <si>
    <t>Wy</t>
    <phoneticPr fontId="4" type="noConversion"/>
  </si>
  <si>
    <t>𝑥 ̅</t>
    <phoneticPr fontId="4" type="noConversion"/>
  </si>
  <si>
    <t>Ixx</t>
    <phoneticPr fontId="4" type="noConversion"/>
  </si>
  <si>
    <t>angle size</t>
    <phoneticPr fontId="4" type="noConversion"/>
  </si>
  <si>
    <t>Detail b</t>
    <phoneticPr fontId="4" type="noConversion"/>
  </si>
  <si>
    <t>size</t>
    <phoneticPr fontId="4" type="noConversion"/>
  </si>
  <si>
    <t>Detail c</t>
    <phoneticPr fontId="4" type="noConversion"/>
  </si>
  <si>
    <t>Detail d</t>
    <phoneticPr fontId="4" type="noConversion"/>
  </si>
  <si>
    <t>2a</t>
    <phoneticPr fontId="4" type="noConversion"/>
  </si>
  <si>
    <r>
      <t>x</t>
    </r>
    <r>
      <rPr>
        <vertAlign val="subscript"/>
        <sz val="11"/>
        <color theme="1"/>
        <rFont val="Calibri"/>
        <family val="2"/>
        <scheme val="minor"/>
      </rPr>
      <t>angle</t>
    </r>
    <r>
      <rPr>
        <sz val="11"/>
        <color theme="1"/>
        <rFont val="Calibri"/>
        <family val="2"/>
        <scheme val="minor"/>
      </rPr>
      <t>2</t>
    </r>
  </si>
  <si>
    <t>Detail e</t>
    <phoneticPr fontId="4" type="noConversion"/>
  </si>
  <si>
    <t>type a</t>
  </si>
  <si>
    <t>t'</t>
  </si>
  <si>
    <t>t</t>
  </si>
  <si>
    <t>size</t>
  </si>
  <si>
    <t>type b</t>
  </si>
  <si>
    <t>2a</t>
  </si>
  <si>
    <t>type c</t>
  </si>
  <si>
    <t>about wind speed 5.2.1k</t>
    <phoneticPr fontId="4" type="noConversion"/>
  </si>
  <si>
    <t>about wind pressure</t>
  </si>
  <si>
    <t>3-sec gust design wind speed</t>
    <phoneticPr fontId="4" type="noConversion"/>
  </si>
  <si>
    <r>
      <t xml:space="preserve">ASCE7-05 multiplied by </t>
    </r>
    <r>
      <rPr>
        <sz val="11"/>
        <color theme="1"/>
        <rFont val="等线"/>
        <family val="2"/>
        <charset val="134"/>
      </rPr>
      <t>√</t>
    </r>
    <r>
      <rPr>
        <sz val="11"/>
        <color theme="1"/>
        <rFont val="Calibri"/>
        <family val="2"/>
        <charset val="134"/>
        <scheme val="minor"/>
      </rPr>
      <t>I</t>
    </r>
    <phoneticPr fontId="4" type="noConversion"/>
  </si>
  <si>
    <t>miles/hour</t>
    <phoneticPr fontId="4" type="noConversion"/>
  </si>
  <si>
    <r>
      <t>P</t>
    </r>
    <r>
      <rPr>
        <vertAlign val="subscript"/>
        <sz val="11"/>
        <color theme="1"/>
        <rFont val="Calibri"/>
        <family val="2"/>
        <charset val="134"/>
        <scheme val="minor"/>
      </rPr>
      <t>wv</t>
    </r>
    <phoneticPr fontId="4" type="noConversion"/>
  </si>
  <si>
    <t>at 33ft above ground per applicable building code</t>
    <phoneticPr fontId="4" type="noConversion"/>
  </si>
  <si>
    <t>ASCE7-10 for risk category (26.5) specified by the Purchaser multiplied by 0.78</t>
    <phoneticPr fontId="4" type="noConversion"/>
  </si>
  <si>
    <t>formula with V</t>
    <phoneticPr fontId="4" type="noConversion"/>
  </si>
  <si>
    <t>specified by Purchaser, shall be a 3-sec gust based on a 2% annual probability of being exceeded</t>
    <phoneticPr fontId="4" type="noConversion"/>
  </si>
  <si>
    <t>using value</t>
    <phoneticPr fontId="4" type="noConversion"/>
  </si>
  <si>
    <r>
      <t>P</t>
    </r>
    <r>
      <rPr>
        <vertAlign val="subscript"/>
        <sz val="11"/>
        <color theme="1"/>
        <rFont val="Calibri"/>
        <family val="3"/>
        <charset val="134"/>
        <scheme val="minor"/>
      </rPr>
      <t>wd</t>
    </r>
    <phoneticPr fontId="4" type="noConversion"/>
  </si>
  <si>
    <t>design wind pressure including inward drag</t>
    <phoneticPr fontId="4" type="noConversion"/>
  </si>
  <si>
    <t>ASCE 7-05   Table 6.1</t>
    <phoneticPr fontId="4" type="noConversion"/>
  </si>
  <si>
    <t>Category</t>
  </si>
  <si>
    <t>Non-Hurricane Prone Regions and Hurricane Prone Regions with V = 85-100 mph
and Alaska</t>
  </si>
  <si>
    <t>Hurricane Prone Regions with V &gt; 100 mph</t>
  </si>
  <si>
    <t>I</t>
  </si>
  <si>
    <t>II</t>
  </si>
  <si>
    <t>III</t>
  </si>
  <si>
    <t>IV</t>
  </si>
  <si>
    <t>ASCE 7-05   Table 1.1</t>
    <phoneticPr fontId="4" type="noConversion"/>
  </si>
  <si>
    <t>Nature of Occupancy</t>
  </si>
  <si>
    <t>Occupancy
Category</t>
  </si>
  <si>
    <r>
      <t xml:space="preserve">Buildings and other structures that represent a low hazard to human life in the event of failure, including, but not limited to:
</t>
    </r>
    <r>
      <rPr>
        <sz val="12"/>
        <color indexed="8"/>
        <rFont val="Times New Roman"/>
        <family val="1"/>
      </rPr>
      <t>•   Agricultural facilities
•   Certain temporary facilities
•   Minor storage facilities</t>
    </r>
    <phoneticPr fontId="4" type="noConversion"/>
  </si>
  <si>
    <t>All buildings and other structures except those listed in Occupancy Categories I, III, and IV</t>
    <phoneticPr fontId="4" type="noConversion"/>
  </si>
  <si>
    <r>
      <t>Buildings and other structures that represent a substantial hazard to human life in the event of failure, including, but not limited to:
•   Buildings and other structures where more than 300 people congregate in one area
•   Buildings and other structures with daycare facilities with a capacity greater than 150
•   Buildings and other structures with elementary school or secondary school facilities with a capacity greater than 250
•   Buildings and other structures with a capacity greater than 500 for colleges or adult education facilities
•   Health care facilities with a capacity of 50 or more resident patients, but not having surgery or emergency treatment facilities
•   Jails and detention facilities
Buildings and other structures, not included in Occupancy Category IV, with potential to cause a substantial economic impact and/or mass disruption of day-to-day civilian life in the event of failure, including, but not limited to:
•   Power generating stations</t>
    </r>
    <r>
      <rPr>
        <i/>
        <sz val="12"/>
        <color indexed="8"/>
        <rFont val="Times New Roman"/>
        <family val="1"/>
      </rPr>
      <t xml:space="preserve">a
</t>
    </r>
    <r>
      <rPr>
        <sz val="12"/>
        <color indexed="8"/>
        <rFont val="Times New Roman"/>
        <family val="1"/>
      </rPr>
      <t>•   Water treatment facilities
•   Sewage treatment facilities
•   Telecommunication centers
Buildings and other structures not included in Occupancy Category IV (including, but not limited to, facilities that manufacture, process, handle, store, use, or dispose of such substances as hazardous fuels, hazardous chemicals, hazardous waste, or explosives) containing sufficient quantities of toxic or explosive substances to be dangerous to the public if released.
Buildings and other structures containing toxic or explosive substances shall be eligible for classification as Occupancy Category II structures if it can be demonstrated to the satisfaction of the authority having jurisdiction by a hazard assessment as described in Section 1.5.2 that a release of the toxic or explosive substances does not pose a threat to the public.</t>
    </r>
  </si>
  <si>
    <t>Buildings and other structures designated as essential facilities, including, but not limited to:
•   Hospitals and other health care facilities having surgery or emergency treatment facilities
•   Fire, rescue, ambulance, and police stations and emergency vehicle garages
•   Designated earthquake, hurricane, or other emergency shelters
•   Designated emergency preparedness, communication, and operation centers and other facilities required for emergency response
•   Power generating stations and other public utility facilities required in an emergency
•   Ancillary structures (including, but not limited to, communication towers, fuel storage tanks, cooling towers, electrical substation structures, fire water storage tanks or other structures housing or supporting water, or other fire-suppression material or equipment) required for operation of Occupancy Category IV structures during an emergency
•   Aviation control towers, air traffic control centers, and emergency aircraft hangars
•   Water storage facilities and pump structures required to maintain water pressure for fire suppression
•   Buildings and other structures having critical national defense functions
Buildings and other structures (including, but not limited to, facilities that manufacture, process, handle, store, use, or dispose of such substances as hazardous fuels, hazardous chemicals, or hazardous waste) containing highly toxic substances where the quantity of the material exceeds a threshold quantity established by the authority having jurisdiction.
Buildings and other structures containing highly toxic substances shall be eligible for classification as Occupancy Category II structures if it can be demonstrated to the satisfaction of the authority having jurisdiction by a hazard assessment as described in Section 1.5.2 that a release of the highly toxic substances does not pose a threat to the public. This reduced classification shall not be permitted if the buildings or other structures also function as essential facilities.</t>
  </si>
  <si>
    <r>
      <rPr>
        <i/>
        <vertAlign val="superscript"/>
        <sz val="12"/>
        <color indexed="8"/>
        <rFont val="Times New Roman"/>
        <family val="1"/>
      </rPr>
      <t>a</t>
    </r>
    <r>
      <rPr>
        <sz val="12"/>
        <color indexed="8"/>
        <rFont val="Times New Roman"/>
        <family val="1"/>
      </rPr>
      <t>Cogeneration power plants that do not supply power on the national grid shall be designated Occupancy Category II.</t>
    </r>
    <phoneticPr fontId="4" type="noConversion"/>
  </si>
  <si>
    <t>ASCE 7-10  Table 1.5-1  Risk Category of Buildings and Other Structures for Flood, Wind, Snow, Earthquake, and Ice Loads</t>
    <phoneticPr fontId="4" type="noConversion"/>
  </si>
  <si>
    <t xml:space="preserve">Use or Occupancy of Buildings and Structures  </t>
    <phoneticPr fontId="4" type="noConversion"/>
  </si>
  <si>
    <t>Risk Category</t>
  </si>
  <si>
    <t>Buildings and other structures that represent a low risk to human life in the event of failure</t>
    <phoneticPr fontId="4" type="noConversion"/>
  </si>
  <si>
    <t xml:space="preserve">All buildings and other structures except those listed in Risk Categories I, III, and IV </t>
    <phoneticPr fontId="4" type="noConversion"/>
  </si>
  <si>
    <t>Buildings and other structures, the failure of which could pose a substantial risk to human life.</t>
  </si>
  <si>
    <t>Buildings and other structures, not included in Risk Category IV, with potential to cause a substantial economic impact and/or mass disruption of day-to-day civilian life in the event of failure.</t>
  </si>
  <si>
    <t>Buildings and other structures not included in Risk Category IV (including, but not limited to, facilities that manufacture, process, handle, store, use, or dispose of such substances as hazardous fuels, hazardous chemicals, hazardous waste, or explosives) containing toxic or explosive substances where their quantity exceeds a threshold quantity established by the authority having jurisdiction and is sufficient to pose a threat to the public if released.</t>
  </si>
  <si>
    <t>Buildings and other structures designated as essential facilities.</t>
    <phoneticPr fontId="4" type="noConversion"/>
  </si>
  <si>
    <t>Buildings and other structures, the failure of which could pose a substantial hazard to the community.</t>
  </si>
  <si>
    <r>
      <t>Buildings and other structures (including, but not limited to, facilities that manufacture, process, handle, store, use, or dispose of such substances as hazardous fuels, hazardous chemicals, or hazardous waste) containing sufficient quantities of highly toxic substances where the quantity exceeds a threshold quantity established by the authority having jurisdiction to be dangerous to the public if released and is sufficient to pose a threat to the public if released.</t>
    </r>
    <r>
      <rPr>
        <i/>
        <sz val="12"/>
        <color indexed="63"/>
        <rFont val="Times New Roman"/>
        <family val="1"/>
      </rPr>
      <t>a</t>
    </r>
  </si>
  <si>
    <t>Buildings and other structures required to maintain the functionality of other Risk Category IV structures.</t>
  </si>
  <si>
    <r>
      <rPr>
        <vertAlign val="superscript"/>
        <sz val="12"/>
        <color theme="1"/>
        <rFont val="Times New Roman"/>
        <family val="1"/>
      </rPr>
      <t>a</t>
    </r>
    <r>
      <rPr>
        <sz val="12"/>
        <color theme="1"/>
        <rFont val="Times New Roman"/>
        <family val="1"/>
      </rPr>
      <t>Buildings and other structures containing toxic, highly toxic, or explosive substances shall be eligible for classification to a lower Risk Category if it can be demonstrated to the satisfaction of the authority having jurisdiction by a hazard assessment as described in Section 1.5.2 that a s commensurate with the risk associated with that Risk Category.</t>
    </r>
    <phoneticPr fontId="4" type="noConversion"/>
  </si>
  <si>
    <t>design condition</t>
    <phoneticPr fontId="4" type="noConversion"/>
  </si>
  <si>
    <t>hydrostatic test condition</t>
    <phoneticPr fontId="4" type="noConversion"/>
  </si>
  <si>
    <t>ratio</t>
  </si>
  <si>
    <t>Required minimum thickness of shell plates</t>
    <phoneticPr fontId="4" type="noConversion"/>
  </si>
  <si>
    <r>
      <t>t</t>
    </r>
    <r>
      <rPr>
        <vertAlign val="subscript"/>
        <sz val="11"/>
        <color theme="1"/>
        <rFont val="Calibri"/>
        <family val="3"/>
        <charset val="134"/>
        <scheme val="minor"/>
      </rPr>
      <t>2d</t>
    </r>
    <r>
      <rPr>
        <sz val="11"/>
        <color theme="1"/>
        <rFont val="Calibri"/>
        <family val="2"/>
        <scheme val="minor"/>
      </rPr>
      <t/>
    </r>
  </si>
  <si>
    <r>
      <t>t</t>
    </r>
    <r>
      <rPr>
        <vertAlign val="subscript"/>
        <sz val="11"/>
        <color theme="1"/>
        <rFont val="Calibri"/>
        <family val="3"/>
        <charset val="134"/>
        <scheme val="minor"/>
      </rPr>
      <t>2t</t>
    </r>
    <r>
      <rPr>
        <sz val="11"/>
        <color theme="1"/>
        <rFont val="Calibri"/>
        <family val="2"/>
        <scheme val="minor"/>
      </rPr>
      <t/>
    </r>
  </si>
  <si>
    <r>
      <t>t</t>
    </r>
    <r>
      <rPr>
        <vertAlign val="subscript"/>
        <sz val="11"/>
        <color theme="1"/>
        <rFont val="Calibri"/>
        <family val="3"/>
        <charset val="134"/>
        <scheme val="minor"/>
      </rPr>
      <t>3d</t>
    </r>
    <r>
      <rPr>
        <sz val="11"/>
        <color theme="1"/>
        <rFont val="Calibri"/>
        <family val="2"/>
        <scheme val="minor"/>
      </rPr>
      <t/>
    </r>
  </si>
  <si>
    <r>
      <t>t</t>
    </r>
    <r>
      <rPr>
        <vertAlign val="subscript"/>
        <sz val="11"/>
        <color theme="1"/>
        <rFont val="Calibri"/>
        <family val="3"/>
        <charset val="134"/>
        <scheme val="minor"/>
      </rPr>
      <t>3t</t>
    </r>
    <r>
      <rPr>
        <sz val="11"/>
        <color theme="1"/>
        <rFont val="Calibri"/>
        <family val="2"/>
        <scheme val="minor"/>
      </rPr>
      <t/>
    </r>
  </si>
  <si>
    <r>
      <t>t</t>
    </r>
    <r>
      <rPr>
        <vertAlign val="subscript"/>
        <sz val="11"/>
        <color theme="1"/>
        <rFont val="Calibri"/>
        <family val="3"/>
        <charset val="134"/>
        <scheme val="minor"/>
      </rPr>
      <t>4d</t>
    </r>
    <r>
      <rPr>
        <sz val="11"/>
        <color theme="1"/>
        <rFont val="Calibri"/>
        <family val="2"/>
        <scheme val="minor"/>
      </rPr>
      <t/>
    </r>
  </si>
  <si>
    <r>
      <t>t</t>
    </r>
    <r>
      <rPr>
        <vertAlign val="subscript"/>
        <sz val="11"/>
        <color theme="1"/>
        <rFont val="Calibri"/>
        <family val="3"/>
        <charset val="134"/>
        <scheme val="minor"/>
      </rPr>
      <t>4t</t>
    </r>
    <r>
      <rPr>
        <sz val="11"/>
        <color theme="1"/>
        <rFont val="Calibri"/>
        <family val="2"/>
        <scheme val="minor"/>
      </rPr>
      <t/>
    </r>
  </si>
  <si>
    <r>
      <t>t</t>
    </r>
    <r>
      <rPr>
        <vertAlign val="subscript"/>
        <sz val="11"/>
        <color theme="1"/>
        <rFont val="Calibri"/>
        <family val="3"/>
        <charset val="134"/>
        <scheme val="minor"/>
      </rPr>
      <t>5d</t>
    </r>
    <r>
      <rPr>
        <sz val="11"/>
        <color theme="1"/>
        <rFont val="Calibri"/>
        <family val="2"/>
        <scheme val="minor"/>
      </rPr>
      <t/>
    </r>
  </si>
  <si>
    <r>
      <t>t</t>
    </r>
    <r>
      <rPr>
        <vertAlign val="subscript"/>
        <sz val="11"/>
        <color theme="1"/>
        <rFont val="Calibri"/>
        <family val="3"/>
        <charset val="134"/>
        <scheme val="minor"/>
      </rPr>
      <t>5t</t>
    </r>
    <r>
      <rPr>
        <sz val="11"/>
        <color theme="1"/>
        <rFont val="Calibri"/>
        <family val="2"/>
        <scheme val="minor"/>
      </rPr>
      <t/>
    </r>
  </si>
  <si>
    <r>
      <t>t</t>
    </r>
    <r>
      <rPr>
        <vertAlign val="subscript"/>
        <sz val="11"/>
        <color theme="1"/>
        <rFont val="Calibri"/>
        <family val="3"/>
        <charset val="134"/>
        <scheme val="minor"/>
      </rPr>
      <t>6d</t>
    </r>
    <r>
      <rPr>
        <sz val="11"/>
        <color theme="1"/>
        <rFont val="Calibri"/>
        <family val="2"/>
        <scheme val="minor"/>
      </rPr>
      <t/>
    </r>
  </si>
  <si>
    <r>
      <t>t</t>
    </r>
    <r>
      <rPr>
        <vertAlign val="subscript"/>
        <sz val="11"/>
        <color theme="1"/>
        <rFont val="Calibri"/>
        <family val="3"/>
        <charset val="134"/>
        <scheme val="minor"/>
      </rPr>
      <t>6t</t>
    </r>
    <r>
      <rPr>
        <sz val="11"/>
        <color theme="1"/>
        <rFont val="Calibri"/>
        <family val="2"/>
        <scheme val="minor"/>
      </rPr>
      <t/>
    </r>
  </si>
  <si>
    <r>
      <t>t</t>
    </r>
    <r>
      <rPr>
        <vertAlign val="subscript"/>
        <sz val="11"/>
        <color theme="1"/>
        <rFont val="Calibri"/>
        <family val="3"/>
        <charset val="134"/>
        <scheme val="minor"/>
      </rPr>
      <t>7d</t>
    </r>
    <r>
      <rPr>
        <sz val="11"/>
        <color theme="1"/>
        <rFont val="Calibri"/>
        <family val="2"/>
        <scheme val="minor"/>
      </rPr>
      <t/>
    </r>
  </si>
  <si>
    <r>
      <t>t</t>
    </r>
    <r>
      <rPr>
        <vertAlign val="subscript"/>
        <sz val="11"/>
        <color theme="1"/>
        <rFont val="Calibri"/>
        <family val="3"/>
        <charset val="134"/>
        <scheme val="minor"/>
      </rPr>
      <t>7t</t>
    </r>
    <r>
      <rPr>
        <sz val="11"/>
        <color theme="1"/>
        <rFont val="Calibri"/>
        <family val="2"/>
        <scheme val="minor"/>
      </rPr>
      <t/>
    </r>
  </si>
  <si>
    <r>
      <t>t</t>
    </r>
    <r>
      <rPr>
        <vertAlign val="subscript"/>
        <sz val="11"/>
        <color theme="1"/>
        <rFont val="Calibri"/>
        <family val="3"/>
        <charset val="134"/>
        <scheme val="minor"/>
      </rPr>
      <t>8d</t>
    </r>
    <r>
      <rPr>
        <sz val="11"/>
        <color theme="1"/>
        <rFont val="Calibri"/>
        <family val="2"/>
        <scheme val="minor"/>
      </rPr>
      <t/>
    </r>
  </si>
  <si>
    <r>
      <t>t</t>
    </r>
    <r>
      <rPr>
        <vertAlign val="subscript"/>
        <sz val="11"/>
        <color theme="1"/>
        <rFont val="Calibri"/>
        <family val="3"/>
        <charset val="134"/>
        <scheme val="minor"/>
      </rPr>
      <t>8t</t>
    </r>
    <r>
      <rPr>
        <sz val="11"/>
        <color theme="1"/>
        <rFont val="Calibri"/>
        <family val="2"/>
        <scheme val="minor"/>
      </rPr>
      <t/>
    </r>
  </si>
  <si>
    <r>
      <t>t</t>
    </r>
    <r>
      <rPr>
        <vertAlign val="subscript"/>
        <sz val="11"/>
        <color theme="1"/>
        <rFont val="Calibri"/>
        <family val="3"/>
        <charset val="134"/>
        <scheme val="minor"/>
      </rPr>
      <t>9d</t>
    </r>
    <r>
      <rPr>
        <sz val="11"/>
        <color theme="1"/>
        <rFont val="Calibri"/>
        <family val="2"/>
        <scheme val="minor"/>
      </rPr>
      <t/>
    </r>
  </si>
  <si>
    <r>
      <t>t</t>
    </r>
    <r>
      <rPr>
        <vertAlign val="subscript"/>
        <sz val="11"/>
        <color theme="1"/>
        <rFont val="Calibri"/>
        <family val="3"/>
        <charset val="134"/>
        <scheme val="minor"/>
      </rPr>
      <t>9t</t>
    </r>
    <r>
      <rPr>
        <sz val="11"/>
        <color theme="1"/>
        <rFont val="Calibri"/>
        <family val="2"/>
        <scheme val="minor"/>
      </rPr>
      <t/>
    </r>
  </si>
  <si>
    <r>
      <t>t</t>
    </r>
    <r>
      <rPr>
        <vertAlign val="subscript"/>
        <sz val="11"/>
        <color theme="1"/>
        <rFont val="Calibri"/>
        <family val="3"/>
        <charset val="134"/>
        <scheme val="minor"/>
      </rPr>
      <t>10d</t>
    </r>
    <r>
      <rPr>
        <sz val="11"/>
        <color theme="1"/>
        <rFont val="Calibri"/>
        <family val="2"/>
        <scheme val="minor"/>
      </rPr>
      <t/>
    </r>
  </si>
  <si>
    <r>
      <t>t</t>
    </r>
    <r>
      <rPr>
        <vertAlign val="subscript"/>
        <sz val="11"/>
        <color theme="1"/>
        <rFont val="Calibri"/>
        <family val="3"/>
        <charset val="134"/>
        <scheme val="minor"/>
      </rPr>
      <t>10t</t>
    </r>
    <r>
      <rPr>
        <sz val="11"/>
        <color theme="1"/>
        <rFont val="Calibri"/>
        <family val="2"/>
        <scheme val="minor"/>
      </rPr>
      <t/>
    </r>
  </si>
  <si>
    <t>d-value1</t>
    <phoneticPr fontId="4" type="noConversion"/>
  </si>
  <si>
    <t>t-value1</t>
    <phoneticPr fontId="4" type="noConversion"/>
  </si>
  <si>
    <t>d-value2</t>
  </si>
  <si>
    <t>t-value2</t>
  </si>
  <si>
    <t>min</t>
    <phoneticPr fontId="4" type="noConversion"/>
  </si>
  <si>
    <t>d-value3</t>
  </si>
  <si>
    <t>t-value3</t>
  </si>
  <si>
    <t>d-value4</t>
  </si>
  <si>
    <t>t-value4</t>
  </si>
  <si>
    <t>d-value5</t>
  </si>
  <si>
    <t>t-value5</t>
  </si>
  <si>
    <t>d-value6</t>
  </si>
  <si>
    <t>t-value6</t>
  </si>
  <si>
    <t>d-value7</t>
  </si>
  <si>
    <t>t-value7</t>
  </si>
  <si>
    <t>d-value8</t>
  </si>
  <si>
    <t>t-value8</t>
  </si>
  <si>
    <t>d-value9</t>
  </si>
  <si>
    <t>t-value9</t>
  </si>
  <si>
    <t>d-value10</t>
  </si>
  <si>
    <t>t-value10</t>
  </si>
  <si>
    <r>
      <t>t</t>
    </r>
    <r>
      <rPr>
        <vertAlign val="subscript"/>
        <sz val="11"/>
        <color theme="1"/>
        <rFont val="Calibri"/>
        <family val="3"/>
        <charset val="134"/>
        <scheme val="minor"/>
      </rPr>
      <t>2a for 2d</t>
    </r>
    <phoneticPr fontId="4" type="noConversion"/>
  </si>
  <si>
    <r>
      <t>t</t>
    </r>
    <r>
      <rPr>
        <vertAlign val="subscript"/>
        <sz val="11"/>
        <color theme="1"/>
        <rFont val="Calibri"/>
        <family val="3"/>
        <charset val="134"/>
        <scheme val="minor"/>
      </rPr>
      <t>2a for 2t</t>
    </r>
    <phoneticPr fontId="4" type="noConversion"/>
  </si>
  <si>
    <r>
      <t>h</t>
    </r>
    <r>
      <rPr>
        <vertAlign val="subscript"/>
        <sz val="11"/>
        <color theme="1"/>
        <rFont val="Calibri"/>
        <family val="3"/>
        <charset val="134"/>
        <scheme val="minor"/>
      </rPr>
      <t>1</t>
    </r>
    <phoneticPr fontId="4" type="noConversion"/>
  </si>
  <si>
    <t>Height of  the course 1</t>
    <phoneticPr fontId="4" type="noConversion"/>
  </si>
  <si>
    <r>
      <t>h</t>
    </r>
    <r>
      <rPr>
        <vertAlign val="subscript"/>
        <sz val="11"/>
        <color theme="1"/>
        <rFont val="Calibri"/>
        <family val="3"/>
        <charset val="134"/>
        <scheme val="minor"/>
      </rPr>
      <t>2</t>
    </r>
    <r>
      <rPr>
        <sz val="11"/>
        <color theme="1"/>
        <rFont val="Calibri"/>
        <family val="2"/>
        <scheme val="minor"/>
      </rPr>
      <t/>
    </r>
  </si>
  <si>
    <t>Height of  the course 2</t>
    <phoneticPr fontId="4" type="noConversion"/>
  </si>
  <si>
    <r>
      <t>h</t>
    </r>
    <r>
      <rPr>
        <vertAlign val="subscript"/>
        <sz val="11"/>
        <color theme="1"/>
        <rFont val="Calibri"/>
        <family val="3"/>
        <charset val="134"/>
        <scheme val="minor"/>
      </rPr>
      <t>3</t>
    </r>
    <r>
      <rPr>
        <sz val="11"/>
        <color theme="1"/>
        <rFont val="Calibri"/>
        <family val="2"/>
        <scheme val="minor"/>
      </rPr>
      <t/>
    </r>
  </si>
  <si>
    <t>Height of  the course 3</t>
    <phoneticPr fontId="4" type="noConversion"/>
  </si>
  <si>
    <r>
      <t>h</t>
    </r>
    <r>
      <rPr>
        <vertAlign val="subscript"/>
        <sz val="11"/>
        <color theme="1"/>
        <rFont val="Calibri"/>
        <family val="3"/>
        <charset val="134"/>
        <scheme val="minor"/>
      </rPr>
      <t>4</t>
    </r>
    <r>
      <rPr>
        <sz val="11"/>
        <color theme="1"/>
        <rFont val="Calibri"/>
        <family val="2"/>
        <scheme val="minor"/>
      </rPr>
      <t/>
    </r>
  </si>
  <si>
    <t>Height of  the course 4</t>
    <phoneticPr fontId="4" type="noConversion"/>
  </si>
  <si>
    <r>
      <t>h</t>
    </r>
    <r>
      <rPr>
        <vertAlign val="subscript"/>
        <sz val="11"/>
        <color theme="1"/>
        <rFont val="Calibri"/>
        <family val="3"/>
        <charset val="134"/>
        <scheme val="minor"/>
      </rPr>
      <t>5</t>
    </r>
    <r>
      <rPr>
        <sz val="11"/>
        <color theme="1"/>
        <rFont val="Calibri"/>
        <family val="2"/>
        <scheme val="minor"/>
      </rPr>
      <t/>
    </r>
  </si>
  <si>
    <t>Height of  the course 5</t>
    <phoneticPr fontId="4" type="noConversion"/>
  </si>
  <si>
    <r>
      <t>h</t>
    </r>
    <r>
      <rPr>
        <vertAlign val="subscript"/>
        <sz val="11"/>
        <color theme="1"/>
        <rFont val="Calibri"/>
        <family val="3"/>
        <charset val="134"/>
        <scheme val="minor"/>
      </rPr>
      <t>6</t>
    </r>
    <r>
      <rPr>
        <sz val="11"/>
        <color theme="1"/>
        <rFont val="Calibri"/>
        <family val="2"/>
        <scheme val="minor"/>
      </rPr>
      <t/>
    </r>
  </si>
  <si>
    <t>Height of  the course 6</t>
    <phoneticPr fontId="4" type="noConversion"/>
  </si>
  <si>
    <r>
      <t>h</t>
    </r>
    <r>
      <rPr>
        <vertAlign val="subscript"/>
        <sz val="11"/>
        <color theme="1"/>
        <rFont val="Calibri"/>
        <family val="3"/>
        <charset val="134"/>
        <scheme val="minor"/>
      </rPr>
      <t>7</t>
    </r>
    <r>
      <rPr>
        <sz val="11"/>
        <color theme="1"/>
        <rFont val="Calibri"/>
        <family val="2"/>
        <scheme val="minor"/>
      </rPr>
      <t/>
    </r>
  </si>
  <si>
    <t>Height of  the course 7</t>
    <phoneticPr fontId="4" type="noConversion"/>
  </si>
  <si>
    <r>
      <t>h</t>
    </r>
    <r>
      <rPr>
        <vertAlign val="subscript"/>
        <sz val="11"/>
        <color theme="1"/>
        <rFont val="Calibri"/>
        <family val="3"/>
        <charset val="134"/>
        <scheme val="minor"/>
      </rPr>
      <t>8</t>
    </r>
    <r>
      <rPr>
        <sz val="11"/>
        <color theme="1"/>
        <rFont val="Calibri"/>
        <family val="2"/>
        <scheme val="minor"/>
      </rPr>
      <t/>
    </r>
  </si>
  <si>
    <t>Height of  the course 8</t>
    <phoneticPr fontId="4" type="noConversion"/>
  </si>
  <si>
    <r>
      <t>h</t>
    </r>
    <r>
      <rPr>
        <vertAlign val="subscript"/>
        <sz val="11"/>
        <color theme="1"/>
        <rFont val="Calibri"/>
        <family val="3"/>
        <charset val="134"/>
        <scheme val="minor"/>
      </rPr>
      <t>9</t>
    </r>
    <r>
      <rPr>
        <sz val="11"/>
        <color theme="1"/>
        <rFont val="Calibri"/>
        <family val="2"/>
        <scheme val="minor"/>
      </rPr>
      <t/>
    </r>
  </si>
  <si>
    <t>Height of  the course 9</t>
    <phoneticPr fontId="4" type="noConversion"/>
  </si>
  <si>
    <r>
      <t>h</t>
    </r>
    <r>
      <rPr>
        <vertAlign val="subscript"/>
        <sz val="11"/>
        <color theme="1"/>
        <rFont val="Calibri"/>
        <family val="3"/>
        <charset val="134"/>
        <scheme val="minor"/>
      </rPr>
      <t>10</t>
    </r>
    <r>
      <rPr>
        <sz val="11"/>
        <color theme="1"/>
        <rFont val="Calibri"/>
        <family val="2"/>
        <scheme val="minor"/>
      </rPr>
      <t/>
    </r>
  </si>
  <si>
    <t>Height of  the course 10</t>
    <phoneticPr fontId="4" type="noConversion"/>
  </si>
  <si>
    <r>
      <t>H</t>
    </r>
    <r>
      <rPr>
        <vertAlign val="subscript"/>
        <sz val="11"/>
        <color theme="1"/>
        <rFont val="Calibri"/>
        <family val="3"/>
        <charset val="134"/>
        <scheme val="minor"/>
      </rPr>
      <t>1</t>
    </r>
    <phoneticPr fontId="4" type="noConversion"/>
  </si>
  <si>
    <t>Height from the bottom of the course 1 to the top of the shell</t>
    <phoneticPr fontId="4" type="noConversion"/>
  </si>
  <si>
    <r>
      <t>H</t>
    </r>
    <r>
      <rPr>
        <vertAlign val="subscript"/>
        <sz val="11"/>
        <color theme="1"/>
        <rFont val="Calibri"/>
        <family val="3"/>
        <charset val="134"/>
        <scheme val="minor"/>
      </rPr>
      <t>2</t>
    </r>
    <r>
      <rPr>
        <sz val="11"/>
        <color theme="1"/>
        <rFont val="Calibri"/>
        <family val="2"/>
        <scheme val="minor"/>
      </rPr>
      <t/>
    </r>
  </si>
  <si>
    <t>Height from the bottom of the course 2 to the top of the shell</t>
    <phoneticPr fontId="4" type="noConversion"/>
  </si>
  <si>
    <r>
      <t>H</t>
    </r>
    <r>
      <rPr>
        <vertAlign val="subscript"/>
        <sz val="11"/>
        <color theme="1"/>
        <rFont val="Calibri"/>
        <family val="3"/>
        <charset val="134"/>
        <scheme val="minor"/>
      </rPr>
      <t>3</t>
    </r>
    <r>
      <rPr>
        <sz val="11"/>
        <color theme="1"/>
        <rFont val="Calibri"/>
        <family val="2"/>
        <scheme val="minor"/>
      </rPr>
      <t/>
    </r>
  </si>
  <si>
    <t>Height from the bottom of the course 3 to the top of the shell</t>
    <phoneticPr fontId="4" type="noConversion"/>
  </si>
  <si>
    <r>
      <t>H</t>
    </r>
    <r>
      <rPr>
        <vertAlign val="subscript"/>
        <sz val="11"/>
        <color theme="1"/>
        <rFont val="Calibri"/>
        <family val="3"/>
        <charset val="134"/>
        <scheme val="minor"/>
      </rPr>
      <t>4</t>
    </r>
    <r>
      <rPr>
        <sz val="11"/>
        <color theme="1"/>
        <rFont val="Calibri"/>
        <family val="2"/>
        <scheme val="minor"/>
      </rPr>
      <t/>
    </r>
  </si>
  <si>
    <t>Height from the bottom of the course 4 to the top of the shell</t>
    <phoneticPr fontId="4" type="noConversion"/>
  </si>
  <si>
    <r>
      <t>H</t>
    </r>
    <r>
      <rPr>
        <vertAlign val="subscript"/>
        <sz val="11"/>
        <color theme="1"/>
        <rFont val="Calibri"/>
        <family val="3"/>
        <charset val="134"/>
        <scheme val="minor"/>
      </rPr>
      <t>5</t>
    </r>
    <r>
      <rPr>
        <sz val="11"/>
        <color theme="1"/>
        <rFont val="Calibri"/>
        <family val="2"/>
        <scheme val="minor"/>
      </rPr>
      <t/>
    </r>
  </si>
  <si>
    <t>Height from the bottom of the course 5 to the top of the shell</t>
    <phoneticPr fontId="4" type="noConversion"/>
  </si>
  <si>
    <r>
      <t>H</t>
    </r>
    <r>
      <rPr>
        <vertAlign val="subscript"/>
        <sz val="11"/>
        <color theme="1"/>
        <rFont val="Calibri"/>
        <family val="3"/>
        <charset val="134"/>
        <scheme val="minor"/>
      </rPr>
      <t>6</t>
    </r>
    <r>
      <rPr>
        <sz val="11"/>
        <color theme="1"/>
        <rFont val="Calibri"/>
        <family val="2"/>
        <scheme val="minor"/>
      </rPr>
      <t/>
    </r>
  </si>
  <si>
    <t>Height from the bottom of the course 6 to the top of the shell</t>
    <phoneticPr fontId="4" type="noConversion"/>
  </si>
  <si>
    <r>
      <t>H</t>
    </r>
    <r>
      <rPr>
        <vertAlign val="subscript"/>
        <sz val="11"/>
        <color theme="1"/>
        <rFont val="Calibri"/>
        <family val="3"/>
        <charset val="134"/>
        <scheme val="minor"/>
      </rPr>
      <t>7</t>
    </r>
    <r>
      <rPr>
        <sz val="11"/>
        <color theme="1"/>
        <rFont val="Calibri"/>
        <family val="2"/>
        <scheme val="minor"/>
      </rPr>
      <t/>
    </r>
  </si>
  <si>
    <t>Height from the bottom of the course 7 to the top of the shell</t>
    <phoneticPr fontId="4" type="noConversion"/>
  </si>
  <si>
    <r>
      <t>H</t>
    </r>
    <r>
      <rPr>
        <vertAlign val="subscript"/>
        <sz val="11"/>
        <color theme="1"/>
        <rFont val="Calibri"/>
        <family val="3"/>
        <charset val="134"/>
        <scheme val="minor"/>
      </rPr>
      <t>8</t>
    </r>
    <r>
      <rPr>
        <sz val="11"/>
        <color theme="1"/>
        <rFont val="Calibri"/>
        <family val="2"/>
        <scheme val="minor"/>
      </rPr>
      <t/>
    </r>
  </si>
  <si>
    <t>Height from the bottom of the course 8 to the top of the shell</t>
    <phoneticPr fontId="4" type="noConversion"/>
  </si>
  <si>
    <r>
      <t>H</t>
    </r>
    <r>
      <rPr>
        <vertAlign val="subscript"/>
        <sz val="11"/>
        <color theme="1"/>
        <rFont val="Calibri"/>
        <family val="3"/>
        <charset val="134"/>
        <scheme val="minor"/>
      </rPr>
      <t>9</t>
    </r>
    <r>
      <rPr>
        <sz val="11"/>
        <color theme="1"/>
        <rFont val="Calibri"/>
        <family val="2"/>
        <scheme val="minor"/>
      </rPr>
      <t/>
    </r>
  </si>
  <si>
    <t>Height from the bottom of the course 9 to the top of the shell</t>
    <phoneticPr fontId="4" type="noConversion"/>
  </si>
  <si>
    <r>
      <t>H</t>
    </r>
    <r>
      <rPr>
        <vertAlign val="subscript"/>
        <sz val="11"/>
        <color theme="1"/>
        <rFont val="Calibri"/>
        <family val="3"/>
        <charset val="134"/>
        <scheme val="minor"/>
      </rPr>
      <t>10</t>
    </r>
    <r>
      <rPr>
        <sz val="11"/>
        <color theme="1"/>
        <rFont val="Calibri"/>
        <family val="2"/>
        <scheme val="minor"/>
      </rPr>
      <t/>
    </r>
  </si>
  <si>
    <t>Height from the bottom of the course 10 to the top of the shell</t>
    <phoneticPr fontId="4" type="noConversion"/>
  </si>
  <si>
    <r>
      <t>t</t>
    </r>
    <r>
      <rPr>
        <vertAlign val="subscript"/>
        <sz val="11"/>
        <color theme="1"/>
        <rFont val="Calibri"/>
        <family val="3"/>
        <charset val="134"/>
        <scheme val="minor"/>
      </rPr>
      <t>1</t>
    </r>
    <phoneticPr fontId="4" type="noConversion"/>
  </si>
  <si>
    <t>thickness of shell plate 1</t>
    <phoneticPr fontId="4" type="noConversion"/>
  </si>
  <si>
    <r>
      <t>t</t>
    </r>
    <r>
      <rPr>
        <vertAlign val="subscript"/>
        <sz val="11"/>
        <color theme="1"/>
        <rFont val="Calibri"/>
        <family val="3"/>
        <charset val="134"/>
        <scheme val="minor"/>
      </rPr>
      <t>2</t>
    </r>
    <r>
      <rPr>
        <sz val="11"/>
        <color theme="1"/>
        <rFont val="Calibri"/>
        <family val="2"/>
        <scheme val="minor"/>
      </rPr>
      <t/>
    </r>
  </si>
  <si>
    <t>thickness of shell plate 2</t>
  </si>
  <si>
    <r>
      <t>t</t>
    </r>
    <r>
      <rPr>
        <vertAlign val="subscript"/>
        <sz val="11"/>
        <color theme="1"/>
        <rFont val="Calibri"/>
        <family val="3"/>
        <charset val="134"/>
        <scheme val="minor"/>
      </rPr>
      <t>3</t>
    </r>
    <r>
      <rPr>
        <sz val="11"/>
        <color theme="1"/>
        <rFont val="Calibri"/>
        <family val="2"/>
        <scheme val="minor"/>
      </rPr>
      <t/>
    </r>
  </si>
  <si>
    <t>thickness of shell plate 3</t>
  </si>
  <si>
    <r>
      <t>t</t>
    </r>
    <r>
      <rPr>
        <vertAlign val="subscript"/>
        <sz val="11"/>
        <color theme="1"/>
        <rFont val="Calibri"/>
        <family val="3"/>
        <charset val="134"/>
        <scheme val="minor"/>
      </rPr>
      <t>4</t>
    </r>
    <r>
      <rPr>
        <sz val="11"/>
        <color theme="1"/>
        <rFont val="Calibri"/>
        <family val="2"/>
        <scheme val="minor"/>
      </rPr>
      <t/>
    </r>
  </si>
  <si>
    <t>thickness of shell plate 4</t>
  </si>
  <si>
    <r>
      <t>t</t>
    </r>
    <r>
      <rPr>
        <vertAlign val="subscript"/>
        <sz val="11"/>
        <color theme="1"/>
        <rFont val="Calibri"/>
        <family val="3"/>
        <charset val="134"/>
        <scheme val="minor"/>
      </rPr>
      <t>5</t>
    </r>
    <r>
      <rPr>
        <sz val="11"/>
        <color theme="1"/>
        <rFont val="Calibri"/>
        <family val="2"/>
        <scheme val="minor"/>
      </rPr>
      <t/>
    </r>
  </si>
  <si>
    <t>thickness of shell plate 5</t>
  </si>
  <si>
    <r>
      <t>t</t>
    </r>
    <r>
      <rPr>
        <vertAlign val="subscript"/>
        <sz val="11"/>
        <color theme="1"/>
        <rFont val="Calibri"/>
        <family val="3"/>
        <charset val="134"/>
        <scheme val="minor"/>
      </rPr>
      <t>6</t>
    </r>
    <r>
      <rPr>
        <sz val="11"/>
        <color theme="1"/>
        <rFont val="Calibri"/>
        <family val="2"/>
        <scheme val="minor"/>
      </rPr>
      <t/>
    </r>
  </si>
  <si>
    <t>thickness of shell plate 6</t>
  </si>
  <si>
    <r>
      <t>t</t>
    </r>
    <r>
      <rPr>
        <vertAlign val="subscript"/>
        <sz val="11"/>
        <color theme="1"/>
        <rFont val="Calibri"/>
        <family val="3"/>
        <charset val="134"/>
        <scheme val="minor"/>
      </rPr>
      <t>7</t>
    </r>
    <r>
      <rPr>
        <sz val="11"/>
        <color theme="1"/>
        <rFont val="Calibri"/>
        <family val="2"/>
        <scheme val="minor"/>
      </rPr>
      <t/>
    </r>
  </si>
  <si>
    <t>thickness of shell plate 7</t>
  </si>
  <si>
    <r>
      <t>t</t>
    </r>
    <r>
      <rPr>
        <vertAlign val="subscript"/>
        <sz val="11"/>
        <color theme="1"/>
        <rFont val="Calibri"/>
        <family val="3"/>
        <charset val="134"/>
        <scheme val="minor"/>
      </rPr>
      <t>8</t>
    </r>
    <r>
      <rPr>
        <sz val="11"/>
        <color theme="1"/>
        <rFont val="Calibri"/>
        <family val="2"/>
        <scheme val="minor"/>
      </rPr>
      <t/>
    </r>
  </si>
  <si>
    <t>thickness of shell plate 8</t>
  </si>
  <si>
    <r>
      <t>t</t>
    </r>
    <r>
      <rPr>
        <vertAlign val="subscript"/>
        <sz val="11"/>
        <color theme="1"/>
        <rFont val="Calibri"/>
        <family val="3"/>
        <charset val="134"/>
        <scheme val="minor"/>
      </rPr>
      <t>9</t>
    </r>
    <r>
      <rPr>
        <sz val="11"/>
        <color theme="1"/>
        <rFont val="Calibri"/>
        <family val="2"/>
        <scheme val="minor"/>
      </rPr>
      <t/>
    </r>
  </si>
  <si>
    <t>thickness of shell plate 9</t>
  </si>
  <si>
    <r>
      <t>t</t>
    </r>
    <r>
      <rPr>
        <vertAlign val="subscript"/>
        <sz val="11"/>
        <color theme="1"/>
        <rFont val="Calibri"/>
        <family val="3"/>
        <charset val="134"/>
        <scheme val="minor"/>
      </rPr>
      <t>10</t>
    </r>
    <r>
      <rPr>
        <sz val="11"/>
        <color theme="1"/>
        <rFont val="Calibri"/>
        <family val="2"/>
        <scheme val="minor"/>
      </rPr>
      <t/>
    </r>
  </si>
  <si>
    <t>thickness of shell plate 10</t>
  </si>
  <si>
    <r>
      <t>t</t>
    </r>
    <r>
      <rPr>
        <vertAlign val="subscript"/>
        <sz val="11"/>
        <color theme="1"/>
        <rFont val="Calibri"/>
        <family val="3"/>
        <charset val="134"/>
        <scheme val="minor"/>
      </rPr>
      <t>d1</t>
    </r>
    <phoneticPr fontId="4" type="noConversion"/>
  </si>
  <si>
    <r>
      <t>t</t>
    </r>
    <r>
      <rPr>
        <vertAlign val="subscript"/>
        <sz val="11"/>
        <color theme="1"/>
        <rFont val="Calibri"/>
        <family val="3"/>
        <charset val="134"/>
        <scheme val="minor"/>
      </rPr>
      <t>d2</t>
    </r>
    <phoneticPr fontId="4" type="noConversion"/>
  </si>
  <si>
    <r>
      <t>t</t>
    </r>
    <r>
      <rPr>
        <vertAlign val="subscript"/>
        <sz val="11"/>
        <color theme="1"/>
        <rFont val="Calibri"/>
        <family val="3"/>
        <charset val="134"/>
        <scheme val="minor"/>
      </rPr>
      <t>d3</t>
    </r>
    <r>
      <rPr>
        <sz val="11"/>
        <color theme="1"/>
        <rFont val="Calibri"/>
        <family val="2"/>
        <scheme val="minor"/>
      </rPr>
      <t/>
    </r>
  </si>
  <si>
    <r>
      <t>t</t>
    </r>
    <r>
      <rPr>
        <vertAlign val="subscript"/>
        <sz val="11"/>
        <color theme="1"/>
        <rFont val="Calibri"/>
        <family val="3"/>
        <charset val="134"/>
        <scheme val="minor"/>
      </rPr>
      <t>d4</t>
    </r>
    <r>
      <rPr>
        <sz val="11"/>
        <color theme="1"/>
        <rFont val="Calibri"/>
        <family val="2"/>
        <scheme val="minor"/>
      </rPr>
      <t/>
    </r>
  </si>
  <si>
    <r>
      <t>t</t>
    </r>
    <r>
      <rPr>
        <vertAlign val="subscript"/>
        <sz val="11"/>
        <color theme="1"/>
        <rFont val="Calibri"/>
        <family val="3"/>
        <charset val="134"/>
        <scheme val="minor"/>
      </rPr>
      <t>d5</t>
    </r>
    <r>
      <rPr>
        <sz val="11"/>
        <color theme="1"/>
        <rFont val="Calibri"/>
        <family val="2"/>
        <scheme val="minor"/>
      </rPr>
      <t/>
    </r>
  </si>
  <si>
    <r>
      <t>t</t>
    </r>
    <r>
      <rPr>
        <vertAlign val="subscript"/>
        <sz val="11"/>
        <color theme="1"/>
        <rFont val="Calibri"/>
        <family val="3"/>
        <charset val="134"/>
        <scheme val="minor"/>
      </rPr>
      <t>d6</t>
    </r>
    <r>
      <rPr>
        <sz val="11"/>
        <color theme="1"/>
        <rFont val="Calibri"/>
        <family val="2"/>
        <scheme val="minor"/>
      </rPr>
      <t/>
    </r>
  </si>
  <si>
    <r>
      <t>t</t>
    </r>
    <r>
      <rPr>
        <vertAlign val="subscript"/>
        <sz val="11"/>
        <color theme="1"/>
        <rFont val="Calibri"/>
        <family val="3"/>
        <charset val="134"/>
        <scheme val="minor"/>
      </rPr>
      <t>d7</t>
    </r>
    <r>
      <rPr>
        <sz val="11"/>
        <color theme="1"/>
        <rFont val="Calibri"/>
        <family val="2"/>
        <scheme val="minor"/>
      </rPr>
      <t/>
    </r>
  </si>
  <si>
    <r>
      <t>t</t>
    </r>
    <r>
      <rPr>
        <vertAlign val="subscript"/>
        <sz val="11"/>
        <color theme="1"/>
        <rFont val="Calibri"/>
        <family val="3"/>
        <charset val="134"/>
        <scheme val="minor"/>
      </rPr>
      <t>d8</t>
    </r>
    <r>
      <rPr>
        <sz val="11"/>
        <color theme="1"/>
        <rFont val="Calibri"/>
        <family val="2"/>
        <scheme val="minor"/>
      </rPr>
      <t/>
    </r>
  </si>
  <si>
    <r>
      <t>t</t>
    </r>
    <r>
      <rPr>
        <vertAlign val="subscript"/>
        <sz val="11"/>
        <color theme="1"/>
        <rFont val="Calibri"/>
        <family val="3"/>
        <charset val="134"/>
        <scheme val="minor"/>
      </rPr>
      <t>d9</t>
    </r>
    <r>
      <rPr>
        <sz val="11"/>
        <color theme="1"/>
        <rFont val="Calibri"/>
        <family val="2"/>
        <scheme val="minor"/>
      </rPr>
      <t/>
    </r>
  </si>
  <si>
    <r>
      <t>t</t>
    </r>
    <r>
      <rPr>
        <vertAlign val="subscript"/>
        <sz val="11"/>
        <color theme="1"/>
        <rFont val="Calibri"/>
        <family val="3"/>
        <charset val="134"/>
        <scheme val="minor"/>
      </rPr>
      <t>d10</t>
    </r>
    <r>
      <rPr>
        <sz val="11"/>
        <color theme="1"/>
        <rFont val="Calibri"/>
        <family val="2"/>
        <scheme val="minor"/>
      </rPr>
      <t/>
    </r>
  </si>
  <si>
    <t>pd-value1</t>
    <phoneticPr fontId="4" type="noConversion"/>
  </si>
  <si>
    <t>pt-value1</t>
    <phoneticPr fontId="4" type="noConversion"/>
  </si>
  <si>
    <t>pd-value2</t>
  </si>
  <si>
    <t>pt-value2</t>
  </si>
  <si>
    <t>pd-value3</t>
  </si>
  <si>
    <t>pt-value3</t>
  </si>
  <si>
    <t>pd-value4</t>
  </si>
  <si>
    <t>pt-value4</t>
  </si>
  <si>
    <t>pd-value5</t>
  </si>
  <si>
    <t>pt-value5</t>
  </si>
  <si>
    <t>pd-value6</t>
  </si>
  <si>
    <t>pt-value6</t>
  </si>
  <si>
    <t>pd-value7</t>
  </si>
  <si>
    <t>pt-value7</t>
  </si>
  <si>
    <t>pd-value8</t>
  </si>
  <si>
    <t>pt-value8</t>
  </si>
  <si>
    <t>pd-value9</t>
  </si>
  <si>
    <t>pt-value9</t>
  </si>
  <si>
    <t>pd-value10</t>
  </si>
  <si>
    <t>pt-value10</t>
  </si>
  <si>
    <r>
      <t>Table 5.19b—Section Moduli (in.</t>
    </r>
    <r>
      <rPr>
        <b/>
        <sz val="8"/>
        <color indexed="8"/>
        <rFont val="Arial"/>
        <family val="1"/>
        <charset val="204"/>
      </rPr>
      <t>3</t>
    </r>
    <r>
      <rPr>
        <b/>
        <sz val="10"/>
        <color indexed="8"/>
        <rFont val="Arial"/>
        <family val="1"/>
        <charset val="204"/>
      </rPr>
      <t>) of Stiffening-Ring Sections on Tank Shells (USC)</t>
    </r>
  </si>
  <si>
    <t>Dimensions in inches</t>
  </si>
  <si>
    <t>Column 1</t>
  </si>
  <si>
    <t>Column 2</t>
  </si>
  <si>
    <t>Column 3</t>
  </si>
  <si>
    <t>Column 4</t>
  </si>
  <si>
    <t>Column 5</t>
  </si>
  <si>
    <t>Column 6</t>
  </si>
  <si>
    <t>As-Built Shell Thickness</t>
  </si>
  <si>
    <r>
      <t>3</t>
    </r>
    <r>
      <rPr>
        <b/>
        <sz val="9"/>
        <color indexed="8"/>
        <rFont val="Arial"/>
        <family val="1"/>
        <charset val="204"/>
      </rPr>
      <t>/</t>
    </r>
    <r>
      <rPr>
        <b/>
        <sz val="7"/>
        <color indexed="8"/>
        <rFont val="Arial"/>
        <family val="1"/>
        <charset val="204"/>
      </rPr>
      <t>16</t>
    </r>
  </si>
  <si>
    <r>
      <t>1</t>
    </r>
    <r>
      <rPr>
        <b/>
        <sz val="9"/>
        <color indexed="8"/>
        <rFont val="Arial"/>
        <family val="1"/>
        <charset val="204"/>
      </rPr>
      <t>/</t>
    </r>
    <r>
      <rPr>
        <b/>
        <sz val="7"/>
        <color indexed="8"/>
        <rFont val="Arial"/>
        <family val="1"/>
        <charset val="204"/>
      </rPr>
      <t>4</t>
    </r>
  </si>
  <si>
    <r>
      <t>5</t>
    </r>
    <r>
      <rPr>
        <b/>
        <sz val="9"/>
        <color indexed="8"/>
        <rFont val="Arial"/>
        <family val="1"/>
        <charset val="204"/>
      </rPr>
      <t>/</t>
    </r>
    <r>
      <rPr>
        <b/>
        <sz val="7"/>
        <color indexed="8"/>
        <rFont val="Arial"/>
        <family val="1"/>
        <charset val="204"/>
      </rPr>
      <t>16</t>
    </r>
  </si>
  <si>
    <r>
      <t>3</t>
    </r>
    <r>
      <rPr>
        <b/>
        <sz val="9"/>
        <color indexed="8"/>
        <rFont val="Arial"/>
        <family val="1"/>
        <charset val="204"/>
      </rPr>
      <t>/</t>
    </r>
    <r>
      <rPr>
        <b/>
        <sz val="7"/>
        <color indexed="8"/>
        <rFont val="Arial"/>
        <family val="1"/>
        <charset val="204"/>
      </rPr>
      <t>8</t>
    </r>
  </si>
  <si>
    <r>
      <t>7</t>
    </r>
    <r>
      <rPr>
        <b/>
        <sz val="9"/>
        <color indexed="8"/>
        <rFont val="Arial"/>
        <family val="1"/>
        <charset val="204"/>
      </rPr>
      <t>/</t>
    </r>
    <r>
      <rPr>
        <b/>
        <sz val="7"/>
        <color indexed="8"/>
        <rFont val="Arial"/>
        <family val="1"/>
        <charset val="204"/>
      </rPr>
      <t>16</t>
    </r>
  </si>
  <si>
    <t>Top Angle: Figure 5.24, Detail a</t>
  </si>
  <si>
    <r>
      <t>2</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9"/>
        <color indexed="8"/>
        <rFont val="Arial"/>
        <family val="1"/>
        <charset val="204"/>
      </rPr>
      <t>2</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7"/>
        <color indexed="8"/>
        <rFont val="Arial"/>
        <family val="1"/>
        <charset val="204"/>
      </rPr>
      <t>1</t>
    </r>
    <r>
      <rPr>
        <sz val="9"/>
        <color indexed="8"/>
        <rFont val="Arial"/>
        <family val="1"/>
        <charset val="204"/>
      </rPr>
      <t>/</t>
    </r>
    <r>
      <rPr>
        <sz val="7"/>
        <color indexed="8"/>
        <rFont val="Arial"/>
        <family val="1"/>
        <charset val="204"/>
      </rPr>
      <t>4</t>
    </r>
  </si>
  <si>
    <t>—</t>
  </si>
  <si>
    <r>
      <t>2</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9"/>
        <color indexed="8"/>
        <rFont val="Arial"/>
        <family val="1"/>
        <charset val="204"/>
      </rPr>
      <t>2</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7"/>
        <color indexed="8"/>
        <rFont val="Arial"/>
        <family val="1"/>
        <charset val="204"/>
      </rPr>
      <t>5</t>
    </r>
    <r>
      <rPr>
        <sz val="9"/>
        <color indexed="8"/>
        <rFont val="Arial"/>
        <family val="1"/>
        <charset val="204"/>
      </rPr>
      <t>/</t>
    </r>
    <r>
      <rPr>
        <sz val="7"/>
        <color indexed="8"/>
        <rFont val="Arial"/>
        <family val="1"/>
        <charset val="204"/>
      </rPr>
      <t>16</t>
    </r>
  </si>
  <si>
    <r>
      <t xml:space="preserve">3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</si>
  <si>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t>Curb Angle: Figure 5.24, Detail b</t>
  </si>
  <si>
    <r>
      <t xml:space="preserve">3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1</t>
    </r>
    <r>
      <rPr>
        <sz val="9"/>
        <color indexed="8"/>
        <rFont val="Arial"/>
        <family val="1"/>
        <charset val="204"/>
      </rPr>
      <t>/</t>
    </r>
    <r>
      <rPr>
        <sz val="7"/>
        <color indexed="8"/>
        <rFont val="Arial"/>
        <family val="1"/>
        <charset val="204"/>
      </rPr>
      <t>4</t>
    </r>
  </si>
  <si>
    <r>
      <t xml:space="preserve">4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4 </t>
    </r>
    <r>
      <rPr>
        <sz val="9"/>
        <color indexed="8"/>
        <rFont val="Symbol"/>
        <family val="1"/>
        <charset val="204"/>
      </rPr>
      <t></t>
    </r>
    <r>
      <rPr>
        <sz val="9"/>
        <color indexed="8"/>
        <rFont val="Times New Roman"/>
        <family val="1"/>
        <charset val="204"/>
      </rPr>
      <t xml:space="preserve"> </t>
    </r>
    <r>
      <rPr>
        <sz val="7"/>
        <color indexed="8"/>
        <rFont val="Arial"/>
        <family val="1"/>
        <charset val="204"/>
      </rPr>
      <t>1</t>
    </r>
    <r>
      <rPr>
        <sz val="9"/>
        <color indexed="8"/>
        <rFont val="Arial"/>
        <family val="1"/>
        <charset val="204"/>
      </rPr>
      <t>/</t>
    </r>
    <r>
      <rPr>
        <sz val="7"/>
        <color indexed="8"/>
        <rFont val="Arial"/>
        <family val="1"/>
        <charset val="204"/>
      </rPr>
      <t>4</t>
    </r>
  </si>
  <si>
    <r>
      <t xml:space="preserve">4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4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</si>
  <si>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t>One Angle: Figure 5.24, Detail c (See Note)</t>
  </si>
  <si>
    <r>
      <t xml:space="preserve">4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1</t>
    </r>
    <r>
      <rPr>
        <sz val="9"/>
        <color indexed="8"/>
        <rFont val="Arial"/>
        <family val="1"/>
        <charset val="204"/>
      </rPr>
      <t>/</t>
    </r>
    <r>
      <rPr>
        <sz val="7"/>
        <color indexed="8"/>
        <rFont val="Arial"/>
        <family val="1"/>
        <charset val="204"/>
      </rPr>
      <t>4</t>
    </r>
  </si>
  <si>
    <r>
      <t xml:space="preserve">4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5</t>
    </r>
    <r>
      <rPr>
        <sz val="9"/>
        <color indexed="8"/>
        <rFont val="Arial"/>
        <family val="1"/>
        <charset val="204"/>
      </rPr>
      <t>/</t>
    </r>
    <r>
      <rPr>
        <sz val="7"/>
        <color indexed="8"/>
        <rFont val="Arial"/>
        <family val="1"/>
        <charset val="204"/>
      </rPr>
      <t>16</t>
    </r>
  </si>
  <si>
    <r>
      <t xml:space="preserve">5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5</t>
    </r>
    <r>
      <rPr>
        <sz val="9"/>
        <color indexed="8"/>
        <rFont val="Arial"/>
        <family val="1"/>
        <charset val="204"/>
      </rPr>
      <t>/</t>
    </r>
    <r>
      <rPr>
        <sz val="7"/>
        <color indexed="8"/>
        <rFont val="Arial"/>
        <family val="1"/>
        <charset val="204"/>
      </rPr>
      <t>16</t>
    </r>
  </si>
  <si>
    <r>
      <t xml:space="preserve">5 </t>
    </r>
    <r>
      <rPr>
        <sz val="9"/>
        <color indexed="8"/>
        <rFont val="Symbol"/>
        <family val="1"/>
        <charset val="204"/>
      </rPr>
      <t></t>
    </r>
    <r>
      <rPr>
        <sz val="9"/>
        <color indexed="8"/>
        <rFont val="Times New Roman"/>
        <family val="1"/>
        <charset val="204"/>
      </rPr>
      <t xml:space="preserve"> </t>
    </r>
    <r>
      <rPr>
        <sz val="9"/>
        <color indexed="8"/>
        <rFont val="Arial"/>
        <family val="1"/>
        <charset val="204"/>
      </rPr>
      <t>3</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7"/>
        <color indexed="8"/>
        <rFont val="Arial"/>
        <family val="1"/>
        <charset val="204"/>
      </rPr>
      <t>5</t>
    </r>
    <r>
      <rPr>
        <sz val="9"/>
        <color indexed="8"/>
        <rFont val="Arial"/>
        <family val="1"/>
        <charset val="204"/>
      </rPr>
      <t>/</t>
    </r>
    <r>
      <rPr>
        <sz val="7"/>
        <color indexed="8"/>
        <rFont val="Arial"/>
        <family val="1"/>
        <charset val="204"/>
      </rPr>
      <t>16</t>
    </r>
  </si>
  <si>
    <r>
      <t xml:space="preserve">5 </t>
    </r>
    <r>
      <rPr>
        <sz val="9"/>
        <color indexed="8"/>
        <rFont val="Symbol"/>
        <family val="1"/>
        <charset val="204"/>
      </rPr>
      <t></t>
    </r>
    <r>
      <rPr>
        <sz val="9"/>
        <color indexed="8"/>
        <rFont val="Times New Roman"/>
        <family val="1"/>
        <charset val="204"/>
      </rPr>
      <t xml:space="preserve"> </t>
    </r>
    <r>
      <rPr>
        <sz val="9"/>
        <color indexed="8"/>
        <rFont val="Arial"/>
        <family val="1"/>
        <charset val="204"/>
      </rPr>
      <t>3</t>
    </r>
    <r>
      <rPr>
        <sz val="7"/>
        <color indexed="8"/>
        <rFont val="Arial"/>
        <family val="1"/>
        <charset val="204"/>
      </rPr>
      <t>1</t>
    </r>
    <r>
      <rPr>
        <sz val="9"/>
        <color indexed="8"/>
        <rFont val="Arial"/>
        <family val="1"/>
        <charset val="204"/>
      </rPr>
      <t>/</t>
    </r>
    <r>
      <rPr>
        <sz val="7"/>
        <color indexed="8"/>
        <rFont val="Arial"/>
        <family val="1"/>
        <charset val="204"/>
      </rPr>
      <t xml:space="preserve">2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</si>
  <si>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r>
      <t xml:space="preserve">6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4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</si>
  <si>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t>Two Angles: Figure 5.24, Detail d (See Note)</t>
  </si>
  <si>
    <r>
      <t xml:space="preserve">4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</si>
  <si>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r>
      <t xml:space="preserve">5 </t>
    </r>
    <r>
      <rPr>
        <sz val="9"/>
        <color indexed="8"/>
        <rFont val="Symbol"/>
        <family val="1"/>
        <charset val="204"/>
      </rPr>
      <t></t>
    </r>
    <r>
      <rPr>
        <sz val="9"/>
        <color indexed="8"/>
        <rFont val="Times New Roman"/>
        <family val="1"/>
        <charset val="204"/>
      </rPr>
      <t xml:space="preserve"> </t>
    </r>
    <r>
      <rPr>
        <sz val="9"/>
        <color indexed="8"/>
        <rFont val="Arial"/>
        <family val="1"/>
        <charset val="204"/>
      </rPr>
      <t xml:space="preserve">3 </t>
    </r>
    <r>
      <rPr>
        <sz val="9"/>
        <color indexed="8"/>
        <rFont val="Symbol"/>
        <family val="1"/>
        <charset val="204"/>
      </rPr>
      <t></t>
    </r>
    <r>
      <rPr>
        <sz val="9"/>
        <color indexed="8"/>
        <rFont val="Times New Roman"/>
        <family val="1"/>
        <charset val="204"/>
      </rPr>
      <t xml:space="preserve"> </t>
    </r>
    <r>
      <rPr>
        <sz val="7"/>
        <color indexed="8"/>
        <rFont val="Arial"/>
        <family val="1"/>
        <charset val="204"/>
      </rPr>
      <t>3</t>
    </r>
    <r>
      <rPr>
        <sz val="9"/>
        <color indexed="8"/>
        <rFont val="Arial"/>
        <family val="1"/>
        <charset val="204"/>
      </rPr>
      <t>/</t>
    </r>
    <r>
      <rPr>
        <sz val="7"/>
        <color indexed="8"/>
        <rFont val="Arial"/>
        <family val="1"/>
        <charset val="204"/>
      </rPr>
      <t>8</t>
    </r>
  </si>
  <si>
    <t>Formed Plate: Figure 5.24, Detail e</t>
  </si>
  <si>
    <r>
      <t xml:space="preserve">b </t>
    </r>
    <r>
      <rPr>
        <sz val="9"/>
        <color indexed="8"/>
        <rFont val="Arial"/>
        <family val="1"/>
        <charset val="204"/>
      </rPr>
      <t>= 10</t>
    </r>
  </si>
  <si>
    <r>
      <t xml:space="preserve">b </t>
    </r>
    <r>
      <rPr>
        <sz val="9"/>
        <color indexed="8"/>
        <rFont val="Arial"/>
        <family val="1"/>
        <charset val="204"/>
      </rPr>
      <t>= 12</t>
    </r>
  </si>
  <si>
    <r>
      <t xml:space="preserve">b </t>
    </r>
    <r>
      <rPr>
        <sz val="9"/>
        <color indexed="8"/>
        <rFont val="Arial"/>
        <family val="1"/>
        <charset val="204"/>
      </rPr>
      <t>= 14</t>
    </r>
  </si>
  <si>
    <r>
      <t xml:space="preserve">b </t>
    </r>
    <r>
      <rPr>
        <sz val="9"/>
        <color indexed="8"/>
        <rFont val="Arial"/>
        <family val="1"/>
        <charset val="204"/>
      </rPr>
      <t>= 16</t>
    </r>
  </si>
  <si>
    <r>
      <t xml:space="preserve">b </t>
    </r>
    <r>
      <rPr>
        <sz val="9"/>
        <color indexed="8"/>
        <rFont val="Arial"/>
        <family val="1"/>
        <charset val="204"/>
      </rPr>
      <t>= 18</t>
    </r>
  </si>
  <si>
    <r>
      <t xml:space="preserve">b </t>
    </r>
    <r>
      <rPr>
        <sz val="9"/>
        <color indexed="8"/>
        <rFont val="Arial"/>
        <family val="1"/>
        <charset val="204"/>
      </rPr>
      <t>= 20</t>
    </r>
  </si>
  <si>
    <r>
      <t xml:space="preserve">b </t>
    </r>
    <r>
      <rPr>
        <sz val="9"/>
        <color indexed="8"/>
        <rFont val="Arial"/>
        <family val="1"/>
        <charset val="204"/>
      </rPr>
      <t>= 22</t>
    </r>
  </si>
  <si>
    <r>
      <t xml:space="preserve">b </t>
    </r>
    <r>
      <rPr>
        <sz val="9"/>
        <color indexed="8"/>
        <rFont val="Arial"/>
        <family val="1"/>
        <charset val="204"/>
      </rPr>
      <t>= 24</t>
    </r>
  </si>
  <si>
    <r>
      <t xml:space="preserve">b </t>
    </r>
    <r>
      <rPr>
        <sz val="9"/>
        <color indexed="8"/>
        <rFont val="Arial"/>
        <family val="1"/>
        <charset val="204"/>
      </rPr>
      <t>= 26</t>
    </r>
  </si>
  <si>
    <r>
      <t xml:space="preserve">b </t>
    </r>
    <r>
      <rPr>
        <sz val="9"/>
        <color indexed="8"/>
        <rFont val="Arial"/>
        <family val="1"/>
        <charset val="204"/>
      </rPr>
      <t>= 28</t>
    </r>
  </si>
  <si>
    <r>
      <t xml:space="preserve">b </t>
    </r>
    <r>
      <rPr>
        <sz val="9"/>
        <color indexed="8"/>
        <rFont val="Arial"/>
        <family val="1"/>
        <charset val="204"/>
      </rPr>
      <t>= 30</t>
    </r>
  </si>
  <si>
    <r>
      <t xml:space="preserve">b </t>
    </r>
    <r>
      <rPr>
        <sz val="9"/>
        <color indexed="8"/>
        <rFont val="Arial"/>
        <family val="1"/>
        <charset val="204"/>
      </rPr>
      <t>= 32</t>
    </r>
  </si>
  <si>
    <r>
      <t xml:space="preserve">b </t>
    </r>
    <r>
      <rPr>
        <sz val="9"/>
        <color indexed="8"/>
        <rFont val="Arial"/>
        <family val="1"/>
        <charset val="204"/>
      </rPr>
      <t>= 34</t>
    </r>
  </si>
  <si>
    <r>
      <t xml:space="preserve">b </t>
    </r>
    <r>
      <rPr>
        <sz val="9"/>
        <color indexed="8"/>
        <rFont val="Arial"/>
        <family val="1"/>
        <charset val="204"/>
      </rPr>
      <t>= 36</t>
    </r>
  </si>
  <si>
    <r>
      <t xml:space="preserve">b </t>
    </r>
    <r>
      <rPr>
        <sz val="9"/>
        <color indexed="8"/>
        <rFont val="Arial"/>
        <family val="1"/>
        <charset val="204"/>
      </rPr>
      <t>= 38</t>
    </r>
  </si>
  <si>
    <r>
      <t xml:space="preserve">b </t>
    </r>
    <r>
      <rPr>
        <sz val="9"/>
        <color indexed="8"/>
        <rFont val="Arial"/>
        <family val="1"/>
        <charset val="204"/>
      </rPr>
      <t>= 40</t>
    </r>
  </si>
  <si>
    <t>moduli for Details c and d are based on the longer leg being located horizontally (perpendicular to the shell) when angles legs are used.</t>
  </si>
  <si>
    <t>ASTM Specifications</t>
  </si>
  <si>
    <t>CSA Specifications</t>
  </si>
  <si>
    <t>National Standards</t>
  </si>
  <si>
    <t>ISO Specifications</t>
  </si>
  <si>
    <t>EN Specifications</t>
  </si>
  <si>
    <t xml:space="preserve">Plate Specification </t>
    <phoneticPr fontId="4" type="noConversion"/>
  </si>
  <si>
    <t>Grade</t>
  </si>
  <si>
    <t>Nominal Plate Thickness t/in.</t>
    <phoneticPr fontId="4" type="noConversion"/>
  </si>
  <si>
    <t>Minimum Yield Strength psi</t>
    <phoneticPr fontId="4" type="noConversion"/>
  </si>
  <si>
    <t>Minimum Tensile Strength psi</t>
  </si>
  <si>
    <t>Product Design Stress Sd/psi</t>
  </si>
  <si>
    <t>Hydrostatic Test Stress St/psi</t>
  </si>
  <si>
    <t>A283</t>
    <phoneticPr fontId="4" type="noConversion"/>
  </si>
  <si>
    <t>A283_C</t>
    <phoneticPr fontId="4" type="noConversion"/>
  </si>
  <si>
    <t>A285</t>
    <phoneticPr fontId="4" type="noConversion"/>
  </si>
  <si>
    <t>A285_C</t>
    <phoneticPr fontId="4" type="noConversion"/>
  </si>
  <si>
    <t>A131</t>
    <phoneticPr fontId="4" type="noConversion"/>
  </si>
  <si>
    <t>A131_A, B</t>
    <phoneticPr fontId="4" type="noConversion"/>
  </si>
  <si>
    <t>A36</t>
    <phoneticPr fontId="4" type="noConversion"/>
  </si>
  <si>
    <t>A36_—</t>
    <phoneticPr fontId="4" type="noConversion"/>
  </si>
  <si>
    <t>A131_EH 36</t>
    <phoneticPr fontId="4" type="noConversion"/>
  </si>
  <si>
    <r>
      <t>71000</t>
    </r>
    <r>
      <rPr>
        <sz val="7"/>
        <color indexed="8"/>
        <rFont val="Arial"/>
        <family val="1"/>
        <charset val="204"/>
      </rPr>
      <t>a</t>
    </r>
    <phoneticPr fontId="4" type="noConversion"/>
  </si>
  <si>
    <t>A573</t>
    <phoneticPr fontId="4" type="noConversion"/>
  </si>
  <si>
    <t>A573_58</t>
    <phoneticPr fontId="4" type="noConversion"/>
  </si>
  <si>
    <t>A573</t>
  </si>
  <si>
    <t>A573_65</t>
    <phoneticPr fontId="4" type="noConversion"/>
  </si>
  <si>
    <t>A573_70</t>
    <phoneticPr fontId="4" type="noConversion"/>
  </si>
  <si>
    <r>
      <t>70000</t>
    </r>
    <r>
      <rPr>
        <sz val="7"/>
        <color indexed="8"/>
        <rFont val="Arial"/>
        <family val="1"/>
        <charset val="204"/>
      </rPr>
      <t>a</t>
    </r>
    <phoneticPr fontId="4" type="noConversion"/>
  </si>
  <si>
    <t>A516</t>
    <phoneticPr fontId="4" type="noConversion"/>
  </si>
  <si>
    <t>A516_55</t>
    <phoneticPr fontId="4" type="noConversion"/>
  </si>
  <si>
    <t>A516</t>
  </si>
  <si>
    <t>A516_60</t>
    <phoneticPr fontId="4" type="noConversion"/>
  </si>
  <si>
    <t>A516_65</t>
    <phoneticPr fontId="4" type="noConversion"/>
  </si>
  <si>
    <t>A516_70</t>
    <phoneticPr fontId="4" type="noConversion"/>
  </si>
  <si>
    <t>A662</t>
    <phoneticPr fontId="4" type="noConversion"/>
  </si>
  <si>
    <t>A662_B</t>
    <phoneticPr fontId="4" type="noConversion"/>
  </si>
  <si>
    <t>A662</t>
  </si>
  <si>
    <t>A662_C</t>
    <phoneticPr fontId="4" type="noConversion"/>
  </si>
  <si>
    <r>
      <rPr>
        <sz val="11"/>
        <color theme="1"/>
        <rFont val="Calibri"/>
        <family val="1"/>
        <charset val="204"/>
        <scheme val="minor"/>
      </rPr>
      <t>70000</t>
    </r>
    <r>
      <rPr>
        <sz val="7"/>
        <color indexed="8"/>
        <rFont val="Arial"/>
        <family val="1"/>
        <charset val="204"/>
      </rPr>
      <t>a</t>
    </r>
    <phoneticPr fontId="4" type="noConversion"/>
  </si>
  <si>
    <t>A537-1-1</t>
    <phoneticPr fontId="4" type="noConversion"/>
  </si>
  <si>
    <t>1-a</t>
    <phoneticPr fontId="4" type="noConversion"/>
  </si>
  <si>
    <r>
      <t>t</t>
    </r>
    <r>
      <rPr>
        <sz val="11"/>
        <color theme="1"/>
        <rFont val="等线"/>
        <family val="2"/>
        <charset val="134"/>
      </rPr>
      <t>≤2</t>
    </r>
    <r>
      <rPr>
        <vertAlign val="superscript"/>
        <sz val="11"/>
        <color theme="1"/>
        <rFont val="等线"/>
        <family val="3"/>
        <charset val="134"/>
      </rPr>
      <t>1</t>
    </r>
    <r>
      <rPr>
        <sz val="11"/>
        <color theme="1"/>
        <rFont val="等线"/>
        <family val="2"/>
        <charset val="134"/>
      </rPr>
      <t>/</t>
    </r>
    <r>
      <rPr>
        <vertAlign val="subscript"/>
        <sz val="11"/>
        <color theme="1"/>
        <rFont val="等线"/>
        <family val="3"/>
        <charset val="134"/>
      </rPr>
      <t>2</t>
    </r>
    <phoneticPr fontId="4" type="noConversion"/>
  </si>
  <si>
    <r>
      <t>70000</t>
    </r>
    <r>
      <rPr>
        <sz val="7"/>
        <color indexed="8"/>
        <rFont val="Arial"/>
        <family val="1"/>
        <charset val="204"/>
      </rPr>
      <t>a</t>
    </r>
    <r>
      <rPr>
        <sz val="9"/>
        <color indexed="8"/>
        <rFont val="Arial"/>
        <family val="1"/>
        <charset val="204"/>
      </rPr>
      <t/>
    </r>
    <phoneticPr fontId="4" type="noConversion"/>
  </si>
  <si>
    <t>A537-1-2</t>
    <phoneticPr fontId="4" type="noConversion"/>
  </si>
  <si>
    <t>1-b</t>
    <phoneticPr fontId="4" type="noConversion"/>
  </si>
  <si>
    <r>
      <t>2</t>
    </r>
    <r>
      <rPr>
        <vertAlign val="superscript"/>
        <sz val="11"/>
        <color theme="1"/>
        <rFont val="Calibri"/>
        <family val="3"/>
        <charset val="134"/>
        <scheme val="minor"/>
      </rPr>
      <t>1</t>
    </r>
    <r>
      <rPr>
        <sz val="11"/>
        <color theme="1"/>
        <rFont val="Calibri"/>
        <family val="2"/>
        <charset val="134"/>
        <scheme val="minor"/>
      </rPr>
      <t>/</t>
    </r>
    <r>
      <rPr>
        <vertAlign val="subscript"/>
        <sz val="11"/>
        <color theme="1"/>
        <rFont val="Calibri"/>
        <family val="3"/>
        <charset val="134"/>
        <scheme val="minor"/>
      </rPr>
      <t>2</t>
    </r>
    <r>
      <rPr>
        <sz val="11"/>
        <color theme="1"/>
        <rFont val="Calibri"/>
        <family val="3"/>
        <charset val="134"/>
        <scheme val="minor"/>
      </rPr>
      <t>&lt;</t>
    </r>
    <r>
      <rPr>
        <sz val="11"/>
        <color theme="1"/>
        <rFont val="Calibri"/>
        <family val="2"/>
        <charset val="134"/>
        <scheme val="minor"/>
      </rPr>
      <t>t≤4</t>
    </r>
    <phoneticPr fontId="4" type="noConversion"/>
  </si>
  <si>
    <r>
      <t>65000</t>
    </r>
    <r>
      <rPr>
        <vertAlign val="subscript"/>
        <sz val="11"/>
        <color theme="1"/>
        <rFont val="Calibri"/>
        <family val="3"/>
        <charset val="134"/>
        <scheme val="minor"/>
      </rPr>
      <t>b</t>
    </r>
    <phoneticPr fontId="4" type="noConversion"/>
  </si>
  <si>
    <t>A537-2-1</t>
    <phoneticPr fontId="4" type="noConversion"/>
  </si>
  <si>
    <t>2-a</t>
    <phoneticPr fontId="4" type="noConversion"/>
  </si>
  <si>
    <r>
      <t>80000</t>
    </r>
    <r>
      <rPr>
        <sz val="7"/>
        <color indexed="8"/>
        <rFont val="Arial"/>
        <family val="1"/>
        <charset val="204"/>
      </rPr>
      <t>a</t>
    </r>
    <r>
      <rPr>
        <sz val="9"/>
        <color indexed="8"/>
        <rFont val="Arial"/>
        <family val="1"/>
        <charset val="204"/>
      </rPr>
      <t/>
    </r>
    <phoneticPr fontId="4" type="noConversion"/>
  </si>
  <si>
    <t>A537-2-2</t>
    <phoneticPr fontId="4" type="noConversion"/>
  </si>
  <si>
    <t>2-b</t>
    <phoneticPr fontId="4" type="noConversion"/>
  </si>
  <si>
    <r>
      <t>75000</t>
    </r>
    <r>
      <rPr>
        <vertAlign val="subscript"/>
        <sz val="11"/>
        <color theme="1"/>
        <rFont val="Calibri"/>
        <family val="3"/>
        <charset val="134"/>
        <scheme val="minor"/>
      </rPr>
      <t>b</t>
    </r>
    <phoneticPr fontId="4" type="noConversion"/>
  </si>
  <si>
    <t>A633-1</t>
    <phoneticPr fontId="4" type="noConversion"/>
  </si>
  <si>
    <t>C, D-1</t>
    <phoneticPr fontId="4" type="noConversion"/>
  </si>
  <si>
    <t>A633-2</t>
    <phoneticPr fontId="4" type="noConversion"/>
  </si>
  <si>
    <t>C, D-2</t>
    <phoneticPr fontId="4" type="noConversion"/>
  </si>
  <si>
    <t>A737</t>
  </si>
  <si>
    <t>B</t>
  </si>
  <si>
    <t>A841</t>
  </si>
  <si>
    <t>Class 1, Grades A and B</t>
  </si>
  <si>
    <t>Class 2, Grades A and B</t>
  </si>
  <si>
    <r>
      <t>80000</t>
    </r>
    <r>
      <rPr>
        <sz val="7"/>
        <color indexed="8"/>
        <rFont val="Arial"/>
        <family val="1"/>
        <charset val="204"/>
      </rPr>
      <t>a</t>
    </r>
    <phoneticPr fontId="4" type="noConversion"/>
  </si>
  <si>
    <t>G40.21</t>
  </si>
  <si>
    <t>38W</t>
  </si>
  <si>
    <t>38WT</t>
  </si>
  <si>
    <t>44W</t>
  </si>
  <si>
    <t>44WT</t>
  </si>
  <si>
    <t>50W</t>
  </si>
  <si>
    <t>50WT-1</t>
    <phoneticPr fontId="4" type="noConversion"/>
  </si>
  <si>
    <r>
      <t>65000</t>
    </r>
    <r>
      <rPr>
        <sz val="7"/>
        <color indexed="8"/>
        <rFont val="Arial"/>
        <family val="1"/>
        <charset val="204"/>
      </rPr>
      <t>a</t>
    </r>
    <phoneticPr fontId="4" type="noConversion"/>
  </si>
  <si>
    <t>50WT-2</t>
    <phoneticPr fontId="4" type="noConversion"/>
  </si>
  <si>
    <r>
      <t>65000</t>
    </r>
    <r>
      <rPr>
        <vertAlign val="subscript"/>
        <sz val="11"/>
        <color theme="1"/>
        <rFont val="Calibri"/>
        <family val="3"/>
        <charset val="134"/>
        <scheme val="minor"/>
      </rPr>
      <t>a</t>
    </r>
    <r>
      <rPr>
        <sz val="7"/>
        <color indexed="8"/>
        <rFont val="Arial"/>
        <family val="1"/>
        <charset val="204"/>
      </rPr>
      <t/>
    </r>
    <phoneticPr fontId="4" type="noConversion"/>
  </si>
  <si>
    <t xml:space="preserve">ISO 630          </t>
    <phoneticPr fontId="4" type="noConversion"/>
  </si>
  <si>
    <t>S275C, D-a</t>
    <phoneticPr fontId="4" type="noConversion"/>
  </si>
  <si>
    <r>
      <t>t</t>
    </r>
    <r>
      <rPr>
        <sz val="11"/>
        <color theme="1"/>
        <rFont val="等线"/>
        <family val="2"/>
        <charset val="134"/>
      </rPr>
      <t>≤</t>
    </r>
    <r>
      <rPr>
        <vertAlign val="superscript"/>
        <sz val="11"/>
        <color theme="1"/>
        <rFont val="等线"/>
        <family val="3"/>
        <charset val="134"/>
      </rPr>
      <t>5</t>
    </r>
    <r>
      <rPr>
        <sz val="11"/>
        <color theme="1"/>
        <rFont val="等线"/>
        <family val="2"/>
        <charset val="134"/>
      </rPr>
      <t>/</t>
    </r>
    <r>
      <rPr>
        <vertAlign val="subscript"/>
        <sz val="11"/>
        <color theme="1"/>
        <rFont val="等线"/>
        <family val="3"/>
        <charset val="134"/>
      </rPr>
      <t>8</t>
    </r>
    <phoneticPr fontId="4" type="noConversion"/>
  </si>
  <si>
    <t>S275C, D-b</t>
    <phoneticPr fontId="4" type="noConversion"/>
  </si>
  <si>
    <r>
      <rPr>
        <vertAlign val="superscript"/>
        <sz val="11"/>
        <color theme="1"/>
        <rFont val="Calibri"/>
        <family val="3"/>
        <charset val="134"/>
        <scheme val="minor"/>
      </rPr>
      <t>5</t>
    </r>
    <r>
      <rPr>
        <sz val="11"/>
        <color theme="1"/>
        <rFont val="Calibri"/>
        <family val="3"/>
        <charset val="134"/>
        <scheme val="minor"/>
      </rPr>
      <t>/</t>
    </r>
    <r>
      <rPr>
        <vertAlign val="subscript"/>
        <sz val="11"/>
        <color theme="1"/>
        <rFont val="Calibri"/>
        <family val="3"/>
        <charset val="134"/>
        <scheme val="minor"/>
      </rPr>
      <t>8</t>
    </r>
    <r>
      <rPr>
        <sz val="11"/>
        <color theme="1"/>
        <rFont val="Calibri"/>
        <family val="3"/>
        <charset val="134"/>
        <scheme val="minor"/>
      </rPr>
      <t>&lt;</t>
    </r>
    <r>
      <rPr>
        <sz val="11"/>
        <color theme="1"/>
        <rFont val="Calibri"/>
        <family val="2"/>
        <charset val="134"/>
        <scheme val="minor"/>
      </rPr>
      <t>t≤1</t>
    </r>
    <r>
      <rPr>
        <vertAlign val="superscript"/>
        <sz val="11"/>
        <color theme="1"/>
        <rFont val="Calibri"/>
        <family val="3"/>
        <charset val="134"/>
        <scheme val="minor"/>
      </rPr>
      <t>1</t>
    </r>
    <r>
      <rPr>
        <sz val="11"/>
        <color theme="1"/>
        <rFont val="Calibri"/>
        <family val="2"/>
        <charset val="134"/>
        <scheme val="minor"/>
      </rPr>
      <t>/</t>
    </r>
    <r>
      <rPr>
        <vertAlign val="subscript"/>
        <sz val="11"/>
        <color theme="1"/>
        <rFont val="Calibri"/>
        <family val="3"/>
        <charset val="134"/>
        <scheme val="minor"/>
      </rPr>
      <t>2</t>
    </r>
    <phoneticPr fontId="4" type="noConversion"/>
  </si>
  <si>
    <t>S355C, D-a</t>
    <phoneticPr fontId="4" type="noConversion"/>
  </si>
  <si>
    <r>
      <t>68,100</t>
    </r>
    <r>
      <rPr>
        <sz val="7"/>
        <color indexed="8"/>
        <rFont val="Arial"/>
        <family val="1"/>
        <charset val="204"/>
      </rPr>
      <t>a</t>
    </r>
  </si>
  <si>
    <t>S355C, D-b</t>
    <phoneticPr fontId="4" type="noConversion"/>
  </si>
  <si>
    <t>S355C, D-c</t>
    <phoneticPr fontId="4" type="noConversion"/>
  </si>
  <si>
    <r>
      <rPr>
        <sz val="11"/>
        <color theme="1"/>
        <rFont val="Calibri"/>
        <family val="2"/>
        <charset val="134"/>
        <scheme val="minor"/>
      </rPr>
      <t>1</t>
    </r>
    <r>
      <rPr>
        <vertAlign val="superscript"/>
        <sz val="11"/>
        <color theme="1"/>
        <rFont val="Calibri"/>
        <family val="3"/>
        <charset val="134"/>
        <scheme val="minor"/>
      </rPr>
      <t>1</t>
    </r>
    <r>
      <rPr>
        <sz val="11"/>
        <color theme="1"/>
        <rFont val="Calibri"/>
        <family val="2"/>
        <charset val="134"/>
        <scheme val="minor"/>
      </rPr>
      <t>/</t>
    </r>
    <r>
      <rPr>
        <vertAlign val="subscript"/>
        <sz val="11"/>
        <color theme="1"/>
        <rFont val="Calibri"/>
        <family val="3"/>
        <charset val="134"/>
        <scheme val="minor"/>
      </rPr>
      <t>2</t>
    </r>
    <r>
      <rPr>
        <sz val="11"/>
        <color theme="1"/>
        <rFont val="Calibri"/>
        <family val="3"/>
        <charset val="134"/>
        <scheme val="minor"/>
      </rPr>
      <t>&lt;t</t>
    </r>
    <r>
      <rPr>
        <sz val="11"/>
        <color theme="1"/>
        <rFont val="等线"/>
        <family val="3"/>
        <charset val="134"/>
      </rPr>
      <t>≤</t>
    </r>
    <r>
      <rPr>
        <sz val="11"/>
        <color theme="1"/>
        <rFont val="Calibri"/>
        <family val="2"/>
        <charset val="134"/>
        <scheme val="minor"/>
      </rPr>
      <t>2</t>
    </r>
    <phoneticPr fontId="4" type="noConversion"/>
  </si>
  <si>
    <t>EN10025</t>
    <phoneticPr fontId="4" type="noConversion"/>
  </si>
  <si>
    <t>S 275J0, J2-a</t>
    <phoneticPr fontId="4" type="noConversion"/>
  </si>
  <si>
    <t>S 275J0, J3-b</t>
    <phoneticPr fontId="4" type="noConversion"/>
  </si>
  <si>
    <t>S 355J0, J2, K2-a</t>
    <phoneticPr fontId="4" type="noConversion"/>
  </si>
  <si>
    <t>S 355J0, J2, K3-b</t>
    <phoneticPr fontId="4" type="noConversion"/>
  </si>
  <si>
    <t>S 355J0, J2, K4-c</t>
    <phoneticPr fontId="4" type="noConversion"/>
  </si>
  <si>
    <r>
      <t>t</t>
    </r>
    <r>
      <rPr>
        <vertAlign val="subscript"/>
        <sz val="11"/>
        <color theme="1"/>
        <rFont val="Calibri"/>
        <family val="2"/>
        <charset val="134"/>
        <scheme val="minor"/>
      </rPr>
      <t>d</t>
    </r>
    <r>
      <rPr>
        <vertAlign val="subscript"/>
        <sz val="11"/>
        <color theme="1"/>
        <rFont val="Calibri"/>
        <family val="3"/>
        <charset val="134"/>
        <scheme val="minor"/>
      </rPr>
      <t>x</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</si>
</sst>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8">
    <font>
      <sz val="11"/>
      <color theme="1"/>
      <name val="Calibri"/>
      <family val="2"/>
      <charset val="134"/>
      <scheme val="minor"/>
    </font>
    <font>
      <sz val="11"/>
      <color theme="1"/>
      <name val="Calibri"/>
      <family val="2"/>
      <scheme val="minor"/>
    </font>
    <font>
      <sz val="11"/>
      <color theme="1"/>
      <name val="Calibri"/>
      <family val="2"/>
      <scheme val="minor"/>
    </font>
    <font>
      <sz val="11"/>
      <color theme="1"/>
      <name val="等线"/>
      <family val="2"/>
      <charset val="134"/>
    </font>
    <font>
      <sz val="9"/>
      <name val="Calibri"/>
      <family val="2"/>
      <charset val="134"/>
      <scheme val="minor"/>
    </font>
    <font>
      <vertAlign val="superscript"/>
      <sz val="11"/>
      <color theme="1"/>
      <name val="Calibri"/>
      <family val="3"/>
      <charset val="134"/>
      <scheme val="minor"/>
    </font>
    <font>
      <sz val="11"/>
      <color theme="1"/>
      <name val="Calibri"/>
      <family val="3"/>
      <charset val="134"/>
      <scheme val="minor"/>
    </font>
    <font>
      <vertAlign val="subscript"/>
      <sz val="11"/>
      <color theme="1"/>
      <name val="Calibri"/>
      <family val="3"/>
      <charset val="134"/>
      <scheme val="minor"/>
    </font>
    <font>
      <vertAlign val="subscript"/>
      <sz val="11"/>
      <color theme="1"/>
      <name val="Calibri"/>
      <family val="2"/>
      <charset val="134"/>
      <scheme val="minor"/>
    </font>
    <font>
      <vertAlign val="subscript"/>
      <sz val="11"/>
      <color theme="1"/>
      <name val="等线"/>
      <family val="3"/>
      <charset val="134"/>
    </font>
    <font>
      <sz val="7"/>
      <color indexed="8"/>
      <name val="Arial"/>
      <family val="1"/>
      <charset val="204"/>
    </font>
    <font>
      <sz val="9"/>
      <color indexed="8"/>
      <name val="Arial"/>
      <family val="1"/>
      <charset val="204"/>
    </font>
    <font>
      <vertAlign val="superscript"/>
      <sz val="11"/>
      <color theme="1"/>
      <name val="等线"/>
      <family val="3"/>
      <charset val="134"/>
    </font>
    <font>
      <sz val="11"/>
      <color theme="1"/>
      <name val="Calibri"/>
      <family val="1"/>
      <charset val="204"/>
      <scheme val="minor"/>
    </font>
    <font>
      <b/>
      <sz val="11"/>
      <color theme="1"/>
      <name val="Calibri"/>
      <family val="3"/>
      <charset val="134"/>
      <scheme val="minor"/>
    </font>
    <font>
      <sz val="11"/>
      <color theme="1"/>
      <name val="等线"/>
      <family val="3"/>
      <charset val="134"/>
    </font>
    <font>
      <sz val="10"/>
      <name val="Times New Roman"/>
      <family val="1"/>
      <charset val="204"/>
    </font>
    <font>
      <sz val="9"/>
      <color indexed="8"/>
      <name val="Arial"/>
      <family val="2"/>
    </font>
    <font>
      <b/>
      <sz val="8"/>
      <color indexed="8"/>
      <name val="Arial"/>
      <family val="1"/>
      <charset val="204"/>
    </font>
    <font>
      <b/>
      <sz val="10"/>
      <color indexed="8"/>
      <name val="Arial"/>
      <family val="1"/>
      <charset val="204"/>
    </font>
    <font>
      <b/>
      <sz val="9"/>
      <color indexed="8"/>
      <name val="Arial"/>
      <family val="2"/>
    </font>
    <font>
      <b/>
      <sz val="9"/>
      <color indexed="8"/>
      <name val="Arial"/>
      <family val="1"/>
      <charset val="204"/>
    </font>
    <font>
      <b/>
      <sz val="7"/>
      <color indexed="8"/>
      <name val="Arial"/>
      <family val="1"/>
      <charset val="204"/>
    </font>
    <font>
      <sz val="9"/>
      <color indexed="8"/>
      <name val="Symbol"/>
      <family val="1"/>
      <charset val="204"/>
    </font>
    <font>
      <sz val="9"/>
      <color indexed="8"/>
      <name val="Times New Roman"/>
      <family val="1"/>
      <charset val="204"/>
    </font>
    <font>
      <i/>
      <sz val="10"/>
      <color indexed="8"/>
      <name val="Times New Roman"/>
      <family val="1"/>
      <charset val="204"/>
    </font>
    <font>
      <sz val="8"/>
      <color indexed="8"/>
      <name val="Arial"/>
      <family val="2"/>
    </font>
    <font>
      <sz val="11"/>
      <color rgb="FF000000"/>
      <name val="等线"/>
      <charset val="134"/>
    </font>
    <font>
      <sz val="11"/>
      <color rgb="FF444444"/>
      <name val="Calibri"/>
      <family val="2"/>
      <charset val="1"/>
    </font>
    <font>
      <sz val="10"/>
      <name val="Times New Roman"/>
      <family val="1"/>
    </font>
    <font>
      <sz val="11"/>
      <color theme="1"/>
      <name val="Times New Roman"/>
      <family val="1"/>
    </font>
    <font>
      <sz val="12"/>
      <color theme="1"/>
      <name val="Times New Roman"/>
      <family val="1"/>
    </font>
    <font>
      <sz val="12"/>
      <color indexed="8"/>
      <name val="Times New Roman"/>
      <family val="1"/>
    </font>
    <font>
      <i/>
      <sz val="12"/>
      <color indexed="8"/>
      <name val="Times New Roman"/>
      <family val="1"/>
    </font>
    <font>
      <i/>
      <vertAlign val="superscript"/>
      <sz val="12"/>
      <color indexed="8"/>
      <name val="Times New Roman"/>
      <family val="1"/>
    </font>
    <font>
      <sz val="8"/>
      <color indexed="63"/>
      <name val="Times New Roman"/>
      <family val="2"/>
    </font>
    <font>
      <sz val="12"/>
      <color indexed="63"/>
      <name val="Times New Roman"/>
      <family val="1"/>
    </font>
    <font>
      <i/>
      <sz val="12"/>
      <color indexed="63"/>
      <name val="Times New Roman"/>
      <family val="1"/>
    </font>
    <font>
      <sz val="12"/>
      <color indexed="63"/>
      <name val="Times New Roman"/>
      <family val="2"/>
    </font>
    <font>
      <b/>
      <sz val="12"/>
      <color indexed="63"/>
      <name val="Times New Roman"/>
      <family val="2"/>
    </font>
    <font>
      <b/>
      <sz val="12"/>
      <color theme="1"/>
      <name val="Times New Roman"/>
      <family val="1"/>
    </font>
    <font>
      <vertAlign val="superscript"/>
      <sz val="12"/>
      <color theme="1"/>
      <name val="Times New Roman"/>
      <family val="1"/>
    </font>
    <font>
      <sz val="11"/>
      <color rgb="FFFF0000"/>
      <name val="Calibri"/>
      <family val="2"/>
      <charset val="134"/>
      <scheme val="minor"/>
    </font>
    <font>
      <vertAlign val="subscript"/>
      <sz val="11"/>
      <color theme="1"/>
      <name val="Calibri"/>
      <family val="2"/>
      <scheme val="minor"/>
    </font>
    <font>
      <vertAlign val="superscript"/>
      <sz val="11"/>
      <color theme="1"/>
      <name val="Calibri"/>
      <family val="2"/>
      <scheme val="minor"/>
    </font>
    <font>
      <sz val="12"/>
      <name val="Times New Roman"/>
      <family val="1"/>
    </font>
    <font>
      <vertAlign val="superscript"/>
      <sz val="12"/>
      <color rgb="FF000000"/>
      <name val="Times New Roman"/>
      <family val="1"/>
    </font>
    <font>
      <sz val="11"/>
      <color rgb="FFFF0000"/>
      <name val="Calibri"/>
      <family val="2"/>
      <scheme val="minor"/>
    </font>
  </fonts>
  <fills count="13">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7"/>
        <bgColor indexed="64"/>
      </patternFill>
    </fill>
    <fill>
      <patternFill patternType="solid">
        <fgColor theme="2"/>
        <bgColor indexed="64"/>
      </patternFill>
    </fill>
    <fill>
      <patternFill patternType="solid">
        <fgColor theme="4" tint="0.79998168889431442"/>
        <bgColor indexed="64"/>
      </patternFill>
    </fill>
    <fill>
      <patternFill patternType="solid">
        <fgColor rgb="FF00B0F0"/>
        <bgColor indexed="64"/>
      </patternFill>
    </fill>
    <fill>
      <patternFill patternType="solid">
        <fgColor theme="7" tint="0.39997558519241921"/>
        <bgColor indexed="64"/>
      </patternFill>
    </fill>
    <fill>
      <patternFill patternType="solid">
        <fgColor rgb="FF92D05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27">
    <xf numFmtId="0" fontId="0" fillId="0" borderId="0" xfId="0">
      <alignment vertical="center"/>
    </xf>
    <xf numFmtId="0" fontId="0" fillId="2" borderId="1" xfId="0" applyFill="1" applyBorder="1">
      <alignment vertical="center"/>
    </xf>
    <xf numFmtId="0" fontId="0" fillId="0" borderId="0" xfId="0" applyAlignment="1">
      <alignment horizontal="center" vertical="center"/>
    </xf>
    <xf numFmtId="0" fontId="13" fillId="0" borderId="0" xfId="0" applyFont="1" applyAlignment="1">
      <alignment horizontal="center" vertical="center"/>
    </xf>
    <xf numFmtId="0" fontId="14" fillId="0" borderId="0" xfId="0" applyFont="1">
      <alignment vertical="center"/>
    </xf>
    <xf numFmtId="0" fontId="6" fillId="0" borderId="0" xfId="0" applyFont="1" applyAlignment="1">
      <alignment horizontal="center" vertical="center"/>
    </xf>
    <xf numFmtId="14" fontId="0" fillId="0" borderId="0" xfId="0" applyNumberFormat="1" applyAlignment="1">
      <alignment horizontal="center" vertical="center"/>
    </xf>
    <xf numFmtId="0" fontId="3" fillId="0" borderId="0" xfId="0" applyFont="1">
      <alignment vertical="center"/>
    </xf>
    <xf numFmtId="0" fontId="16" fillId="0" borderId="0" xfId="0" applyFont="1" applyAlignment="1">
      <alignment vertical="top" wrapText="1"/>
    </xf>
    <xf numFmtId="0" fontId="19" fillId="0" borderId="0" xfId="0" applyFont="1" applyAlignment="1">
      <alignment horizontal="left" vertical="top"/>
    </xf>
    <xf numFmtId="0" fontId="17" fillId="0" borderId="0" xfId="0" applyFont="1" applyAlignment="1">
      <alignment horizontal="left" vertical="top"/>
    </xf>
    <xf numFmtId="0" fontId="16" fillId="0" borderId="0" xfId="0" applyFont="1" applyAlignment="1">
      <alignment horizontal="left"/>
    </xf>
    <xf numFmtId="0" fontId="20" fillId="0" borderId="8" xfId="0" applyFont="1" applyBorder="1" applyAlignment="1">
      <alignment horizontal="center" vertical="top" wrapText="1"/>
    </xf>
    <xf numFmtId="0" fontId="22" fillId="0" borderId="11" xfId="0" applyFont="1" applyBorder="1" applyAlignment="1">
      <alignment horizontal="center" vertical="top" wrapText="1"/>
    </xf>
    <xf numFmtId="2" fontId="17" fillId="0" borderId="11" xfId="0" applyNumberFormat="1" applyFont="1" applyBorder="1" applyAlignment="1">
      <alignment horizontal="center" vertical="top" shrinkToFit="1"/>
    </xf>
    <xf numFmtId="0" fontId="17" fillId="0" borderId="11" xfId="0" applyFont="1" applyBorder="1" applyAlignment="1">
      <alignment horizontal="center" vertical="top" wrapText="1"/>
    </xf>
    <xf numFmtId="0" fontId="17" fillId="0" borderId="9" xfId="0" applyFont="1" applyBorder="1" applyAlignment="1">
      <alignment horizontal="center" vertical="top" wrapText="1"/>
    </xf>
    <xf numFmtId="0" fontId="0" fillId="8" borderId="0" xfId="0" applyFill="1">
      <alignment vertical="center"/>
    </xf>
    <xf numFmtId="0" fontId="0" fillId="9" borderId="0" xfId="0" applyFill="1">
      <alignment vertical="center"/>
    </xf>
    <xf numFmtId="0" fontId="29" fillId="0" borderId="0" xfId="0" applyFont="1" applyAlignment="1">
      <alignment vertical="top" wrapText="1"/>
    </xf>
    <xf numFmtId="0" fontId="0" fillId="6" borderId="1" xfId="0" applyFill="1" applyBorder="1">
      <alignment vertical="center"/>
    </xf>
    <xf numFmtId="0" fontId="31" fillId="0" borderId="0" xfId="0" applyFont="1">
      <alignment vertical="center"/>
    </xf>
    <xf numFmtId="0" fontId="31" fillId="0" borderId="1" xfId="0" applyFont="1" applyBorder="1">
      <alignment vertical="center"/>
    </xf>
    <xf numFmtId="0" fontId="30" fillId="0" borderId="1" xfId="0" applyFont="1" applyBorder="1">
      <alignment vertical="center"/>
    </xf>
    <xf numFmtId="0" fontId="31" fillId="0" borderId="1" xfId="0" applyFont="1" applyBorder="1" applyAlignment="1">
      <alignment horizontal="center" vertical="center"/>
    </xf>
    <xf numFmtId="0" fontId="0" fillId="6" borderId="1" xfId="0" applyFill="1" applyBorder="1" applyAlignment="1">
      <alignment horizontal="center" vertical="center"/>
    </xf>
    <xf numFmtId="0" fontId="0" fillId="6" borderId="28" xfId="0" applyFill="1" applyBorder="1">
      <alignment vertical="center"/>
    </xf>
    <xf numFmtId="0" fontId="35" fillId="0" borderId="0" xfId="0" applyFont="1" applyAlignment="1">
      <alignment horizontal="left" vertical="top" indent="11"/>
    </xf>
    <xf numFmtId="0" fontId="0" fillId="2" borderId="26" xfId="0" applyFill="1" applyBorder="1">
      <alignment vertical="center"/>
    </xf>
    <xf numFmtId="164" fontId="0" fillId="0" borderId="0" xfId="0" applyNumberFormat="1">
      <alignment vertical="center"/>
    </xf>
    <xf numFmtId="164" fontId="0" fillId="0" borderId="0" xfId="0" applyNumberFormat="1" applyAlignment="1">
      <alignment horizontal="center" vertical="center"/>
    </xf>
    <xf numFmtId="164" fontId="0" fillId="5" borderId="0" xfId="0" applyNumberFormat="1" applyFill="1">
      <alignment vertical="center"/>
    </xf>
    <xf numFmtId="164" fontId="0" fillId="10" borderId="0" xfId="0" applyNumberFormat="1" applyFill="1">
      <alignment vertical="center"/>
    </xf>
    <xf numFmtId="164" fontId="45" fillId="0" borderId="0" xfId="0" applyNumberFormat="1" applyFont="1" applyAlignment="1">
      <alignment vertical="top" wrapText="1"/>
    </xf>
    <xf numFmtId="164" fontId="16" fillId="0" borderId="0" xfId="0" applyNumberFormat="1" applyFont="1" applyAlignment="1">
      <alignment vertical="top" wrapText="1"/>
    </xf>
    <xf numFmtId="164" fontId="32" fillId="0" borderId="1" xfId="0" applyNumberFormat="1" applyFont="1" applyBorder="1" applyAlignment="1">
      <alignment horizontal="center" vertical="top" wrapText="1"/>
    </xf>
    <xf numFmtId="164" fontId="32" fillId="0" borderId="1" xfId="0" applyNumberFormat="1" applyFont="1" applyBorder="1" applyAlignment="1">
      <alignment horizontal="center" vertical="top" shrinkToFit="1"/>
    </xf>
    <xf numFmtId="164" fontId="32" fillId="0" borderId="0" xfId="0" applyNumberFormat="1" applyFont="1" applyAlignment="1">
      <alignment horizontal="left" vertical="top"/>
    </xf>
    <xf numFmtId="164" fontId="0" fillId="8" borderId="0" xfId="0" applyNumberFormat="1" applyFill="1">
      <alignment vertical="center"/>
    </xf>
    <xf numFmtId="164" fontId="0" fillId="9" borderId="0" xfId="0" applyNumberFormat="1" applyFill="1">
      <alignment vertical="center"/>
    </xf>
    <xf numFmtId="164" fontId="0" fillId="7" borderId="0" xfId="0" applyNumberFormat="1" applyFill="1">
      <alignment vertical="center"/>
    </xf>
    <xf numFmtId="164" fontId="0" fillId="3" borderId="0" xfId="0" applyNumberFormat="1" applyFill="1">
      <alignment vertical="center"/>
    </xf>
    <xf numFmtId="0" fontId="0" fillId="3" borderId="1" xfId="0" applyFill="1" applyBorder="1">
      <alignment vertical="center"/>
    </xf>
    <xf numFmtId="0" fontId="6" fillId="3" borderId="1" xfId="0" applyFont="1" applyFill="1" applyBorder="1">
      <alignment vertical="center"/>
    </xf>
    <xf numFmtId="0" fontId="0" fillId="4" borderId="1" xfId="0" applyFill="1" applyBorder="1">
      <alignment vertical="center"/>
    </xf>
    <xf numFmtId="0" fontId="6" fillId="4" borderId="1" xfId="0" applyFont="1" applyFill="1" applyBorder="1">
      <alignment vertical="center"/>
    </xf>
    <xf numFmtId="0" fontId="0" fillId="5" borderId="1" xfId="0" applyFill="1" applyBorder="1">
      <alignment vertical="center"/>
    </xf>
    <xf numFmtId="0" fontId="32" fillId="5" borderId="1" xfId="0" applyFont="1" applyFill="1" applyBorder="1" applyAlignment="1">
      <alignment horizontal="left" vertical="top" wrapText="1"/>
    </xf>
    <xf numFmtId="0" fontId="0" fillId="5" borderId="1" xfId="0" applyFill="1" applyBorder="1" applyAlignment="1">
      <alignment vertical="center" wrapText="1"/>
    </xf>
    <xf numFmtId="164" fontId="0" fillId="0" borderId="1" xfId="0" applyNumberFormat="1" applyBorder="1">
      <alignment vertical="center"/>
    </xf>
    <xf numFmtId="164" fontId="0" fillId="0" borderId="1" xfId="0" applyNumberFormat="1" applyBorder="1" applyAlignment="1">
      <alignment horizontal="center" vertical="center"/>
    </xf>
    <xf numFmtId="0" fontId="0" fillId="0" borderId="1" xfId="0" applyBorder="1" applyAlignment="1">
      <alignment horizontal="center" vertical="center"/>
    </xf>
    <xf numFmtId="164" fontId="2" fillId="0" borderId="1" xfId="0" applyNumberFormat="1" applyFont="1" applyBorder="1" applyAlignment="1">
      <alignment horizontal="center" vertical="center"/>
    </xf>
    <xf numFmtId="0" fontId="0" fillId="5" borderId="1" xfId="0" applyFill="1" applyBorder="1" applyAlignment="1">
      <alignment horizontal="center" vertical="center"/>
    </xf>
    <xf numFmtId="164" fontId="0" fillId="5" borderId="1" xfId="0" applyNumberFormat="1" applyFill="1" applyBorder="1" applyAlignment="1">
      <alignment horizontal="center" vertical="center"/>
    </xf>
    <xf numFmtId="164" fontId="42" fillId="0" borderId="1" xfId="0" applyNumberFormat="1" applyFont="1" applyBorder="1" applyAlignment="1">
      <alignment horizontal="center" vertical="center"/>
    </xf>
    <xf numFmtId="164" fontId="0" fillId="7" borderId="1" xfId="0" applyNumberFormat="1" applyFill="1" applyBorder="1" applyAlignment="1">
      <alignment horizontal="center" vertical="center"/>
    </xf>
    <xf numFmtId="164" fontId="0" fillId="0" borderId="1" xfId="0" applyNumberFormat="1" applyBorder="1" applyAlignment="1">
      <alignment vertical="center" wrapText="1"/>
    </xf>
    <xf numFmtId="164" fontId="0" fillId="0" borderId="1" xfId="0" applyNumberFormat="1" applyBorder="1" applyAlignment="1">
      <alignment horizontal="left" vertical="center" wrapText="1"/>
    </xf>
    <xf numFmtId="164" fontId="45" fillId="0" borderId="1" xfId="0" applyNumberFormat="1" applyFont="1" applyBorder="1" applyAlignment="1">
      <alignment vertical="top" wrapText="1"/>
    </xf>
    <xf numFmtId="164" fontId="42" fillId="0" borderId="1" xfId="0" applyNumberFormat="1" applyFont="1" applyBorder="1">
      <alignment vertical="center"/>
    </xf>
    <xf numFmtId="0" fontId="0" fillId="0" borderId="27" xfId="0" applyBorder="1">
      <alignment vertical="center"/>
    </xf>
    <xf numFmtId="164" fontId="42" fillId="11" borderId="1" xfId="0" applyNumberFormat="1" applyFont="1" applyFill="1" applyBorder="1">
      <alignment vertical="center"/>
    </xf>
    <xf numFmtId="164" fontId="0" fillId="12" borderId="1" xfId="0" applyNumberFormat="1" applyFill="1" applyBorder="1">
      <alignment vertical="center"/>
    </xf>
    <xf numFmtId="164" fontId="0" fillId="12" borderId="1" xfId="0" applyNumberFormat="1" applyFill="1" applyBorder="1" applyAlignment="1">
      <alignment vertical="center" wrapText="1"/>
    </xf>
    <xf numFmtId="164" fontId="42" fillId="12" borderId="1" xfId="0" applyNumberFormat="1" applyFont="1" applyFill="1" applyBorder="1">
      <alignment vertical="center"/>
    </xf>
    <xf numFmtId="164" fontId="27" fillId="0" borderId="1" xfId="0" quotePrefix="1" applyNumberFormat="1" applyFont="1" applyBorder="1" applyAlignment="1">
      <alignment horizontal="center" vertical="center"/>
    </xf>
    <xf numFmtId="164" fontId="27" fillId="0" borderId="1" xfId="0" applyNumberFormat="1" applyFont="1" applyBorder="1" applyAlignment="1">
      <alignment horizontal="center" vertical="center"/>
    </xf>
    <xf numFmtId="164" fontId="28" fillId="0" borderId="1" xfId="0" quotePrefix="1" applyNumberFormat="1" applyFont="1" applyBorder="1" applyAlignment="1">
      <alignment horizontal="center" vertical="center"/>
    </xf>
    <xf numFmtId="164" fontId="0" fillId="5" borderId="1" xfId="0" applyNumberFormat="1" applyFill="1" applyBorder="1">
      <alignment vertical="center"/>
    </xf>
    <xf numFmtId="0" fontId="47" fillId="0" borderId="1" xfId="0" applyFont="1" applyBorder="1">
      <alignment vertical="center"/>
    </xf>
    <xf numFmtId="164" fontId="32" fillId="0" borderId="0" xfId="0" applyNumberFormat="1" applyFont="1" applyAlignment="1">
      <alignment horizontal="center" vertical="top"/>
    </xf>
    <xf numFmtId="164" fontId="0" fillId="0" borderId="1" xfId="0" applyNumberFormat="1" applyBorder="1" applyAlignment="1">
      <alignment horizontal="center" vertical="center"/>
    </xf>
    <xf numFmtId="0" fontId="33" fillId="0" borderId="23" xfId="0" applyFont="1" applyBorder="1" applyAlignment="1">
      <alignment horizontal="left" vertical="center"/>
    </xf>
    <xf numFmtId="0" fontId="33" fillId="0" borderId="24" xfId="0" applyFont="1" applyBorder="1" applyAlignment="1">
      <alignment horizontal="left" vertical="center"/>
    </xf>
    <xf numFmtId="0" fontId="33" fillId="0" borderId="25" xfId="0" applyFont="1" applyBorder="1" applyAlignment="1">
      <alignment horizontal="left" vertical="center"/>
    </xf>
    <xf numFmtId="0" fontId="31" fillId="0" borderId="15"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9" xfId="0" applyFont="1" applyBorder="1" applyAlignment="1">
      <alignment horizontal="center" vertical="center"/>
    </xf>
    <xf numFmtId="0" fontId="31" fillId="0" borderId="20" xfId="0" applyFont="1" applyBorder="1" applyAlignment="1">
      <alignment horizontal="center" vertical="center"/>
    </xf>
    <xf numFmtId="0" fontId="31" fillId="0" borderId="22" xfId="0" applyFont="1" applyBorder="1" applyAlignment="1">
      <alignment horizontal="center" vertical="center"/>
    </xf>
    <xf numFmtId="0" fontId="31" fillId="0" borderId="1" xfId="0" applyFont="1" applyBorder="1" applyAlignment="1">
      <alignment horizontal="center" vertical="center"/>
    </xf>
    <xf numFmtId="0" fontId="32" fillId="0" borderId="1" xfId="0" applyFont="1" applyBorder="1" applyAlignment="1">
      <alignment horizontal="left" vertical="center" wrapText="1"/>
    </xf>
    <xf numFmtId="0" fontId="40" fillId="0" borderId="1" xfId="0" applyFont="1" applyBorder="1" applyAlignment="1">
      <alignment horizontal="center" vertical="center"/>
    </xf>
    <xf numFmtId="0" fontId="32" fillId="0" borderId="1" xfId="0" applyFont="1" applyBorder="1" applyAlignment="1">
      <alignment horizontal="center" vertical="top" wrapText="1"/>
    </xf>
    <xf numFmtId="0" fontId="31" fillId="0" borderId="16" xfId="0" applyFont="1" applyBorder="1" applyAlignment="1">
      <alignment horizontal="left" vertical="center" wrapText="1"/>
    </xf>
    <xf numFmtId="0" fontId="31" fillId="0" borderId="17" xfId="0" applyFont="1" applyBorder="1" applyAlignment="1">
      <alignment horizontal="left" vertical="center" wrapText="1"/>
    </xf>
    <xf numFmtId="0" fontId="31" fillId="0" borderId="0" xfId="0" applyFont="1" applyAlignment="1">
      <alignment horizontal="left" vertical="center" wrapText="1"/>
    </xf>
    <xf numFmtId="0" fontId="31" fillId="0" borderId="19" xfId="0" applyFont="1" applyBorder="1" applyAlignment="1">
      <alignment horizontal="left" vertical="center" wrapText="1"/>
    </xf>
    <xf numFmtId="0" fontId="0" fillId="6" borderId="26" xfId="0" applyFill="1" applyBorder="1" applyAlignment="1">
      <alignment horizontal="center" vertical="center"/>
    </xf>
    <xf numFmtId="0" fontId="0" fillId="6" borderId="27" xfId="0" applyFill="1" applyBorder="1" applyAlignment="1">
      <alignment horizontal="center" vertical="center"/>
    </xf>
    <xf numFmtId="0" fontId="0" fillId="6" borderId="28" xfId="0" applyFill="1" applyBorder="1" applyAlignment="1">
      <alignment horizontal="center" vertical="center"/>
    </xf>
    <xf numFmtId="0" fontId="0" fillId="6" borderId="1" xfId="0" applyFill="1" applyBorder="1" applyAlignment="1">
      <alignment horizontal="center" vertical="center"/>
    </xf>
    <xf numFmtId="0" fontId="32" fillId="0" borderId="15" xfId="0" applyFont="1" applyBorder="1" applyAlignment="1">
      <alignment horizontal="left" vertical="center" wrapText="1"/>
    </xf>
    <xf numFmtId="0" fontId="32" fillId="0" borderId="16" xfId="0" applyFont="1" applyBorder="1" applyAlignment="1">
      <alignment horizontal="left" vertical="center" wrapText="1"/>
    </xf>
    <xf numFmtId="0" fontId="32" fillId="0" borderId="17" xfId="0" applyFont="1" applyBorder="1" applyAlignment="1">
      <alignment horizontal="left" vertical="center" wrapText="1"/>
    </xf>
    <xf numFmtId="0" fontId="32" fillId="0" borderId="18" xfId="0" applyFont="1" applyBorder="1" applyAlignment="1">
      <alignment horizontal="left" vertical="center" wrapText="1"/>
    </xf>
    <xf numFmtId="0" fontId="32" fillId="0" borderId="0" xfId="0" applyFont="1" applyAlignment="1">
      <alignment horizontal="left" vertical="center" wrapText="1"/>
    </xf>
    <xf numFmtId="0" fontId="32" fillId="0" borderId="19" xfId="0" applyFont="1" applyBorder="1" applyAlignment="1">
      <alignment horizontal="left" vertical="center" wrapText="1"/>
    </xf>
    <xf numFmtId="0" fontId="32" fillId="0" borderId="20" xfId="0" applyFont="1" applyBorder="1" applyAlignment="1">
      <alignment horizontal="left" vertical="center" wrapText="1"/>
    </xf>
    <xf numFmtId="0" fontId="32" fillId="0" borderId="21" xfId="0" applyFont="1" applyBorder="1" applyAlignment="1">
      <alignment horizontal="left" vertical="center" wrapText="1"/>
    </xf>
    <xf numFmtId="0" fontId="32" fillId="0" borderId="22" xfId="0" applyFont="1" applyBorder="1" applyAlignment="1">
      <alignment horizontal="left" vertical="center" wrapText="1"/>
    </xf>
    <xf numFmtId="0" fontId="38" fillId="0" borderId="1" xfId="0" applyFont="1" applyBorder="1" applyAlignment="1">
      <alignment horizontal="center" vertical="center"/>
    </xf>
    <xf numFmtId="0" fontId="39" fillId="0" borderId="1" xfId="0" applyFont="1" applyBorder="1" applyAlignment="1">
      <alignment horizontal="center" vertical="top"/>
    </xf>
    <xf numFmtId="0" fontId="36" fillId="0" borderId="1" xfId="0" applyFont="1" applyBorder="1" applyAlignment="1">
      <alignment horizontal="left" vertical="center" wrapText="1"/>
    </xf>
    <xf numFmtId="0" fontId="36" fillId="0" borderId="1" xfId="0" applyFont="1" applyBorder="1" applyAlignment="1">
      <alignment horizontal="left" vertical="top" wrapText="1"/>
    </xf>
    <xf numFmtId="164" fontId="0" fillId="8" borderId="0" xfId="0" applyNumberFormat="1" applyFill="1" applyAlignment="1">
      <alignment horizontal="center" vertical="center"/>
    </xf>
    <xf numFmtId="164" fontId="0" fillId="9" borderId="0" xfId="0" applyNumberFormat="1" applyFill="1" applyAlignment="1">
      <alignment horizontal="center" vertical="center"/>
    </xf>
    <xf numFmtId="164" fontId="0" fillId="7" borderId="0" xfId="0" applyNumberFormat="1" applyFill="1" applyAlignment="1">
      <alignment horizontal="center" vertical="center"/>
    </xf>
    <xf numFmtId="0" fontId="11" fillId="0" borderId="13" xfId="0" applyFont="1" applyBorder="1" applyAlignment="1">
      <alignment horizontal="left" vertical="top" wrapText="1" indent="3"/>
    </xf>
    <xf numFmtId="0" fontId="11" fillId="0" borderId="3" xfId="0" applyFont="1" applyBorder="1" applyAlignment="1">
      <alignment horizontal="left" vertical="top" wrapText="1" indent="3"/>
    </xf>
    <xf numFmtId="0" fontId="20" fillId="0" borderId="10" xfId="0" applyFont="1" applyBorder="1" applyAlignment="1">
      <alignment horizontal="center" vertical="top" wrapText="1"/>
    </xf>
    <xf numFmtId="0" fontId="20" fillId="0" borderId="2" xfId="0" applyFont="1" applyBorder="1" applyAlignment="1">
      <alignment horizontal="center" vertical="top" wrapText="1"/>
    </xf>
    <xf numFmtId="0" fontId="20" fillId="0" borderId="6" xfId="0" applyFont="1" applyBorder="1" applyAlignment="1">
      <alignment horizontal="center" vertical="top" wrapText="1"/>
    </xf>
    <xf numFmtId="0" fontId="20" fillId="0" borderId="13" xfId="0" applyFont="1" applyBorder="1" applyAlignment="1">
      <alignment horizontal="left" vertical="top" wrapText="1"/>
    </xf>
    <xf numFmtId="0" fontId="20" fillId="0" borderId="14" xfId="0" applyFont="1" applyBorder="1" applyAlignment="1">
      <alignment horizontal="left" vertical="top" wrapText="1"/>
    </xf>
    <xf numFmtId="0" fontId="20" fillId="0" borderId="3" xfId="0" applyFont="1" applyBorder="1" applyAlignment="1">
      <alignment horizontal="left" vertical="top" wrapText="1"/>
    </xf>
    <xf numFmtId="0" fontId="11" fillId="0" borderId="13" xfId="0" applyFont="1" applyBorder="1" applyAlignment="1">
      <alignment horizontal="left" vertical="top" wrapText="1" indent="2"/>
    </xf>
    <xf numFmtId="0" fontId="11" fillId="0" borderId="3" xfId="0" applyFont="1" applyBorder="1" applyAlignment="1">
      <alignment horizontal="left" vertical="top" wrapText="1" indent="2"/>
    </xf>
    <xf numFmtId="0" fontId="25" fillId="0" borderId="13" xfId="0" applyFont="1" applyBorder="1" applyAlignment="1">
      <alignment horizontal="center" vertical="top" wrapText="1"/>
    </xf>
    <xf numFmtId="0" fontId="25" fillId="0" borderId="3" xfId="0" applyFont="1" applyBorder="1" applyAlignment="1">
      <alignment horizontal="center" vertical="top" wrapText="1"/>
    </xf>
    <xf numFmtId="0" fontId="26" fillId="0" borderId="12" xfId="0" applyFont="1" applyBorder="1" applyAlignment="1">
      <alignment horizontal="left" vertical="top" wrapText="1" indent="6"/>
    </xf>
    <xf numFmtId="0" fontId="26" fillId="0" borderId="4" xfId="0" applyFont="1" applyBorder="1" applyAlignment="1">
      <alignment horizontal="left" vertical="top" wrapText="1" indent="6"/>
    </xf>
    <xf numFmtId="0" fontId="26" fillId="0" borderId="5" xfId="0" applyFont="1" applyBorder="1" applyAlignment="1">
      <alignment horizontal="left" vertical="top" wrapText="1" indent="6"/>
    </xf>
    <xf numFmtId="0" fontId="20" fillId="0" borderId="0" xfId="0" applyFont="1" applyAlignment="1">
      <alignment horizontal="center" vertical="top" wrapText="1"/>
    </xf>
    <xf numFmtId="0" fontId="20" fillId="0" borderId="7" xfId="0" applyFont="1" applyBorder="1" applyAlignment="1">
      <alignment horizontal="center" vertical="top" wrapText="1"/>
    </xf>
  </cellXfs>
  <cellStyles count="1">
    <cellStyle name="Normal" xfId="0" builtinId="0"/>
  </cellStyles>
  <dxfs count="6">
    <dxf>
      <fill>
        <patternFill>
          <bgColor rgb="FFFFFF00"/>
        </patternFill>
      </fill>
    </dxf>
    <dxf>
      <fill>
        <patternFill>
          <bgColor rgb="FFFFFF00"/>
        </patternFill>
      </fill>
    </dxf>
    <dxf>
      <font>
        <color auto="1"/>
      </font>
      <fill>
        <patternFill>
          <bgColor rgb="FFFFFF00"/>
        </patternFill>
      </fill>
    </dxf>
    <dxf>
      <numFmt numFmtId="165" formatCode=";;;"/>
    </dxf>
    <dxf>
      <font>
        <color theme="5"/>
      </font>
      <numFmt numFmtId="165" formatCode=";;;"/>
    </dxf>
    <dxf>
      <font>
        <b val="0"/>
        <i val="0"/>
        <strike val="0"/>
        <condense val="0"/>
        <extend val="0"/>
        <outline val="0"/>
        <shadow val="0"/>
        <u val="none"/>
        <vertAlign val="baseline"/>
        <sz val="11"/>
        <color auto="1"/>
        <name val="等线"/>
        <family val="2"/>
        <charset val="13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emf"/><Relationship Id="rId3" Type="http://schemas.openxmlformats.org/officeDocument/2006/relationships/image" Target="../media/image11.emf"/><Relationship Id="rId7" Type="http://schemas.openxmlformats.org/officeDocument/2006/relationships/image" Target="../media/image15.emf"/><Relationship Id="rId2" Type="http://schemas.openxmlformats.org/officeDocument/2006/relationships/image" Target="../media/image10.emf"/><Relationship Id="rId1" Type="http://schemas.openxmlformats.org/officeDocument/2006/relationships/image" Target="../media/image9.emf"/><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11</xdr:col>
      <xdr:colOff>480060</xdr:colOff>
      <xdr:row>11</xdr:row>
      <xdr:rowOff>53340</xdr:rowOff>
    </xdr:from>
    <xdr:ext cx="65" cy="172227"/>
    <xdr:sp macro="" textlink="">
      <xdr:nvSpPr>
        <xdr:cNvPr id="2" name="文本框 1">
          <a:extLst>
            <a:ext uri="{FF2B5EF4-FFF2-40B4-BE49-F238E27FC236}">
              <a16:creationId xmlns:a16="http://schemas.microsoft.com/office/drawing/2014/main" id="{D7F32E03-A926-4C93-AA79-041BE2817357}"/>
            </a:ext>
          </a:extLst>
        </xdr:cNvPr>
        <xdr:cNvSpPr txBox="1"/>
      </xdr:nvSpPr>
      <xdr:spPr>
        <a:xfrm>
          <a:off x="6629400" y="1981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zh-CN" altLang="en-US" sz="1100"/>
        </a:p>
      </xdr:txBody>
    </xdr:sp>
    <xdr:clientData/>
  </xdr:oneCellAnchor>
  <xdr:twoCellAnchor editAs="oneCell">
    <xdr:from>
      <xdr:col>3</xdr:col>
      <xdr:colOff>457200</xdr:colOff>
      <xdr:row>3</xdr:row>
      <xdr:rowOff>152400</xdr:rowOff>
    </xdr:from>
    <xdr:to>
      <xdr:col>6</xdr:col>
      <xdr:colOff>518160</xdr:colOff>
      <xdr:row>14</xdr:row>
      <xdr:rowOff>89303</xdr:rowOff>
    </xdr:to>
    <xdr:pic>
      <xdr:nvPicPr>
        <xdr:cNvPr id="4" name="图片 3">
          <a:extLst>
            <a:ext uri="{FF2B5EF4-FFF2-40B4-BE49-F238E27FC236}">
              <a16:creationId xmlns:a16="http://schemas.microsoft.com/office/drawing/2014/main" id="{B8CBFB2C-E80C-42C1-A458-1F73598506C5}"/>
            </a:ext>
          </a:extLst>
        </xdr:cNvPr>
        <xdr:cNvPicPr>
          <a:picLocks noChangeAspect="1"/>
        </xdr:cNvPicPr>
      </xdr:nvPicPr>
      <xdr:blipFill>
        <a:blip xmlns:r="http://schemas.openxmlformats.org/officeDocument/2006/relationships" r:embed="rId1"/>
        <a:stretch>
          <a:fillRect/>
        </a:stretch>
      </xdr:blipFill>
      <xdr:spPr>
        <a:xfrm>
          <a:off x="2339340" y="678180"/>
          <a:ext cx="1889760" cy="1864763"/>
        </a:xfrm>
        <a:prstGeom prst="rect">
          <a:avLst/>
        </a:prstGeom>
      </xdr:spPr>
    </xdr:pic>
    <xdr:clientData/>
  </xdr:twoCellAnchor>
  <xdr:twoCellAnchor editAs="oneCell">
    <xdr:from>
      <xdr:col>3</xdr:col>
      <xdr:colOff>289561</xdr:colOff>
      <xdr:row>17</xdr:row>
      <xdr:rowOff>114300</xdr:rowOff>
    </xdr:from>
    <xdr:to>
      <xdr:col>6</xdr:col>
      <xdr:colOff>414613</xdr:colOff>
      <xdr:row>28</xdr:row>
      <xdr:rowOff>53340</xdr:rowOff>
    </xdr:to>
    <xdr:pic>
      <xdr:nvPicPr>
        <xdr:cNvPr id="5" name="图片 4">
          <a:extLst>
            <a:ext uri="{FF2B5EF4-FFF2-40B4-BE49-F238E27FC236}">
              <a16:creationId xmlns:a16="http://schemas.microsoft.com/office/drawing/2014/main" id="{BAD96D59-E785-44EB-B767-0138AE0EDE7F}"/>
            </a:ext>
          </a:extLst>
        </xdr:cNvPr>
        <xdr:cNvPicPr>
          <a:picLocks noChangeAspect="1"/>
        </xdr:cNvPicPr>
      </xdr:nvPicPr>
      <xdr:blipFill>
        <a:blip xmlns:r="http://schemas.openxmlformats.org/officeDocument/2006/relationships" r:embed="rId2"/>
        <a:stretch>
          <a:fillRect/>
        </a:stretch>
      </xdr:blipFill>
      <xdr:spPr>
        <a:xfrm>
          <a:off x="2171701" y="3093720"/>
          <a:ext cx="1953852" cy="1866900"/>
        </a:xfrm>
        <a:prstGeom prst="rect">
          <a:avLst/>
        </a:prstGeom>
      </xdr:spPr>
    </xdr:pic>
    <xdr:clientData/>
  </xdr:twoCellAnchor>
  <xdr:twoCellAnchor editAs="oneCell">
    <xdr:from>
      <xdr:col>3</xdr:col>
      <xdr:colOff>7620</xdr:colOff>
      <xdr:row>32</xdr:row>
      <xdr:rowOff>152401</xdr:rowOff>
    </xdr:from>
    <xdr:to>
      <xdr:col>7</xdr:col>
      <xdr:colOff>127436</xdr:colOff>
      <xdr:row>46</xdr:row>
      <xdr:rowOff>68581</xdr:rowOff>
    </xdr:to>
    <xdr:pic>
      <xdr:nvPicPr>
        <xdr:cNvPr id="8" name="图片 7">
          <a:extLst>
            <a:ext uri="{FF2B5EF4-FFF2-40B4-BE49-F238E27FC236}">
              <a16:creationId xmlns:a16="http://schemas.microsoft.com/office/drawing/2014/main" id="{4E8D7428-8E28-4CC6-B226-559C99E14EE2}"/>
            </a:ext>
          </a:extLst>
        </xdr:cNvPr>
        <xdr:cNvPicPr>
          <a:picLocks noChangeAspect="1"/>
        </xdr:cNvPicPr>
      </xdr:nvPicPr>
      <xdr:blipFill>
        <a:blip xmlns:r="http://schemas.openxmlformats.org/officeDocument/2006/relationships" r:embed="rId3"/>
        <a:stretch>
          <a:fillRect/>
        </a:stretch>
      </xdr:blipFill>
      <xdr:spPr>
        <a:xfrm>
          <a:off x="1889760" y="5760721"/>
          <a:ext cx="2558216" cy="2369820"/>
        </a:xfrm>
        <a:prstGeom prst="rect">
          <a:avLst/>
        </a:prstGeom>
      </xdr:spPr>
    </xdr:pic>
    <xdr:clientData/>
  </xdr:twoCellAnchor>
  <xdr:twoCellAnchor editAs="oneCell">
    <xdr:from>
      <xdr:col>1</xdr:col>
      <xdr:colOff>342900</xdr:colOff>
      <xdr:row>50</xdr:row>
      <xdr:rowOff>22860</xdr:rowOff>
    </xdr:from>
    <xdr:to>
      <xdr:col>7</xdr:col>
      <xdr:colOff>211615</xdr:colOff>
      <xdr:row>67</xdr:row>
      <xdr:rowOff>76200</xdr:rowOff>
    </xdr:to>
    <xdr:pic>
      <xdr:nvPicPr>
        <xdr:cNvPr id="9" name="图片 8">
          <a:extLst>
            <a:ext uri="{FF2B5EF4-FFF2-40B4-BE49-F238E27FC236}">
              <a16:creationId xmlns:a16="http://schemas.microsoft.com/office/drawing/2014/main" id="{EC0C51D7-F555-4C35-84DC-806DB08DA24C}"/>
            </a:ext>
          </a:extLst>
        </xdr:cNvPr>
        <xdr:cNvPicPr>
          <a:picLocks noChangeAspect="1"/>
        </xdr:cNvPicPr>
      </xdr:nvPicPr>
      <xdr:blipFill>
        <a:blip xmlns:r="http://schemas.openxmlformats.org/officeDocument/2006/relationships" r:embed="rId4"/>
        <a:stretch>
          <a:fillRect/>
        </a:stretch>
      </xdr:blipFill>
      <xdr:spPr>
        <a:xfrm>
          <a:off x="1005840" y="9227820"/>
          <a:ext cx="3526315" cy="3162300"/>
        </a:xfrm>
        <a:prstGeom prst="rect">
          <a:avLst/>
        </a:prstGeom>
      </xdr:spPr>
    </xdr:pic>
    <xdr:clientData/>
  </xdr:twoCellAnchor>
  <xdr:twoCellAnchor editAs="oneCell">
    <xdr:from>
      <xdr:col>1</xdr:col>
      <xdr:colOff>365761</xdr:colOff>
      <xdr:row>73</xdr:row>
      <xdr:rowOff>91440</xdr:rowOff>
    </xdr:from>
    <xdr:to>
      <xdr:col>7</xdr:col>
      <xdr:colOff>314195</xdr:colOff>
      <xdr:row>93</xdr:row>
      <xdr:rowOff>160020</xdr:rowOff>
    </xdr:to>
    <xdr:pic>
      <xdr:nvPicPr>
        <xdr:cNvPr id="10" name="图片 9">
          <a:extLst>
            <a:ext uri="{FF2B5EF4-FFF2-40B4-BE49-F238E27FC236}">
              <a16:creationId xmlns:a16="http://schemas.microsoft.com/office/drawing/2014/main" id="{DC6B5F6C-35EF-4CFD-A21D-9CE7E00C35EE}"/>
            </a:ext>
          </a:extLst>
        </xdr:cNvPr>
        <xdr:cNvPicPr>
          <a:picLocks noChangeAspect="1"/>
        </xdr:cNvPicPr>
      </xdr:nvPicPr>
      <xdr:blipFill>
        <a:blip xmlns:r="http://schemas.openxmlformats.org/officeDocument/2006/relationships" r:embed="rId5"/>
        <a:stretch>
          <a:fillRect/>
        </a:stretch>
      </xdr:blipFill>
      <xdr:spPr>
        <a:xfrm>
          <a:off x="1028701" y="13502640"/>
          <a:ext cx="3606034" cy="3726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11</xdr:row>
      <xdr:rowOff>53340</xdr:rowOff>
    </xdr:from>
    <xdr:ext cx="65" cy="172227"/>
    <xdr:sp macro="" textlink="">
      <xdr:nvSpPr>
        <xdr:cNvPr id="2" name="文本框 1">
          <a:extLst>
            <a:ext uri="{FF2B5EF4-FFF2-40B4-BE49-F238E27FC236}">
              <a16:creationId xmlns:a16="http://schemas.microsoft.com/office/drawing/2014/main" id="{47001D11-9B0A-4005-B490-5FF020EA9515}"/>
            </a:ext>
          </a:extLst>
        </xdr:cNvPr>
        <xdr:cNvSpPr txBox="1"/>
      </xdr:nvSpPr>
      <xdr:spPr>
        <a:xfrm>
          <a:off x="7239000" y="20650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zh-CN" altLang="en-US" sz="1100"/>
        </a:p>
      </xdr:txBody>
    </xdr:sp>
    <xdr:clientData/>
  </xdr:oneCellAnchor>
  <xdr:twoCellAnchor editAs="oneCell">
    <xdr:from>
      <xdr:col>1</xdr:col>
      <xdr:colOff>266700</xdr:colOff>
      <xdr:row>44</xdr:row>
      <xdr:rowOff>106681</xdr:rowOff>
    </xdr:from>
    <xdr:to>
      <xdr:col>6</xdr:col>
      <xdr:colOff>307086</xdr:colOff>
      <xdr:row>60</xdr:row>
      <xdr:rowOff>121921</xdr:rowOff>
    </xdr:to>
    <xdr:pic>
      <xdr:nvPicPr>
        <xdr:cNvPr id="3" name="图片 2">
          <a:extLst>
            <a:ext uri="{FF2B5EF4-FFF2-40B4-BE49-F238E27FC236}">
              <a16:creationId xmlns:a16="http://schemas.microsoft.com/office/drawing/2014/main" id="{9424BDAE-AD9A-4E3D-AEAF-111915E5757A}"/>
            </a:ext>
          </a:extLst>
        </xdr:cNvPr>
        <xdr:cNvPicPr>
          <a:picLocks noChangeAspect="1"/>
        </xdr:cNvPicPr>
      </xdr:nvPicPr>
      <xdr:blipFill>
        <a:blip xmlns:r="http://schemas.openxmlformats.org/officeDocument/2006/relationships" r:embed="rId1"/>
        <a:stretch>
          <a:fillRect/>
        </a:stretch>
      </xdr:blipFill>
      <xdr:spPr>
        <a:xfrm>
          <a:off x="876300" y="8153401"/>
          <a:ext cx="3088386" cy="2941320"/>
        </a:xfrm>
        <a:prstGeom prst="rect">
          <a:avLst/>
        </a:prstGeom>
      </xdr:spPr>
    </xdr:pic>
    <xdr:clientData/>
  </xdr:twoCellAnchor>
  <xdr:twoCellAnchor editAs="oneCell">
    <xdr:from>
      <xdr:col>2</xdr:col>
      <xdr:colOff>38100</xdr:colOff>
      <xdr:row>25</xdr:row>
      <xdr:rowOff>7620</xdr:rowOff>
    </xdr:from>
    <xdr:to>
      <xdr:col>6</xdr:col>
      <xdr:colOff>7620</xdr:colOff>
      <xdr:row>36</xdr:row>
      <xdr:rowOff>69304</xdr:rowOff>
    </xdr:to>
    <xdr:pic>
      <xdr:nvPicPr>
        <xdr:cNvPr id="4" name="图片 3">
          <a:extLst>
            <a:ext uri="{FF2B5EF4-FFF2-40B4-BE49-F238E27FC236}">
              <a16:creationId xmlns:a16="http://schemas.microsoft.com/office/drawing/2014/main" id="{6222B2D9-0799-4CA1-A14A-6AFC62F017C6}"/>
            </a:ext>
          </a:extLst>
        </xdr:cNvPr>
        <xdr:cNvPicPr>
          <a:picLocks noChangeAspect="1"/>
        </xdr:cNvPicPr>
      </xdr:nvPicPr>
      <xdr:blipFill>
        <a:blip xmlns:r="http://schemas.openxmlformats.org/officeDocument/2006/relationships" r:embed="rId2"/>
        <a:stretch>
          <a:fillRect/>
        </a:stretch>
      </xdr:blipFill>
      <xdr:spPr>
        <a:xfrm>
          <a:off x="1257300" y="4579620"/>
          <a:ext cx="2407920" cy="2073364"/>
        </a:xfrm>
        <a:prstGeom prst="rect">
          <a:avLst/>
        </a:prstGeom>
      </xdr:spPr>
    </xdr:pic>
    <xdr:clientData/>
  </xdr:twoCellAnchor>
  <xdr:twoCellAnchor editAs="oneCell">
    <xdr:from>
      <xdr:col>2</xdr:col>
      <xdr:colOff>182881</xdr:colOff>
      <xdr:row>6</xdr:row>
      <xdr:rowOff>7621</xdr:rowOff>
    </xdr:from>
    <xdr:to>
      <xdr:col>5</xdr:col>
      <xdr:colOff>365760</xdr:colOff>
      <xdr:row>17</xdr:row>
      <xdr:rowOff>19419</xdr:rowOff>
    </xdr:to>
    <xdr:pic>
      <xdr:nvPicPr>
        <xdr:cNvPr id="8" name="图片 7">
          <a:extLst>
            <a:ext uri="{FF2B5EF4-FFF2-40B4-BE49-F238E27FC236}">
              <a16:creationId xmlns:a16="http://schemas.microsoft.com/office/drawing/2014/main" id="{B1EB9017-6659-4193-B8B2-C55468D3817C}"/>
            </a:ext>
          </a:extLst>
        </xdr:cNvPr>
        <xdr:cNvPicPr>
          <a:picLocks noChangeAspect="1"/>
        </xdr:cNvPicPr>
      </xdr:nvPicPr>
      <xdr:blipFill>
        <a:blip xmlns:r="http://schemas.openxmlformats.org/officeDocument/2006/relationships" r:embed="rId3"/>
        <a:stretch>
          <a:fillRect/>
        </a:stretch>
      </xdr:blipFill>
      <xdr:spPr>
        <a:xfrm>
          <a:off x="1402081" y="1104901"/>
          <a:ext cx="2011679" cy="202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109458</xdr:colOff>
      <xdr:row>0</xdr:row>
      <xdr:rowOff>0</xdr:rowOff>
    </xdr:from>
    <xdr:to>
      <xdr:col>14</xdr:col>
      <xdr:colOff>345678</xdr:colOff>
      <xdr:row>36</xdr:row>
      <xdr:rowOff>167640</xdr:rowOff>
    </xdr:to>
    <xdr:pic>
      <xdr:nvPicPr>
        <xdr:cNvPr id="3" name="图片 2">
          <a:extLst>
            <a:ext uri="{FF2B5EF4-FFF2-40B4-BE49-F238E27FC236}">
              <a16:creationId xmlns:a16="http://schemas.microsoft.com/office/drawing/2014/main" id="{A950C55D-088F-469E-A45B-32A0EE4DD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2552" y="0"/>
          <a:ext cx="4509314" cy="6684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7</xdr:col>
      <xdr:colOff>236220</xdr:colOff>
      <xdr:row>36</xdr:row>
      <xdr:rowOff>167640</xdr:rowOff>
    </xdr:to>
    <xdr:pic>
      <xdr:nvPicPr>
        <xdr:cNvPr id="4" name="图片 3">
          <a:extLst>
            <a:ext uri="{FF2B5EF4-FFF2-40B4-BE49-F238E27FC236}">
              <a16:creationId xmlns:a16="http://schemas.microsoft.com/office/drawing/2014/main" id="{F62C494D-0AFB-4E19-89F6-46ABA0356B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7</xdr:col>
      <xdr:colOff>236220</xdr:colOff>
      <xdr:row>73</xdr:row>
      <xdr:rowOff>167640</xdr:rowOff>
    </xdr:to>
    <xdr:pic>
      <xdr:nvPicPr>
        <xdr:cNvPr id="5" name="图片 4">
          <a:extLst>
            <a:ext uri="{FF2B5EF4-FFF2-40B4-BE49-F238E27FC236}">
              <a16:creationId xmlns:a16="http://schemas.microsoft.com/office/drawing/2014/main" id="{9E86F0B1-D647-4DAD-9347-06B552ECBC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76656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79989</xdr:colOff>
      <xdr:row>36</xdr:row>
      <xdr:rowOff>164189</xdr:rowOff>
    </xdr:from>
    <xdr:to>
      <xdr:col>14</xdr:col>
      <xdr:colOff>316209</xdr:colOff>
      <xdr:row>73</xdr:row>
      <xdr:rowOff>150801</xdr:rowOff>
    </xdr:to>
    <xdr:pic>
      <xdr:nvPicPr>
        <xdr:cNvPr id="6" name="图片 5">
          <a:extLst>
            <a:ext uri="{FF2B5EF4-FFF2-40B4-BE49-F238E27FC236}">
              <a16:creationId xmlns:a16="http://schemas.microsoft.com/office/drawing/2014/main" id="{B46D3238-BFB2-4F51-A011-AA60943BC96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53083" y="6681183"/>
          <a:ext cx="4509314" cy="6684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7</xdr:col>
      <xdr:colOff>236220</xdr:colOff>
      <xdr:row>110</xdr:row>
      <xdr:rowOff>167640</xdr:rowOff>
    </xdr:to>
    <xdr:pic>
      <xdr:nvPicPr>
        <xdr:cNvPr id="7" name="图片 6">
          <a:extLst>
            <a:ext uri="{FF2B5EF4-FFF2-40B4-BE49-F238E27FC236}">
              <a16:creationId xmlns:a16="http://schemas.microsoft.com/office/drawing/2014/main" id="{12B65FFD-8A7B-4F97-A41F-7F768D20D1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353312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74</xdr:row>
      <xdr:rowOff>0</xdr:rowOff>
    </xdr:from>
    <xdr:to>
      <xdr:col>14</xdr:col>
      <xdr:colOff>236220</xdr:colOff>
      <xdr:row>110</xdr:row>
      <xdr:rowOff>167640</xdr:rowOff>
    </xdr:to>
    <xdr:pic>
      <xdr:nvPicPr>
        <xdr:cNvPr id="8" name="图片 7">
          <a:extLst>
            <a:ext uri="{FF2B5EF4-FFF2-40B4-BE49-F238E27FC236}">
              <a16:creationId xmlns:a16="http://schemas.microsoft.com/office/drawing/2014/main" id="{7E039EA1-73DC-48A5-B09A-1F5CA25FE66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67200" y="1353312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7</xdr:col>
      <xdr:colOff>236220</xdr:colOff>
      <xdr:row>147</xdr:row>
      <xdr:rowOff>167640</xdr:rowOff>
    </xdr:to>
    <xdr:pic>
      <xdr:nvPicPr>
        <xdr:cNvPr id="9" name="图片 8">
          <a:extLst>
            <a:ext uri="{FF2B5EF4-FFF2-40B4-BE49-F238E27FC236}">
              <a16:creationId xmlns:a16="http://schemas.microsoft.com/office/drawing/2014/main" id="{B0311E6D-E758-4EE2-867B-B77B9A0628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29968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111</xdr:row>
      <xdr:rowOff>0</xdr:rowOff>
    </xdr:from>
    <xdr:to>
      <xdr:col>14</xdr:col>
      <xdr:colOff>236220</xdr:colOff>
      <xdr:row>147</xdr:row>
      <xdr:rowOff>167640</xdr:rowOff>
    </xdr:to>
    <xdr:pic>
      <xdr:nvPicPr>
        <xdr:cNvPr id="11" name="图片 10">
          <a:extLst>
            <a:ext uri="{FF2B5EF4-FFF2-40B4-BE49-F238E27FC236}">
              <a16:creationId xmlns:a16="http://schemas.microsoft.com/office/drawing/2014/main" id="{3352C768-E924-41B2-9D59-05838FC78D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67200" y="20299680"/>
          <a:ext cx="4503420" cy="675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13</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 dockstate="right" visibility="0" width="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C2C2F2FB-61C3-4776-BA28-4EF001A6EAE3}">
  <we:reference id="wa104099688" version="1.3.0.0" store="zh-CN" storeType="OMEX"/>
  <we:alternateReferences>
    <we:reference id="WA104099688" version="1.3.0.0" store="WA104099688"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8F09BAF-DBFA-4046-AC95-7CF7B0311462}">
  <we:reference id="wa104380862" version="1.5.0.0" store="zh-CN" storeType="OMEX"/>
  <we:alternateReferences>
    <we:reference id="wa104380862" version="1.5.0.0" store="WA104380862"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E70A9-5333-4720-BC41-1BB109B344CE}">
  <dimension ref="A1:Q54"/>
  <sheetViews>
    <sheetView workbookViewId="0">
      <selection activeCell="C5" sqref="C5"/>
    </sheetView>
  </sheetViews>
  <sheetFormatPr defaultRowHeight="15"/>
  <cols>
    <col min="1" max="1" width="19.42578125" customWidth="1"/>
    <col min="2" max="2" width="65.85546875" customWidth="1"/>
    <col min="3" max="3" width="39.140625" customWidth="1"/>
    <col min="4" max="4" width="21" customWidth="1"/>
    <col min="5" max="5" width="10.5703125" customWidth="1"/>
    <col min="6" max="6" width="27.42578125" customWidth="1"/>
    <col min="7" max="7" width="16" customWidth="1"/>
    <col min="8" max="8" width="83.140625" customWidth="1"/>
    <col min="9" max="9" width="29.42578125" customWidth="1"/>
    <col min="10" max="10" width="11" customWidth="1"/>
    <col min="11" max="11" width="43.85546875" customWidth="1"/>
    <col min="12" max="12" width="53.7109375" customWidth="1"/>
    <col min="13" max="13" width="66" customWidth="1"/>
    <col min="14" max="15" width="13.42578125" customWidth="1"/>
  </cols>
  <sheetData>
    <row r="1" spans="1:17">
      <c r="A1" s="1"/>
      <c r="B1" s="1" t="s">
        <v>0</v>
      </c>
      <c r="C1" s="1" t="s">
        <v>1</v>
      </c>
      <c r="D1" s="1" t="s">
        <v>2</v>
      </c>
    </row>
    <row r="2" spans="1:17">
      <c r="A2" s="1" t="s">
        <v>3</v>
      </c>
      <c r="B2" s="1" t="s">
        <v>4</v>
      </c>
      <c r="C2" s="1">
        <v>1</v>
      </c>
      <c r="D2" s="1"/>
    </row>
    <row r="3" spans="1:17">
      <c r="A3" s="1" t="s">
        <v>5</v>
      </c>
      <c r="B3" s="1" t="s">
        <v>6</v>
      </c>
      <c r="C3" s="1">
        <v>0</v>
      </c>
      <c r="D3" s="1" t="s">
        <v>7</v>
      </c>
    </row>
    <row r="4" spans="1:17" ht="16.5">
      <c r="A4" s="1" t="s">
        <v>8</v>
      </c>
      <c r="B4" s="1" t="s">
        <v>9</v>
      </c>
      <c r="C4" s="1">
        <v>213.33</v>
      </c>
      <c r="D4" s="1" t="s">
        <v>10</v>
      </c>
      <c r="E4" t="s">
        <v>11</v>
      </c>
    </row>
    <row r="5" spans="1:17">
      <c r="A5" s="1" t="s">
        <v>12</v>
      </c>
      <c r="B5" s="1" t="s">
        <v>13</v>
      </c>
      <c r="C5" s="1">
        <v>40</v>
      </c>
      <c r="D5" s="1" t="s">
        <v>10</v>
      </c>
    </row>
    <row r="6" spans="1:17">
      <c r="A6" s="1"/>
      <c r="B6" s="1" t="s">
        <v>14</v>
      </c>
      <c r="C6" s="1">
        <v>40</v>
      </c>
      <c r="D6" s="1" t="s">
        <v>10</v>
      </c>
    </row>
    <row r="7" spans="1:17">
      <c r="A7" s="1"/>
      <c r="B7" s="1" t="s">
        <v>15</v>
      </c>
      <c r="C7" s="1">
        <v>5</v>
      </c>
      <c r="D7" s="1"/>
    </row>
    <row r="8" spans="1:17" ht="18">
      <c r="A8" s="1" t="s">
        <v>16</v>
      </c>
      <c r="B8" s="1" t="s">
        <v>17</v>
      </c>
      <c r="C8" s="1">
        <v>23000</v>
      </c>
      <c r="D8" s="1" t="s">
        <v>18</v>
      </c>
      <c r="E8" s="1">
        <v>21300</v>
      </c>
    </row>
    <row r="9" spans="1:17" ht="18">
      <c r="A9" s="1" t="s">
        <v>19</v>
      </c>
      <c r="B9" s="1" t="s">
        <v>20</v>
      </c>
      <c r="C9" s="1">
        <v>23000</v>
      </c>
      <c r="D9" s="1" t="s">
        <v>18</v>
      </c>
      <c r="E9" s="1">
        <v>23000</v>
      </c>
    </row>
    <row r="10" spans="1:17" ht="18">
      <c r="A10" s="28" t="s">
        <v>21</v>
      </c>
      <c r="B10" s="28" t="s">
        <v>22</v>
      </c>
      <c r="C10" s="28">
        <f>INT(C6/C7)</f>
        <v>8</v>
      </c>
      <c r="D10" s="28" t="s">
        <v>10</v>
      </c>
    </row>
    <row r="12" spans="1:17">
      <c r="O12" t="s">
        <v>23</v>
      </c>
      <c r="P12">
        <f>(6*$C$4*$N$17)^0.5</f>
        <v>0</v>
      </c>
    </row>
    <row r="13" spans="1:17" ht="16.5">
      <c r="B13" t="s">
        <v>0</v>
      </c>
      <c r="C13" t="s">
        <v>24</v>
      </c>
      <c r="D13" t="s">
        <v>2</v>
      </c>
      <c r="O13" t="s">
        <v>25</v>
      </c>
      <c r="P13">
        <f>P12/C5</f>
        <v>0</v>
      </c>
      <c r="Q13" s="7" t="s">
        <v>26</v>
      </c>
    </row>
    <row r="14" spans="1:17" ht="18">
      <c r="A14" s="42" t="s">
        <v>27</v>
      </c>
      <c r="B14" s="42" t="s">
        <v>28</v>
      </c>
      <c r="C14" s="43" t="s">
        <v>29</v>
      </c>
      <c r="D14" s="42" t="s">
        <v>7</v>
      </c>
    </row>
    <row r="15" spans="1:17" ht="18">
      <c r="A15" s="42" t="s">
        <v>30</v>
      </c>
      <c r="B15" s="42" t="s">
        <v>31</v>
      </c>
      <c r="C15" s="42" t="s">
        <v>32</v>
      </c>
      <c r="D15" s="42" t="s">
        <v>7</v>
      </c>
      <c r="P15" t="s">
        <v>33</v>
      </c>
    </row>
    <row r="16" spans="1:17" ht="18">
      <c r="A16" s="44" t="s">
        <v>34</v>
      </c>
      <c r="B16" s="44" t="s">
        <v>35</v>
      </c>
      <c r="C16" s="44" t="s">
        <v>36</v>
      </c>
      <c r="D16" s="44" t="s">
        <v>7</v>
      </c>
      <c r="N16" s="7"/>
      <c r="O16" s="7"/>
    </row>
    <row r="17" spans="1:5" ht="18">
      <c r="A17" s="44" t="s">
        <v>37</v>
      </c>
      <c r="B17" s="44" t="s">
        <v>38</v>
      </c>
      <c r="C17" s="44" t="s">
        <v>39</v>
      </c>
      <c r="D17" s="44" t="s">
        <v>7</v>
      </c>
    </row>
    <row r="18" spans="1:5">
      <c r="A18" s="44" t="s">
        <v>40</v>
      </c>
      <c r="B18" s="44" t="s">
        <v>41</v>
      </c>
      <c r="C18" s="44">
        <f>$C$4/2*12</f>
        <v>1279.98</v>
      </c>
      <c r="D18" s="44" t="s">
        <v>7</v>
      </c>
    </row>
    <row r="19" spans="1:5" ht="18">
      <c r="A19" s="44"/>
      <c r="B19" s="44" t="s">
        <v>42</v>
      </c>
      <c r="C19" s="44" t="s">
        <v>43</v>
      </c>
      <c r="D19" s="44"/>
    </row>
    <row r="20" spans="1:5" ht="18">
      <c r="A20" s="44" t="s">
        <v>44</v>
      </c>
      <c r="B20" s="44" t="s">
        <v>45</v>
      </c>
      <c r="C20" s="44"/>
      <c r="D20" s="44" t="s">
        <v>7</v>
      </c>
    </row>
    <row r="21" spans="1:5" ht="18">
      <c r="A21" s="44" t="s">
        <v>46</v>
      </c>
      <c r="B21" s="44" t="s">
        <v>47</v>
      </c>
      <c r="C21" s="44"/>
      <c r="D21" s="44" t="s">
        <v>7</v>
      </c>
    </row>
    <row r="22" spans="1:5" ht="18">
      <c r="A22" s="44" t="s">
        <v>48</v>
      </c>
      <c r="B22" s="44"/>
      <c r="C22" s="44" t="s">
        <v>49</v>
      </c>
      <c r="D22" s="44"/>
    </row>
    <row r="23" spans="1:5" ht="17.25">
      <c r="A23" s="44" t="s">
        <v>50</v>
      </c>
      <c r="B23" s="44"/>
      <c r="C23" s="45" t="s">
        <v>51</v>
      </c>
      <c r="D23" s="44"/>
    </row>
    <row r="24" spans="1:5" ht="18">
      <c r="A24" s="44" t="s">
        <v>52</v>
      </c>
      <c r="B24" s="44"/>
      <c r="C24" s="45" t="s">
        <v>53</v>
      </c>
      <c r="D24" s="44"/>
    </row>
    <row r="25" spans="1:5" ht="18">
      <c r="A25" s="44" t="s">
        <v>54</v>
      </c>
      <c r="B25" s="44"/>
      <c r="C25" s="45" t="s">
        <v>55</v>
      </c>
      <c r="D25" s="44"/>
    </row>
    <row r="26" spans="1:5" ht="18">
      <c r="A26" s="44" t="s">
        <v>56</v>
      </c>
      <c r="B26" s="44"/>
      <c r="C26" s="45" t="s">
        <v>57</v>
      </c>
      <c r="D26" s="44"/>
    </row>
    <row r="29" spans="1:5">
      <c r="A29" s="46"/>
      <c r="B29" s="46" t="s">
        <v>58</v>
      </c>
      <c r="C29" s="46"/>
      <c r="D29" s="46"/>
    </row>
    <row r="30" spans="1:5">
      <c r="A30" s="46" t="s">
        <v>59</v>
      </c>
      <c r="B30" s="46" t="s">
        <v>60</v>
      </c>
      <c r="C30" s="46"/>
      <c r="D30" s="46"/>
    </row>
    <row r="31" spans="1:5" ht="15.75">
      <c r="A31" s="46"/>
      <c r="B31" s="46" t="s">
        <v>61</v>
      </c>
      <c r="C31" s="46"/>
      <c r="D31" s="47" t="s">
        <v>62</v>
      </c>
    </row>
    <row r="32" spans="1:5">
      <c r="A32" s="46"/>
      <c r="B32" s="46" t="s">
        <v>63</v>
      </c>
      <c r="C32" s="46">
        <v>35000</v>
      </c>
      <c r="D32" s="46" t="s">
        <v>64</v>
      </c>
      <c r="E32" s="46">
        <v>35000</v>
      </c>
    </row>
    <row r="33" spans="1:5">
      <c r="A33" s="46"/>
      <c r="B33" s="46" t="s">
        <v>65</v>
      </c>
      <c r="C33" s="46">
        <v>35000</v>
      </c>
      <c r="D33" s="46" t="s">
        <v>64</v>
      </c>
      <c r="E33" s="46">
        <v>35000</v>
      </c>
    </row>
    <row r="34" spans="1:5">
      <c r="A34" s="46"/>
      <c r="B34" s="46" t="s">
        <v>66</v>
      </c>
      <c r="C34" s="46" t="s">
        <v>67</v>
      </c>
      <c r="D34" s="46"/>
    </row>
    <row r="35" spans="1:5">
      <c r="A35" s="46" t="s">
        <v>68</v>
      </c>
      <c r="B35" s="46" t="s">
        <v>69</v>
      </c>
      <c r="C35" s="46">
        <v>29000000</v>
      </c>
      <c r="D35" s="46" t="s">
        <v>64</v>
      </c>
    </row>
    <row r="36" spans="1:5">
      <c r="A36" s="46" t="s">
        <v>70</v>
      </c>
      <c r="B36" s="46" t="s">
        <v>71</v>
      </c>
      <c r="C36" s="46">
        <v>0</v>
      </c>
      <c r="D36" s="46" t="s">
        <v>10</v>
      </c>
      <c r="E36" s="61" t="s">
        <v>72</v>
      </c>
    </row>
    <row r="37" spans="1:5">
      <c r="A37" s="46"/>
      <c r="B37" s="46" t="s">
        <v>73</v>
      </c>
      <c r="C37" s="46" t="s">
        <v>74</v>
      </c>
      <c r="D37" s="46"/>
    </row>
    <row r="38" spans="1:5">
      <c r="A38" s="46"/>
      <c r="B38" s="46" t="s">
        <v>75</v>
      </c>
      <c r="C38" s="46" t="s">
        <v>76</v>
      </c>
      <c r="D38" s="46" t="s">
        <v>77</v>
      </c>
    </row>
    <row r="39" spans="1:5">
      <c r="A39" s="46"/>
      <c r="B39" s="46" t="s">
        <v>78</v>
      </c>
      <c r="C39" s="46"/>
      <c r="D39" s="46" t="s">
        <v>79</v>
      </c>
    </row>
    <row r="40" spans="1:5">
      <c r="A40" s="46"/>
      <c r="B40" s="46" t="s">
        <v>80</v>
      </c>
      <c r="C40" s="46"/>
      <c r="D40" s="46" t="s">
        <v>81</v>
      </c>
    </row>
    <row r="41" spans="1:5">
      <c r="A41" s="46"/>
      <c r="B41" s="46" t="s">
        <v>82</v>
      </c>
      <c r="C41" s="46"/>
      <c r="D41" s="46" t="s">
        <v>83</v>
      </c>
    </row>
    <row r="42" spans="1:5" ht="30">
      <c r="A42" s="46" t="s">
        <v>84</v>
      </c>
      <c r="B42" s="48" t="s">
        <v>85</v>
      </c>
      <c r="C42" s="46"/>
      <c r="D42" s="46" t="s">
        <v>86</v>
      </c>
    </row>
    <row r="43" spans="1:5">
      <c r="A43" s="46" t="s">
        <v>87</v>
      </c>
      <c r="B43" s="46" t="s">
        <v>88</v>
      </c>
      <c r="C43" s="46"/>
      <c r="D43" s="46"/>
    </row>
    <row r="54" ht="25.9" customHeight="1"/>
  </sheetData>
  <sortState ref="B39:D41">
    <sortCondition sortBy="fontColor" ref="B39:B41" dxfId="5"/>
  </sortState>
  <phoneticPr fontId="4" type="noConversion"/>
  <dataValidations count="2">
    <dataValidation type="list" allowBlank="1" showInputMessage="1" showErrorMessage="1" sqref="C38" xr:uid="{BB45A988-5C82-4AC8-A1DB-AE1AAF6CC0B4}">
      <formula1>"ASCE 7-05,ASCE 7-10,2% annual probability"</formula1>
    </dataValidation>
    <dataValidation type="list" allowBlank="1" showInputMessage="1" showErrorMessage="1" sqref="C34" xr:uid="{1FFF2B76-A53B-4927-8CFC-484B987190B9}">
      <formula1>"1-Foot Method, VDP Method"</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notContainsText" priority="2" operator="notContains" id="{61C12567-469D-4702-A7A9-1640D1E2EC96}">
            <xm:f>ISERROR(SEARCH($C$38,B39))</xm:f>
            <xm:f>$C$38</xm:f>
            <x14:dxf>
              <font>
                <color theme="5"/>
              </font>
              <numFmt numFmtId="165" formatCode=";;;"/>
            </x14:dxf>
          </x14:cfRule>
          <xm:sqref>B39:C41</xm:sqref>
        </x14:conditionalFormatting>
        <x14:conditionalFormatting xmlns:xm="http://schemas.microsoft.com/office/excel/2006/main">
          <x14:cfRule type="notContainsText" priority="1" operator="notContains" id="{487EA1C2-FE48-490D-BB43-A1A9348EDF5F}">
            <xm:f>ISERROR(SEARCH($C$38,D39))</xm:f>
            <xm:f>$C$38</xm:f>
            <x14:dxf>
              <numFmt numFmtId="165" formatCode=";;;"/>
            </x14:dxf>
          </x14:cfRule>
          <xm:sqref>D39:D41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F66AA35-0CC4-45AD-89CB-1B2E495469F6}">
          <x14:formula1>
            <xm:f>'section moduli'!$L$13:$L$17</xm:f>
          </x14:formula1>
          <xm:sqref>C37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E7E3-70E4-4EC3-B68F-500E892B1517}">
  <dimension ref="A1:J143"/>
  <sheetViews>
    <sheetView workbookViewId="0">
      <selection activeCell="H135" sqref="H135"/>
    </sheetView>
  </sheetViews>
  <sheetFormatPr defaultRowHeight="15"/>
  <cols>
    <col min="3" max="3" width="9" bestFit="1" customWidth="1"/>
    <col min="4" max="4" width="12.7109375" customWidth="1"/>
    <col min="5" max="7" width="9.42578125" bestFit="1" customWidth="1"/>
    <col min="8" max="8" width="9" bestFit="1" customWidth="1"/>
  </cols>
  <sheetData>
    <row r="1" spans="1:10" ht="18">
      <c r="A1" s="29"/>
      <c r="B1" s="29"/>
      <c r="C1" s="29" t="s">
        <v>89</v>
      </c>
      <c r="D1" s="29" t="s">
        <v>90</v>
      </c>
      <c r="E1" s="29" t="s">
        <v>91</v>
      </c>
      <c r="F1" s="29" t="s">
        <v>92</v>
      </c>
      <c r="G1" s="29" t="s">
        <v>93</v>
      </c>
      <c r="H1" s="29" t="s">
        <v>94</v>
      </c>
      <c r="I1" s="29"/>
      <c r="J1" s="29"/>
    </row>
    <row r="2" spans="1:10" ht="18">
      <c r="A2" s="41" t="s">
        <v>95</v>
      </c>
      <c r="B2" s="29">
        <f>'1-Foot Method'!G2</f>
        <v>0.94050704347826086</v>
      </c>
      <c r="C2" s="29"/>
      <c r="D2" s="29"/>
      <c r="E2" s="29"/>
      <c r="F2" s="29"/>
      <c r="G2" s="29"/>
      <c r="H2" s="29"/>
      <c r="I2" s="29"/>
      <c r="J2" s="29"/>
    </row>
    <row r="3" spans="1:10" ht="18">
      <c r="A3" s="41" t="s">
        <v>96</v>
      </c>
      <c r="B3" s="29">
        <f>'1-Foot Method'!G3</f>
        <v>0.74758252173913053</v>
      </c>
      <c r="C3" s="29">
        <f>'VDP Method'!G2/tx!B3</f>
        <v>1.2348687618243972</v>
      </c>
      <c r="D3" s="29">
        <f t="shared" ref="D3" si="0">C3^0.5*(C3-1)/(1+C3^1.5)</f>
        <v>0.1100212009047464</v>
      </c>
      <c r="E3" s="29">
        <f>0.61*(INPUT!$C$18*B3)^0.5+3.84*tx!D3*'Summary of shell design'!C12</f>
        <v>32.388931409372212</v>
      </c>
      <c r="F3" s="29">
        <f>12*D3*'Summary of shell design'!C12</f>
        <v>42.248141147422615</v>
      </c>
      <c r="G3" s="29">
        <f>1.22*(INPUT!$C$18*B3)^0.5</f>
        <v>37.739052484393945</v>
      </c>
      <c r="H3" s="29">
        <f>2.6*INPUT!$C$4*('Summary of shell design'!C12-MIN(tx!E3,tx!F3,tx!G3)/12)/INPUT!$C$9</f>
        <v>0.70660830464616098</v>
      </c>
      <c r="I3" s="29"/>
      <c r="J3" s="29"/>
    </row>
    <row r="4" spans="1:10" ht="18">
      <c r="A4" s="41" t="s">
        <v>97</v>
      </c>
      <c r="B4" s="29">
        <f>'1-Foot Method'!G4</f>
        <v>0.55465799999999998</v>
      </c>
      <c r="C4" s="29">
        <f>'VDP Method'!G3/tx!B4</f>
        <v>1.2599826785416264</v>
      </c>
      <c r="D4" s="29">
        <f t="shared" ref="D4:D11" si="1">C4^0.5*(C4-1)/(1+C4^1.5)</f>
        <v>0.12087384853875062</v>
      </c>
      <c r="E4" s="29">
        <f>0.61*(INPUT!$C$18*B4)^0.5+3.84*tx!D4*'Summary of shell design'!C13</f>
        <v>27.393128041910884</v>
      </c>
      <c r="F4" s="29">
        <f>12*D4*'Summary of shell design'!C13</f>
        <v>34.811668379160182</v>
      </c>
      <c r="G4" s="29">
        <f>1.22*(INPUT!$C$18*B4)^0.5</f>
        <v>32.506788321159256</v>
      </c>
      <c r="H4" s="29">
        <f>2.6*INPUT!$C$4*('Summary of shell design'!C13-MIN(tx!E4,tx!F4,tx!G4)/12)/INPUT!$C$9</f>
        <v>0.52372350140047019</v>
      </c>
      <c r="I4" s="29"/>
      <c r="J4" s="29"/>
    </row>
    <row r="5" spans="1:10" ht="18">
      <c r="A5" s="41" t="s">
        <v>98</v>
      </c>
      <c r="B5" s="29">
        <f>'1-Foot Method'!G5</f>
        <v>0.3617334782608696</v>
      </c>
      <c r="C5" s="29">
        <f>'VDP Method'!G4/tx!B5</f>
        <v>1.4318246370715559</v>
      </c>
      <c r="D5" s="29">
        <f t="shared" si="1"/>
        <v>0.19043802838234489</v>
      </c>
      <c r="E5" s="29">
        <f>0.61*(INPUT!$C$18*B5)^0.5+3.84*tx!D5*'Summary of shell design'!C14</f>
        <v>24.826312358422182</v>
      </c>
      <c r="F5" s="29">
        <f>12*D5*'Summary of shell design'!C14</f>
        <v>36.564101449410217</v>
      </c>
      <c r="G5" s="29">
        <f>1.22*(INPUT!$C$18*B5)^0.5</f>
        <v>26.251599789221824</v>
      </c>
      <c r="H5" s="29">
        <f>2.6*INPUT!$C$4*('Summary of shell design'!C14-MIN(tx!E5,tx!F5,tx!G5)/12)/INPUT!$C$9</f>
        <v>0.33595733057935606</v>
      </c>
      <c r="I5" s="29"/>
      <c r="J5" s="29"/>
    </row>
    <row r="6" spans="1:10" ht="18">
      <c r="A6" s="41" t="s">
        <v>99</v>
      </c>
      <c r="B6" s="29">
        <f>'1-Foot Method'!G6</f>
        <v>0.16880895652173913</v>
      </c>
      <c r="C6" s="29">
        <f>'VDP Method'!G5/tx!B6</f>
        <v>1.9849317164325779</v>
      </c>
      <c r="D6" s="29">
        <f t="shared" si="1"/>
        <v>0.36550464584785919</v>
      </c>
      <c r="E6" s="29">
        <f>0.61*(INPUT!$C$18*B6)^0.5+3.84*tx!D6*'Summary of shell design'!C15</f>
        <v>20.194931072707281</v>
      </c>
      <c r="F6" s="29">
        <f>12*D6*'Summary of shell design'!C15</f>
        <v>35.08844600139448</v>
      </c>
      <c r="G6" s="29">
        <f>1.22*(INPUT!$C$18*B6)^0.5</f>
        <v>17.933256704522094</v>
      </c>
      <c r="H6" s="29">
        <f>2.6*INPUT!$C$4*('Summary of shell design'!C15-MIN(tx!E6,tx!F6,tx!G6)/12)/INPUT!$C$9</f>
        <v>0.15688530327095357</v>
      </c>
      <c r="I6" s="29"/>
      <c r="J6" s="29"/>
    </row>
    <row r="7" spans="1:10" ht="18">
      <c r="A7" s="41" t="s">
        <v>100</v>
      </c>
      <c r="B7" s="29" t="str">
        <f>'1-Foot Method'!G7</f>
        <v>None</v>
      </c>
      <c r="C7" s="29" t="e">
        <f>'VDP Method'!G6/tx!B7</f>
        <v>#VALUE!</v>
      </c>
      <c r="D7" s="29" t="e">
        <f t="shared" si="1"/>
        <v>#VALUE!</v>
      </c>
      <c r="E7" s="29" t="e">
        <f>0.61*(INPUT!$C$18*B7)^0.5+3.84*tx!D7*'Summary of shell design'!C16</f>
        <v>#VALUE!</v>
      </c>
      <c r="F7" s="29" t="e">
        <f>12*D7*'Summary of shell design'!C16</f>
        <v>#VALUE!</v>
      </c>
      <c r="G7" s="29" t="e">
        <f>1.22*(INPUT!$C$18*B7)^0.5</f>
        <v>#VALUE!</v>
      </c>
      <c r="H7" s="29" t="e">
        <f>2.6*INPUT!$C$4*('Summary of shell design'!C16-MIN(tx!E7,tx!F7,tx!G7)/12)/INPUT!$C$9</f>
        <v>#VALUE!</v>
      </c>
      <c r="I7" s="29"/>
      <c r="J7" s="29"/>
    </row>
    <row r="8" spans="1:10" ht="18">
      <c r="A8" s="41" t="s">
        <v>101</v>
      </c>
      <c r="B8" s="29" t="str">
        <f>'1-Foot Method'!G8</f>
        <v>None</v>
      </c>
      <c r="C8" s="29" t="e">
        <f>'VDP Method'!G7/tx!B8</f>
        <v>#VALUE!</v>
      </c>
      <c r="D8" s="29" t="e">
        <f t="shared" si="1"/>
        <v>#VALUE!</v>
      </c>
      <c r="E8" s="29" t="e">
        <f>0.61*(INPUT!$C$18*B8)^0.5+3.84*tx!D8*'Summary of shell design'!C17</f>
        <v>#VALUE!</v>
      </c>
      <c r="F8" s="29" t="e">
        <f>12*D8*'Summary of shell design'!C17</f>
        <v>#VALUE!</v>
      </c>
      <c r="G8" s="29" t="e">
        <f>1.22*(INPUT!$C$18*B8)^0.5</f>
        <v>#VALUE!</v>
      </c>
      <c r="H8" s="29" t="e">
        <f>2.6*INPUT!$C$4*('Summary of shell design'!C17-MIN(tx!E8,tx!F8,tx!G8)/12)/INPUT!$C$9</f>
        <v>#VALUE!</v>
      </c>
      <c r="I8" s="29"/>
      <c r="J8" s="29"/>
    </row>
    <row r="9" spans="1:10" ht="18">
      <c r="A9" s="41" t="s">
        <v>102</v>
      </c>
      <c r="B9" s="29" t="str">
        <f>'1-Foot Method'!G9</f>
        <v>None</v>
      </c>
      <c r="C9" s="29" t="e">
        <f>'VDP Method'!G8/tx!B9</f>
        <v>#VALUE!</v>
      </c>
      <c r="D9" s="29" t="e">
        <f t="shared" si="1"/>
        <v>#VALUE!</v>
      </c>
      <c r="E9" s="29" t="e">
        <f>0.61*(INPUT!$C$18*B9)^0.5+3.84*tx!D9*'Summary of shell design'!C18</f>
        <v>#VALUE!</v>
      </c>
      <c r="F9" s="29" t="e">
        <f>12*D9*'Summary of shell design'!C18</f>
        <v>#VALUE!</v>
      </c>
      <c r="G9" s="29" t="e">
        <f>1.22*(INPUT!$C$18*B9)^0.5</f>
        <v>#VALUE!</v>
      </c>
      <c r="H9" s="29" t="e">
        <f>2.6*INPUT!$C$4*('Summary of shell design'!C18-MIN(tx!E9,tx!F9,tx!G9)/12)/INPUT!$C$9</f>
        <v>#VALUE!</v>
      </c>
      <c r="I9" s="29"/>
      <c r="J9" s="29"/>
    </row>
    <row r="10" spans="1:10" ht="18">
      <c r="A10" s="41" t="s">
        <v>103</v>
      </c>
      <c r="B10" s="29" t="str">
        <f>'1-Foot Method'!G10</f>
        <v>None</v>
      </c>
      <c r="C10" s="29" t="e">
        <f>'VDP Method'!G9/tx!B10</f>
        <v>#VALUE!</v>
      </c>
      <c r="D10" s="29" t="e">
        <f t="shared" si="1"/>
        <v>#VALUE!</v>
      </c>
      <c r="E10" s="29" t="e">
        <f>0.61*(INPUT!$C$18*B10)^0.5+3.84*tx!D10*'Summary of shell design'!C19</f>
        <v>#VALUE!</v>
      </c>
      <c r="F10" s="29" t="e">
        <f>12*D10*'Summary of shell design'!C19</f>
        <v>#VALUE!</v>
      </c>
      <c r="G10" s="29" t="e">
        <f>1.22*(INPUT!$C$18*B10)^0.5</f>
        <v>#VALUE!</v>
      </c>
      <c r="H10" s="29" t="e">
        <f>2.6*INPUT!$C$4*('Summary of shell design'!C19-MIN(tx!E10,tx!F10,tx!G10)/12)/INPUT!$C$9</f>
        <v>#VALUE!</v>
      </c>
      <c r="I10" s="29"/>
      <c r="J10" s="29"/>
    </row>
    <row r="11" spans="1:10" ht="18">
      <c r="A11" s="41" t="s">
        <v>104</v>
      </c>
      <c r="B11" s="29" t="str">
        <f>'1-Foot Method'!G11</f>
        <v>None</v>
      </c>
      <c r="C11" s="29" t="e">
        <f>'VDP Method'!G10/tx!B11</f>
        <v>#VALUE!</v>
      </c>
      <c r="D11" s="29" t="e">
        <f t="shared" si="1"/>
        <v>#VALUE!</v>
      </c>
      <c r="E11" s="29" t="e">
        <f>0.61*(INPUT!$C$18*B11)^0.5+3.84*tx!D11*'Summary of shell design'!C20</f>
        <v>#VALUE!</v>
      </c>
      <c r="F11" s="29" t="e">
        <f>12*D11*'Summary of shell design'!C20</f>
        <v>#VALUE!</v>
      </c>
      <c r="G11" s="29" t="e">
        <f>1.22*(INPUT!$C$18*B11)^0.5</f>
        <v>#VALUE!</v>
      </c>
      <c r="H11" s="29" t="e">
        <f>2.6*INPUT!$C$4*('Summary of shell design'!C20-MIN(tx!E11,tx!F11,tx!G11)/12)/INPUT!$C$9</f>
        <v>#VALUE!</v>
      </c>
      <c r="I11" s="29"/>
      <c r="J11" s="29"/>
    </row>
    <row r="12" spans="1:10" ht="18">
      <c r="A12" s="29"/>
      <c r="B12" s="29"/>
      <c r="C12" s="29" t="s">
        <v>105</v>
      </c>
      <c r="D12" s="29" t="s">
        <v>106</v>
      </c>
      <c r="E12" s="29" t="s">
        <v>91</v>
      </c>
      <c r="F12" s="29" t="s">
        <v>92</v>
      </c>
      <c r="G12" s="29" t="s">
        <v>93</v>
      </c>
      <c r="H12" s="29" t="s">
        <v>94</v>
      </c>
      <c r="I12" s="29"/>
      <c r="J12" s="29"/>
    </row>
    <row r="13" spans="1:10">
      <c r="A13" s="29"/>
      <c r="B13" s="29"/>
      <c r="C13" s="29"/>
      <c r="D13" s="29"/>
      <c r="E13" s="29"/>
      <c r="F13" s="29"/>
      <c r="G13" s="29"/>
      <c r="H13" s="29"/>
      <c r="I13" s="29"/>
      <c r="J13" s="29"/>
    </row>
    <row r="14" spans="1:10">
      <c r="A14" s="29"/>
      <c r="B14" s="29"/>
      <c r="C14" s="29">
        <f>'VDP Method'!G2/tx!H3</f>
        <v>1.3064753087551702</v>
      </c>
      <c r="D14" s="29">
        <f t="shared" ref="D14" si="2">C14^0.5*(C14-1)/(1+C14^1.5)</f>
        <v>0.14049753859744879</v>
      </c>
      <c r="E14" s="29">
        <f>0.61*(INPUT!$C$18*H3)^0.5+3.84*tx!D14*'Summary of shell design'!C12</f>
        <v>35.609467622096446</v>
      </c>
      <c r="F14" s="29">
        <f>12*D14*'Summary of shell design'!C12</f>
        <v>53.951054821420335</v>
      </c>
      <c r="G14" s="29">
        <f>1.22*(INPUT!$C$18*H3)^0.5</f>
        <v>36.690260158483888</v>
      </c>
      <c r="H14" s="29">
        <f>2.6*INPUT!$C$4*('Summary of shell design'!C12-MIN(E14,F14,G14)/12)/INPUT!$C$9</f>
        <v>0.70013621705675078</v>
      </c>
      <c r="I14" s="29"/>
      <c r="J14" s="29"/>
    </row>
    <row r="15" spans="1:10">
      <c r="A15" s="29"/>
      <c r="B15" s="29"/>
      <c r="C15" s="29">
        <f>'VDP Method'!G3/tx!H4</f>
        <v>1.3344054079027319</v>
      </c>
      <c r="D15" s="29">
        <f t="shared" ref="D15:D22" si="3">C15^0.5*(C15-1)/(1+C15^1.5)</f>
        <v>0.15199673372808695</v>
      </c>
      <c r="E15" s="29">
        <f>0.61*(INPUT!$C$18*H4)^0.5+3.84*tx!D15*'Summary of shell design'!C13</f>
        <v>29.801667117677006</v>
      </c>
      <c r="F15" s="29">
        <f>12*D15*'Summary of shell design'!C13</f>
        <v>43.775059313689042</v>
      </c>
      <c r="G15" s="29">
        <f>1.22*(INPUT!$C$18*H4)^0.5</f>
        <v>31.587296274593033</v>
      </c>
      <c r="H15" s="29">
        <f>2.6*INPUT!$C$4*('Summary of shell design'!C13-MIN(E15,F15,G15)/12)/INPUT!$C$9</f>
        <v>0.5188832279704475</v>
      </c>
      <c r="I15" s="29"/>
      <c r="J15" s="29"/>
    </row>
    <row r="16" spans="1:10">
      <c r="A16" s="29"/>
      <c r="B16" s="29"/>
      <c r="C16" s="29">
        <f>'VDP Method'!G4/tx!H5</f>
        <v>1.54168062156679</v>
      </c>
      <c r="D16" s="29">
        <f t="shared" si="3"/>
        <v>0.23079070939086291</v>
      </c>
      <c r="E16" s="29">
        <f>0.61*(INPUT!$C$18*H5)^0.5+3.84*tx!D16*'Summary of shell design'!C14</f>
        <v>26.829284925142694</v>
      </c>
      <c r="F16" s="29">
        <f>12*D16*'Summary of shell design'!C14</f>
        <v>44.31181620304568</v>
      </c>
      <c r="G16" s="29">
        <f>1.22*(INPUT!$C$18*H5)^0.5</f>
        <v>25.299007480336154</v>
      </c>
      <c r="H16" s="29">
        <f>2.6*INPUT!$C$4*('Summary of shell design'!C14-MIN(E16,F16,G16)/12)/INPUT!$C$9</f>
        <v>0.33500738807598446</v>
      </c>
      <c r="I16" s="29"/>
      <c r="J16" s="29"/>
    </row>
    <row r="17" spans="1:10">
      <c r="A17" s="29"/>
      <c r="B17" s="29"/>
      <c r="C17" s="29">
        <f>'VDP Method'!G5/tx!H6</f>
        <v>2.1357912107241037</v>
      </c>
      <c r="D17" s="29">
        <f t="shared" si="3"/>
        <v>0.40275565058991786</v>
      </c>
      <c r="E17" s="29">
        <f>0.61*(INPUT!$C$18*H6)^0.5+3.84*tx!D17*'Summary of shell design'!C15</f>
        <v>21.016808824425727</v>
      </c>
      <c r="F17" s="29">
        <f>12*D17*'Summary of shell design'!C15</f>
        <v>38.664542456632113</v>
      </c>
      <c r="G17" s="29">
        <f>1.22*(INPUT!$C$18*H6)^0.5</f>
        <v>17.288310476606902</v>
      </c>
      <c r="H17" s="29">
        <f>2.6*INPUT!$C$4*('Summary of shell design'!C15-MIN(E17,F17,G17)/12)/INPUT!$C$9</f>
        <v>0.15818140683937018</v>
      </c>
      <c r="I17" s="29"/>
      <c r="J17" s="29"/>
    </row>
    <row r="18" spans="1:10">
      <c r="A18" s="29"/>
      <c r="B18" s="29"/>
      <c r="C18" s="29" t="e">
        <f>'VDP Method'!G6/tx!H7</f>
        <v>#VALUE!</v>
      </c>
      <c r="D18" s="29" t="e">
        <f t="shared" si="3"/>
        <v>#VALUE!</v>
      </c>
      <c r="E18" s="29" t="e">
        <f>0.61*(INPUT!$C$18*H7)^0.5+3.84*tx!D18*'Summary of shell design'!C16</f>
        <v>#VALUE!</v>
      </c>
      <c r="F18" s="29" t="e">
        <f>12*D18*'Summary of shell design'!C16</f>
        <v>#VALUE!</v>
      </c>
      <c r="G18" s="29" t="e">
        <f>1.22*(INPUT!$C$18*H7)^0.5</f>
        <v>#VALUE!</v>
      </c>
      <c r="H18" s="29" t="e">
        <f>2.6*INPUT!$C$4*('Summary of shell design'!C16-MIN(E18,F18,G18)/12)/INPUT!$C$9</f>
        <v>#VALUE!</v>
      </c>
      <c r="I18" s="29"/>
      <c r="J18" s="29"/>
    </row>
    <row r="19" spans="1:10">
      <c r="A19" s="29"/>
      <c r="B19" s="29"/>
      <c r="C19" s="29" t="e">
        <f>'VDP Method'!G7/tx!H8</f>
        <v>#VALUE!</v>
      </c>
      <c r="D19" s="29" t="e">
        <f t="shared" si="3"/>
        <v>#VALUE!</v>
      </c>
      <c r="E19" s="29" t="e">
        <f>0.61*(INPUT!$C$18*H8)^0.5+3.84*tx!D19*'Summary of shell design'!C17</f>
        <v>#VALUE!</v>
      </c>
      <c r="F19" s="29" t="e">
        <f>12*D19*'Summary of shell design'!C17</f>
        <v>#VALUE!</v>
      </c>
      <c r="G19" s="29" t="e">
        <f>1.22*(INPUT!$C$18*H8)^0.5</f>
        <v>#VALUE!</v>
      </c>
      <c r="H19" s="29" t="e">
        <f>2.6*INPUT!$C$4*('Summary of shell design'!C17-MIN(E19,F19,G19)/12)/INPUT!$C$9</f>
        <v>#VALUE!</v>
      </c>
      <c r="I19" s="29"/>
      <c r="J19" s="29"/>
    </row>
    <row r="20" spans="1:10">
      <c r="A20" s="29"/>
      <c r="B20" s="29"/>
      <c r="C20" s="29" t="e">
        <f>'VDP Method'!G8/tx!H9</f>
        <v>#VALUE!</v>
      </c>
      <c r="D20" s="29" t="e">
        <f t="shared" si="3"/>
        <v>#VALUE!</v>
      </c>
      <c r="E20" s="29" t="e">
        <f>0.61*(INPUT!$C$18*H9)^0.5+3.84*tx!D20*'Summary of shell design'!C18</f>
        <v>#VALUE!</v>
      </c>
      <c r="F20" s="29" t="e">
        <f>12*D20*'Summary of shell design'!C18</f>
        <v>#VALUE!</v>
      </c>
      <c r="G20" s="29" t="e">
        <f>1.22*(INPUT!$C$18*H9)^0.5</f>
        <v>#VALUE!</v>
      </c>
      <c r="H20" s="29" t="e">
        <f>2.6*INPUT!$C$4*('Summary of shell design'!C18-MIN(E20,F20,G20)/12)/INPUT!$C$9</f>
        <v>#VALUE!</v>
      </c>
      <c r="I20" s="29"/>
      <c r="J20" s="29"/>
    </row>
    <row r="21" spans="1:10">
      <c r="A21" s="29"/>
      <c r="B21" s="29"/>
      <c r="C21" s="29" t="e">
        <f>'VDP Method'!G9/tx!H10</f>
        <v>#VALUE!</v>
      </c>
      <c r="D21" s="29" t="e">
        <f t="shared" si="3"/>
        <v>#VALUE!</v>
      </c>
      <c r="E21" s="29" t="e">
        <f>0.61*(INPUT!$C$18*H10)^0.5+3.84*tx!D21*'Summary of shell design'!C19</f>
        <v>#VALUE!</v>
      </c>
      <c r="F21" s="29" t="e">
        <f>12*D21*'Summary of shell design'!C19</f>
        <v>#VALUE!</v>
      </c>
      <c r="G21" s="29" t="e">
        <f>1.22*(INPUT!$C$18*H10)^0.5</f>
        <v>#VALUE!</v>
      </c>
      <c r="H21" s="29" t="e">
        <f>2.6*INPUT!$C$4*('Summary of shell design'!C19-MIN(E21,F21,G21)/12)/INPUT!$C$9</f>
        <v>#VALUE!</v>
      </c>
      <c r="I21" s="29"/>
      <c r="J21" s="29"/>
    </row>
    <row r="22" spans="1:10">
      <c r="A22" s="29"/>
      <c r="B22" s="29"/>
      <c r="C22" s="29" t="e">
        <f>'VDP Method'!G10/tx!H11</f>
        <v>#VALUE!</v>
      </c>
      <c r="D22" s="29" t="e">
        <f t="shared" si="3"/>
        <v>#VALUE!</v>
      </c>
      <c r="E22" s="29" t="e">
        <f>0.61*(INPUT!$C$18*H11)^0.5+3.84*tx!D22*'Summary of shell design'!C20</f>
        <v>#VALUE!</v>
      </c>
      <c r="F22" s="29" t="e">
        <f>12*D22*'Summary of shell design'!C20</f>
        <v>#VALUE!</v>
      </c>
      <c r="G22" s="29" t="e">
        <f>1.22*(INPUT!$C$18*H11)^0.5</f>
        <v>#VALUE!</v>
      </c>
      <c r="H22" s="29" t="e">
        <f>2.6*INPUT!$C$4*('Summary of shell design'!C20-MIN(E22,F22,G22)/12)/INPUT!$C$9</f>
        <v>#VALUE!</v>
      </c>
      <c r="I22" s="29"/>
      <c r="J22" s="29"/>
    </row>
    <row r="23" spans="1:10" ht="18">
      <c r="A23" s="29"/>
      <c r="B23" s="29"/>
      <c r="C23" s="29" t="s">
        <v>107</v>
      </c>
      <c r="D23" s="29" t="s">
        <v>108</v>
      </c>
      <c r="E23" s="29" t="s">
        <v>91</v>
      </c>
      <c r="F23" s="29" t="s">
        <v>92</v>
      </c>
      <c r="G23" s="29" t="s">
        <v>93</v>
      </c>
      <c r="H23" s="29" t="s">
        <v>94</v>
      </c>
      <c r="I23" s="29"/>
      <c r="J23" s="29"/>
    </row>
    <row r="24" spans="1:10">
      <c r="A24" s="29"/>
      <c r="B24" s="29"/>
      <c r="C24" s="29"/>
      <c r="D24" s="29"/>
      <c r="E24" s="29"/>
      <c r="F24" s="29"/>
      <c r="G24" s="29"/>
      <c r="H24" s="29"/>
      <c r="I24" s="29"/>
      <c r="J24" s="29"/>
    </row>
    <row r="25" spans="1:10">
      <c r="A25" s="29"/>
      <c r="B25" s="29"/>
      <c r="C25" s="29">
        <f>'VDP Method'!G2/tx!H14</f>
        <v>1.3185524195025775</v>
      </c>
      <c r="D25" s="29">
        <f t="shared" ref="D25" si="4">C25^0.5*(C25-1)/(1+C25^1.5)</f>
        <v>0.14549636879504613</v>
      </c>
      <c r="E25" s="29">
        <f>0.61*(INPUT!$C$18*H14)^0.5+3.84*tx!D25*'Summary of shell design'!C12</f>
        <v>36.139515683787295</v>
      </c>
      <c r="F25" s="29">
        <f>12*D25*'Summary of shell design'!C12</f>
        <v>55.870605617297713</v>
      </c>
      <c r="G25" s="29">
        <f>1.22*(INPUT!$C$18*H14)^0.5</f>
        <v>36.521843772504056</v>
      </c>
      <c r="H25" s="29">
        <f>2.6*INPUT!$C$4*('Summary of shell design'!C12-MIN(E25,F25,G25)/12)/INPUT!$C$9</f>
        <v>0.6990710163400794</v>
      </c>
      <c r="I25" s="29"/>
      <c r="J25" s="29"/>
    </row>
    <row r="26" spans="1:10">
      <c r="A26" s="29"/>
      <c r="B26" s="29"/>
      <c r="C26" s="29">
        <f>'VDP Method'!G3/tx!H15</f>
        <v>1.346853077614496</v>
      </c>
      <c r="D26" s="29">
        <f t="shared" ref="D26:D33" si="5">C26^0.5*(C26-1)/(1+C26^1.5)</f>
        <v>0.15705220334270212</v>
      </c>
      <c r="E26" s="29">
        <f>0.61*(INPUT!$C$18*H15)^0.5+3.84*tx!D26*'Summary of shell design'!C13</f>
        <v>30.194427024078237</v>
      </c>
      <c r="F26" s="29">
        <f>12*D26*'Summary of shell design'!C13</f>
        <v>45.231034562698213</v>
      </c>
      <c r="G26" s="29">
        <f>1.22*(INPUT!$C$18*H15)^0.5</f>
        <v>31.440991928029618</v>
      </c>
      <c r="H26" s="29">
        <f>2.6*INPUT!$C$4*('Summary of shell design'!C13-MIN(E26,F26,G26)/12)/INPUT!$C$9</f>
        <v>0.51809392570898127</v>
      </c>
      <c r="I26" s="29"/>
      <c r="J26" s="29"/>
    </row>
    <row r="27" spans="1:10">
      <c r="A27" s="29"/>
      <c r="B27" s="29"/>
      <c r="C27" s="29">
        <f>'VDP Method'!G4/tx!H16</f>
        <v>1.5460521906759419</v>
      </c>
      <c r="D27" s="29">
        <f t="shared" si="5"/>
        <v>0.23233333393653768</v>
      </c>
      <c r="E27" s="29">
        <f>0.61*(INPUT!$C$18*H16)^0.5+3.84*tx!D27*'Summary of shell design'!C14</f>
        <v>26.90616744573822</v>
      </c>
      <c r="F27" s="29">
        <f>12*D27*'Summary of shell design'!C14</f>
        <v>44.608000115815237</v>
      </c>
      <c r="G27" s="29">
        <f>1.22*(INPUT!$C$18*H16)^0.5</f>
        <v>25.263214817354694</v>
      </c>
      <c r="H27" s="29">
        <f>2.6*INPUT!$C$4*('Summary of shell design'!C14-MIN(E27,F27,G27)/12)/INPUT!$C$9</f>
        <v>0.33507931810085395</v>
      </c>
      <c r="I27" s="29"/>
      <c r="J27" s="29"/>
    </row>
    <row r="28" spans="1:10">
      <c r="A28" s="29"/>
      <c r="B28" s="29"/>
      <c r="C28" s="29">
        <f>'VDP Method'!G5/tx!H17</f>
        <v>2.1182910084884297</v>
      </c>
      <c r="D28" s="29">
        <f t="shared" si="5"/>
        <v>0.39862502312574927</v>
      </c>
      <c r="E28" s="29">
        <f>0.61*(INPUT!$C$18*H17)^0.5+3.84*tx!D28*'Summary of shell design'!C15</f>
        <v>20.9255492282776</v>
      </c>
      <c r="F28" s="29">
        <f>12*D28*'Summary of shell design'!C15</f>
        <v>38.268002220071928</v>
      </c>
      <c r="G28" s="29">
        <f>1.22*(INPUT!$C$18*H17)^0.5</f>
        <v>17.359577035709165</v>
      </c>
      <c r="H28" s="29">
        <f>2.6*INPUT!$C$4*('Summary of shell design'!C15-MIN(E28,F28,G28)/12)/INPUT!$C$9</f>
        <v>0.15803818739321604</v>
      </c>
      <c r="I28" s="29"/>
      <c r="J28" s="29"/>
    </row>
    <row r="29" spans="1:10">
      <c r="A29" s="29"/>
      <c r="B29" s="29"/>
      <c r="C29" s="29" t="e">
        <f>'VDP Method'!G6/tx!H18</f>
        <v>#VALUE!</v>
      </c>
      <c r="D29" s="29" t="e">
        <f t="shared" si="5"/>
        <v>#VALUE!</v>
      </c>
      <c r="E29" s="29" t="e">
        <f>0.61*(INPUT!$C$18*H18)^0.5+3.84*tx!D29*'Summary of shell design'!C16</f>
        <v>#VALUE!</v>
      </c>
      <c r="F29" s="29" t="e">
        <f>12*D29*'Summary of shell design'!C16</f>
        <v>#VALUE!</v>
      </c>
      <c r="G29" s="29" t="e">
        <f>1.22*(INPUT!$C$18*H18)^0.5</f>
        <v>#VALUE!</v>
      </c>
      <c r="H29" s="29" t="e">
        <f>2.6*INPUT!$C$4*('Summary of shell design'!C16-MIN(E29,F29,G29)/12)/INPUT!$C$9</f>
        <v>#VALUE!</v>
      </c>
      <c r="I29" s="29"/>
      <c r="J29" s="29"/>
    </row>
    <row r="30" spans="1:10">
      <c r="A30" s="29"/>
      <c r="B30" s="29"/>
      <c r="C30" s="29" t="e">
        <f>'VDP Method'!G7/tx!H19</f>
        <v>#VALUE!</v>
      </c>
      <c r="D30" s="29" t="e">
        <f t="shared" si="5"/>
        <v>#VALUE!</v>
      </c>
      <c r="E30" s="29" t="e">
        <f>0.61*(INPUT!$C$18*H19)^0.5+3.84*tx!D30*'Summary of shell design'!C17</f>
        <v>#VALUE!</v>
      </c>
      <c r="F30" s="29" t="e">
        <f>12*D30*'Summary of shell design'!C17</f>
        <v>#VALUE!</v>
      </c>
      <c r="G30" s="29" t="e">
        <f>1.22*(INPUT!$C$18*H19)^0.5</f>
        <v>#VALUE!</v>
      </c>
      <c r="H30" s="29" t="e">
        <f>2.6*INPUT!$C$4*('Summary of shell design'!C17-MIN(E30,F30,G30)/12)/INPUT!$C$9</f>
        <v>#VALUE!</v>
      </c>
      <c r="I30" s="29"/>
      <c r="J30" s="29"/>
    </row>
    <row r="31" spans="1:10">
      <c r="A31" s="29"/>
      <c r="B31" s="29"/>
      <c r="C31" s="29" t="e">
        <f>'VDP Method'!G8/tx!H20</f>
        <v>#VALUE!</v>
      </c>
      <c r="D31" s="29" t="e">
        <f t="shared" si="5"/>
        <v>#VALUE!</v>
      </c>
      <c r="E31" s="29" t="e">
        <f>0.61*(INPUT!$C$18*H20)^0.5+3.84*tx!D31*'Summary of shell design'!C18</f>
        <v>#VALUE!</v>
      </c>
      <c r="F31" s="29" t="e">
        <f>12*D31*'Summary of shell design'!C18</f>
        <v>#VALUE!</v>
      </c>
      <c r="G31" s="29" t="e">
        <f>1.22*(INPUT!$C$18*H20)^0.5</f>
        <v>#VALUE!</v>
      </c>
      <c r="H31" s="29" t="e">
        <f>2.6*INPUT!$C$4*('Summary of shell design'!C18-MIN(E31,F31,G31)/12)/INPUT!$C$9</f>
        <v>#VALUE!</v>
      </c>
      <c r="I31" s="29"/>
      <c r="J31" s="29"/>
    </row>
    <row r="32" spans="1:10">
      <c r="A32" s="29"/>
      <c r="B32" s="29"/>
      <c r="C32" s="29" t="e">
        <f>'VDP Method'!G9/tx!H21</f>
        <v>#VALUE!</v>
      </c>
      <c r="D32" s="29" t="e">
        <f t="shared" si="5"/>
        <v>#VALUE!</v>
      </c>
      <c r="E32" s="29" t="e">
        <f>0.61*(INPUT!$C$18*H21)^0.5+3.84*tx!D32*'Summary of shell design'!C19</f>
        <v>#VALUE!</v>
      </c>
      <c r="F32" s="29" t="e">
        <f>12*D32*'Summary of shell design'!C19</f>
        <v>#VALUE!</v>
      </c>
      <c r="G32" s="29" t="e">
        <f>1.22*(INPUT!$C$18*H21)^0.5</f>
        <v>#VALUE!</v>
      </c>
      <c r="H32" s="29" t="e">
        <f>2.6*INPUT!$C$4*('Summary of shell design'!C19-MIN(E32,F32,G32)/12)/INPUT!$C$9</f>
        <v>#VALUE!</v>
      </c>
      <c r="I32" s="29"/>
      <c r="J32" s="29"/>
    </row>
    <row r="33" spans="1:10">
      <c r="A33" s="29"/>
      <c r="B33" s="29"/>
      <c r="C33" s="29" t="e">
        <f>'VDP Method'!G10/tx!H22</f>
        <v>#VALUE!</v>
      </c>
      <c r="D33" s="29" t="e">
        <f t="shared" si="5"/>
        <v>#VALUE!</v>
      </c>
      <c r="E33" s="29" t="e">
        <f>0.61*(INPUT!$C$18*H22)^0.5+3.84*tx!D33*'Summary of shell design'!C20</f>
        <v>#VALUE!</v>
      </c>
      <c r="F33" s="29" t="e">
        <f>12*D33*'Summary of shell design'!C20</f>
        <v>#VALUE!</v>
      </c>
      <c r="G33" s="29" t="e">
        <f>1.22*(INPUT!$C$18*H22)^0.5</f>
        <v>#VALUE!</v>
      </c>
      <c r="H33" s="29" t="e">
        <f>2.6*INPUT!$C$4*('Summary of shell design'!C20-MIN(E33,F33,G33)/12)/INPUT!$C$9</f>
        <v>#VALUE!</v>
      </c>
      <c r="I33" s="29"/>
      <c r="J33" s="29"/>
    </row>
    <row r="34" spans="1:10" ht="18">
      <c r="A34" s="29"/>
      <c r="B34" s="29"/>
      <c r="C34" s="29" t="s">
        <v>109</v>
      </c>
      <c r="D34" s="29" t="s">
        <v>110</v>
      </c>
      <c r="E34" s="29" t="s">
        <v>91</v>
      </c>
      <c r="F34" s="29" t="s">
        <v>92</v>
      </c>
      <c r="G34" s="29" t="s">
        <v>93</v>
      </c>
      <c r="H34" s="29" t="s">
        <v>94</v>
      </c>
      <c r="I34" s="29"/>
      <c r="J34" s="29"/>
    </row>
    <row r="35" spans="1:10">
      <c r="A35" s="29"/>
      <c r="B35" s="29"/>
      <c r="C35" s="29"/>
      <c r="D35" s="29"/>
      <c r="E35" s="29"/>
      <c r="F35" s="29"/>
      <c r="G35" s="29"/>
      <c r="H35" s="29"/>
      <c r="I35" s="29"/>
      <c r="J35" s="29"/>
    </row>
    <row r="36" spans="1:10">
      <c r="A36" s="29"/>
      <c r="B36" s="29"/>
      <c r="C36" s="29">
        <f>'VDP Method'!G2/tx!H25</f>
        <v>1.3205615472584045</v>
      </c>
      <c r="D36" s="29">
        <f>C36^0.5*(C36-1)/(1+C36^1.5)</f>
        <v>0.14632403936987556</v>
      </c>
      <c r="E36" s="29">
        <f>0.61*(INPUT!$C$18*H25)^0.5+3.84*tx!D36*'Summary of shell design'!C12</f>
        <v>36.227323297372379</v>
      </c>
      <c r="F36" s="29">
        <f>12*D36*'Summary of shell design'!C12</f>
        <v>56.188431118032213</v>
      </c>
      <c r="G36" s="29">
        <f>1.22*(INPUT!$C$18*H25)^0.5</f>
        <v>36.494050679204143</v>
      </c>
      <c r="H36" s="29">
        <f>2.6*INPUT!$C$4*('Summary of shell design'!C12-MIN(E36,F36,G36)/12)/INPUT!$C$9</f>
        <v>0.69889455548741308</v>
      </c>
      <c r="I36" s="29"/>
      <c r="J36" s="29"/>
    </row>
    <row r="37" spans="1:10">
      <c r="A37" s="29"/>
      <c r="B37" s="29"/>
      <c r="C37" s="29">
        <f>'VDP Method'!G3/tx!H26</f>
        <v>1.3489049723140316</v>
      </c>
      <c r="D37" s="29">
        <f t="shared" ref="D37:D44" si="6">C37^0.5*(C37-1)/(1+C37^1.5)</f>
        <v>0.15788146784445736</v>
      </c>
      <c r="E37" s="29">
        <f>0.61*(INPUT!$C$18*H26)^0.5+3.84*tx!D37*'Summary of shell design'!C13</f>
        <v>30.258890827854241</v>
      </c>
      <c r="F37" s="29">
        <f>12*D37*'Summary of shell design'!C13</f>
        <v>45.46986273920372</v>
      </c>
      <c r="G37" s="29">
        <f>1.22*(INPUT!$C$18*H26)^0.5</f>
        <v>31.417069502618105</v>
      </c>
      <c r="H37" s="29">
        <f>2.6*INPUT!$C$4*('Summary of shell design'!C13-MIN(E37,F37,G37)/12)/INPUT!$C$9</f>
        <v>0.51796437728697109</v>
      </c>
      <c r="I37" s="29"/>
      <c r="J37" s="29"/>
    </row>
    <row r="38" spans="1:10">
      <c r="A38" s="29"/>
      <c r="B38" s="29"/>
      <c r="C38" s="29">
        <f>'VDP Method'!G4/tx!H27</f>
        <v>1.5457203063532832</v>
      </c>
      <c r="D38" s="29">
        <f t="shared" si="6"/>
        <v>0.23221638531919198</v>
      </c>
      <c r="E38" s="29">
        <f>0.61*(INPUT!$C$18*H27)^0.5+3.84*tx!D38*'Summary of shell design'!C14</f>
        <v>26.900338127214496</v>
      </c>
      <c r="F38" s="29">
        <f>12*D38*'Summary of shell design'!C14</f>
        <v>44.585545981284859</v>
      </c>
      <c r="G38" s="29">
        <f>1.22*(INPUT!$C$18*H27)^0.5</f>
        <v>25.265926826406684</v>
      </c>
      <c r="H38" s="29">
        <f>2.6*INPUT!$C$4*('Summary of shell design'!C14-MIN(E38,F38,G38)/12)/INPUT!$C$9</f>
        <v>0.33507386796492367</v>
      </c>
      <c r="I38" s="29"/>
      <c r="J38" s="29"/>
    </row>
    <row r="39" spans="1:10">
      <c r="A39" s="29"/>
      <c r="B39" s="29"/>
      <c r="C39" s="29">
        <f>'VDP Method'!G5/tx!H28</f>
        <v>2.1202106740454272</v>
      </c>
      <c r="D39" s="29">
        <f t="shared" si="6"/>
        <v>0.39908047976059452</v>
      </c>
      <c r="E39" s="29">
        <f>0.61*(INPUT!$C$18*H28)^0.5+3.84*tx!D39*'Summary of shell design'!C15</f>
        <v>20.935610571120726</v>
      </c>
      <c r="F39" s="29">
        <f>12*D39*'Summary of shell design'!C15</f>
        <v>38.311726057017076</v>
      </c>
      <c r="G39" s="29">
        <f>1.22*(INPUT!$C$18*H28)^0.5</f>
        <v>17.351716465750528</v>
      </c>
      <c r="H39" s="29">
        <f>2.6*INPUT!$C$4*('Summary of shell design'!C15-MIN(E39,F39,G39)/12)/INPUT!$C$9</f>
        <v>0.15805398423383965</v>
      </c>
      <c r="I39" s="29"/>
      <c r="J39" s="29"/>
    </row>
    <row r="40" spans="1:10">
      <c r="A40" s="29"/>
      <c r="B40" s="29"/>
      <c r="C40" s="29" t="e">
        <f>'VDP Method'!G6/tx!H29</f>
        <v>#VALUE!</v>
      </c>
      <c r="D40" s="29" t="e">
        <f t="shared" si="6"/>
        <v>#VALUE!</v>
      </c>
      <c r="E40" s="29" t="e">
        <f>0.61*(INPUT!$C$18*H29)^0.5+3.84*tx!D40*'Summary of shell design'!C16</f>
        <v>#VALUE!</v>
      </c>
      <c r="F40" s="29" t="e">
        <f>12*D40*'Summary of shell design'!C16</f>
        <v>#VALUE!</v>
      </c>
      <c r="G40" s="29" t="e">
        <f>1.22*(INPUT!$C$18*H29)^0.5</f>
        <v>#VALUE!</v>
      </c>
      <c r="H40" s="29" t="e">
        <f>2.6*INPUT!$C$4*('Summary of shell design'!C16-MIN(E40,F40,G40)/12)/INPUT!$C$9</f>
        <v>#VALUE!</v>
      </c>
      <c r="I40" s="29"/>
      <c r="J40" s="29"/>
    </row>
    <row r="41" spans="1:10">
      <c r="A41" s="29"/>
      <c r="B41" s="29"/>
      <c r="C41" s="29" t="e">
        <f>'VDP Method'!G7/tx!H30</f>
        <v>#VALUE!</v>
      </c>
      <c r="D41" s="29" t="e">
        <f t="shared" si="6"/>
        <v>#VALUE!</v>
      </c>
      <c r="E41" s="29" t="e">
        <f>0.61*(INPUT!$C$18*H30)^0.5+3.84*tx!D41*'Summary of shell design'!C17</f>
        <v>#VALUE!</v>
      </c>
      <c r="F41" s="29" t="e">
        <f>12*D41*'Summary of shell design'!C17</f>
        <v>#VALUE!</v>
      </c>
      <c r="G41" s="29" t="e">
        <f>1.22*(INPUT!$C$18*H30)^0.5</f>
        <v>#VALUE!</v>
      </c>
      <c r="H41" s="29" t="e">
        <f>2.6*INPUT!$C$4*('Summary of shell design'!C17-MIN(E41,F41,G41)/12)/INPUT!$C$9</f>
        <v>#VALUE!</v>
      </c>
      <c r="I41" s="29"/>
      <c r="J41" s="29"/>
    </row>
    <row r="42" spans="1:10">
      <c r="A42" s="29"/>
      <c r="B42" s="29"/>
      <c r="C42" s="29" t="e">
        <f>'VDP Method'!G8/tx!H31</f>
        <v>#VALUE!</v>
      </c>
      <c r="D42" s="29" t="e">
        <f t="shared" si="6"/>
        <v>#VALUE!</v>
      </c>
      <c r="E42" s="29" t="e">
        <f>0.61*(INPUT!$C$18*H31)^0.5+3.84*tx!D42*'Summary of shell design'!C18</f>
        <v>#VALUE!</v>
      </c>
      <c r="F42" s="29" t="e">
        <f>12*D42*'Summary of shell design'!C18</f>
        <v>#VALUE!</v>
      </c>
      <c r="G42" s="29" t="e">
        <f>1.22*(INPUT!$C$18*H31)^0.5</f>
        <v>#VALUE!</v>
      </c>
      <c r="H42" s="29" t="e">
        <f>2.6*INPUT!$C$4*('Summary of shell design'!C18-MIN(E42,F42,G42)/12)/INPUT!$C$9</f>
        <v>#VALUE!</v>
      </c>
      <c r="I42" s="29"/>
      <c r="J42" s="29"/>
    </row>
    <row r="43" spans="1:10">
      <c r="A43" s="29"/>
      <c r="B43" s="29"/>
      <c r="C43" s="29" t="e">
        <f>'VDP Method'!G9/tx!H32</f>
        <v>#VALUE!</v>
      </c>
      <c r="D43" s="29" t="e">
        <f t="shared" si="6"/>
        <v>#VALUE!</v>
      </c>
      <c r="E43" s="29" t="e">
        <f>0.61*(INPUT!$C$18*H32)^0.5+3.84*tx!D43*'Summary of shell design'!C19</f>
        <v>#VALUE!</v>
      </c>
      <c r="F43" s="29" t="e">
        <f>12*D43*'Summary of shell design'!C19</f>
        <v>#VALUE!</v>
      </c>
      <c r="G43" s="29" t="e">
        <f>1.22*(INPUT!$C$18*H32)^0.5</f>
        <v>#VALUE!</v>
      </c>
      <c r="H43" s="29" t="e">
        <f>2.6*INPUT!$C$4*('Summary of shell design'!C19-MIN(E43,F43,G43)/12)/INPUT!$C$9</f>
        <v>#VALUE!</v>
      </c>
      <c r="I43" s="29"/>
      <c r="J43" s="29"/>
    </row>
    <row r="44" spans="1:10">
      <c r="A44" s="29"/>
      <c r="B44" s="29"/>
      <c r="C44" s="29" t="e">
        <f>'VDP Method'!G10/tx!H33</f>
        <v>#VALUE!</v>
      </c>
      <c r="D44" s="29" t="e">
        <f t="shared" si="6"/>
        <v>#VALUE!</v>
      </c>
      <c r="E44" s="29" t="e">
        <f>0.61*(INPUT!$C$18*H33)^0.5+3.84*tx!D44*'Summary of shell design'!C20</f>
        <v>#VALUE!</v>
      </c>
      <c r="F44" s="29" t="e">
        <f>12*D44*'Summary of shell design'!C20</f>
        <v>#VALUE!</v>
      </c>
      <c r="G44" s="29" t="e">
        <f>1.22*(INPUT!$C$18*H33)^0.5</f>
        <v>#VALUE!</v>
      </c>
      <c r="H44" s="29" t="e">
        <f>2.6*INPUT!$C$4*('Summary of shell design'!C20-MIN(E44,F44,G44)/12)/INPUT!$C$9</f>
        <v>#VALUE!</v>
      </c>
      <c r="I44" s="29"/>
      <c r="J44" s="29"/>
    </row>
    <row r="45" spans="1:10" ht="18">
      <c r="A45" s="29"/>
      <c r="B45" s="29"/>
      <c r="C45" s="29" t="s">
        <v>111</v>
      </c>
      <c r="D45" s="29" t="s">
        <v>112</v>
      </c>
      <c r="E45" s="29" t="s">
        <v>91</v>
      </c>
      <c r="F45" s="29" t="s">
        <v>92</v>
      </c>
      <c r="G45" s="29" t="s">
        <v>93</v>
      </c>
      <c r="H45" s="29" t="s">
        <v>94</v>
      </c>
      <c r="I45" s="29"/>
      <c r="J45" s="29"/>
    </row>
    <row r="47" spans="1:10">
      <c r="C47" s="29">
        <f>'VDP Method'!G2/tx!H36</f>
        <v>1.3208949701113912</v>
      </c>
      <c r="D47" s="29">
        <f>C47^0.5*(C47-1)/(1+C47^1.5)</f>
        <v>0.14646128644402745</v>
      </c>
      <c r="E47" s="29">
        <f>0.61*(INPUT!$C$18*H36)^0.5+3.84*tx!D47*'Summary of shell design'!C12</f>
        <v>36.241885097851437</v>
      </c>
      <c r="F47" s="29">
        <f>12*D47*'Summary of shell design'!C12</f>
        <v>56.241133994506541</v>
      </c>
      <c r="G47" s="29">
        <f>1.22*(INPUT!$C$18*H36)^0.5</f>
        <v>36.489444439218694</v>
      </c>
      <c r="H47" s="29">
        <f>2.6*INPUT!$C$4*('Summary of shell design'!C12-MIN(E47,F47,G47)/12)/INPUT!$C$9</f>
        <v>0.69886529164998523</v>
      </c>
    </row>
    <row r="48" spans="1:10">
      <c r="C48" s="29">
        <f>'VDP Method'!G3/tx!H37</f>
        <v>1.349242347852327</v>
      </c>
      <c r="D48" s="29">
        <f t="shared" ref="D48:D55" si="7">C48^0.5*(C48-1)/(1+C48^1.5)</f>
        <v>0.15801770619054215</v>
      </c>
      <c r="E48" s="29">
        <f>0.61*(INPUT!$C$18*H37)^0.5+3.84*tx!D48*'Summary of shell design'!C13</f>
        <v>30.269482486102479</v>
      </c>
      <c r="F48" s="29">
        <f>12*D48*'Summary of shell design'!C13</f>
        <v>45.509099382876144</v>
      </c>
      <c r="G48" s="29">
        <f>1.22*(INPUT!$C$18*H37)^0.5</f>
        <v>31.413141367164229</v>
      </c>
      <c r="H48" s="29">
        <f>2.6*INPUT!$C$4*('Summary of shell design'!C13-MIN(E48,F48,G48)/12)/INPUT!$C$9</f>
        <v>0.51794309196820065</v>
      </c>
    </row>
    <row r="49" spans="3:8">
      <c r="C49" s="29">
        <f>'VDP Method'!G4/tx!H38</f>
        <v>1.5457454482297028</v>
      </c>
      <c r="D49" s="29">
        <f t="shared" si="7"/>
        <v>0.2322252457062422</v>
      </c>
      <c r="E49" s="29">
        <f>0.61*(INPUT!$C$18*H38)^0.5+3.84*tx!D49*'Summary of shell design'!C14</f>
        <v>26.9007797700671</v>
      </c>
      <c r="F49" s="29">
        <f>12*D49*'Summary of shell design'!C14</f>
        <v>44.587247175598506</v>
      </c>
      <c r="G49" s="29">
        <f>1.22*(INPUT!$C$18*H38)^0.5</f>
        <v>25.26572134775116</v>
      </c>
      <c r="H49" s="29">
        <f>2.6*INPUT!$C$4*('Summary of shell design'!C14-MIN(E49,F49,G49)/12)/INPUT!$C$9</f>
        <v>0.33507428090108349</v>
      </c>
    </row>
    <row r="50" spans="3:8">
      <c r="C50" s="29">
        <f>'VDP Method'!G5/tx!H39</f>
        <v>2.1199987677763841</v>
      </c>
      <c r="D50" s="29">
        <f t="shared" si="7"/>
        <v>0.39903023181644198</v>
      </c>
      <c r="E50" s="29">
        <f>0.61*(INPUT!$C$18*H39)^0.5+3.84*tx!D50*'Summary of shell design'!C15</f>
        <v>20.934500544813698</v>
      </c>
      <c r="F50" s="29">
        <f>12*D50*'Summary of shell design'!C15</f>
        <v>38.306902254378429</v>
      </c>
      <c r="G50" s="29">
        <f>1.22*(INPUT!$C$18*H39)^0.5</f>
        <v>17.352583646825202</v>
      </c>
      <c r="H50" s="29">
        <f>2.6*INPUT!$C$4*('Summary of shell design'!C15-MIN(E50,F50,G50)/12)/INPUT!$C$9</f>
        <v>0.15805224152035954</v>
      </c>
    </row>
    <row r="51" spans="3:8">
      <c r="C51" s="29" t="e">
        <f>'VDP Method'!G6/tx!H40</f>
        <v>#VALUE!</v>
      </c>
      <c r="D51" s="29" t="e">
        <f t="shared" si="7"/>
        <v>#VALUE!</v>
      </c>
      <c r="E51" s="29" t="e">
        <f>0.61*(INPUT!$C$18*H40)^0.5+3.84*tx!D51*'Summary of shell design'!C16</f>
        <v>#VALUE!</v>
      </c>
      <c r="F51" s="29" t="e">
        <f>12*D51*'Summary of shell design'!C16</f>
        <v>#VALUE!</v>
      </c>
      <c r="G51" s="29" t="e">
        <f>1.22*(INPUT!$C$18*H40)^0.5</f>
        <v>#VALUE!</v>
      </c>
      <c r="H51" s="29" t="e">
        <f>2.6*INPUT!$C$4*('Summary of shell design'!C16-MIN(E51,F51,G51)/12)/INPUT!$C$9</f>
        <v>#VALUE!</v>
      </c>
    </row>
    <row r="52" spans="3:8">
      <c r="C52" s="29" t="e">
        <f>'VDP Method'!G7/tx!H41</f>
        <v>#VALUE!</v>
      </c>
      <c r="D52" s="29" t="e">
        <f t="shared" si="7"/>
        <v>#VALUE!</v>
      </c>
      <c r="E52" s="29" t="e">
        <f>0.61*(INPUT!$C$18*H41)^0.5+3.84*tx!D52*'Summary of shell design'!C17</f>
        <v>#VALUE!</v>
      </c>
      <c r="F52" s="29" t="e">
        <f>12*D52*'Summary of shell design'!C17</f>
        <v>#VALUE!</v>
      </c>
      <c r="G52" s="29" t="e">
        <f>1.22*(INPUT!$C$18*H41)^0.5</f>
        <v>#VALUE!</v>
      </c>
      <c r="H52" s="29" t="e">
        <f>2.6*INPUT!$C$4*('Summary of shell design'!C17-MIN(E52,F52,G52)/12)/INPUT!$C$9</f>
        <v>#VALUE!</v>
      </c>
    </row>
    <row r="53" spans="3:8">
      <c r="C53" s="29" t="e">
        <f>'VDP Method'!G8/tx!H42</f>
        <v>#VALUE!</v>
      </c>
      <c r="D53" s="29" t="e">
        <f t="shared" si="7"/>
        <v>#VALUE!</v>
      </c>
      <c r="E53" s="29" t="e">
        <f>0.61*(INPUT!$C$18*H42)^0.5+3.84*tx!D53*'Summary of shell design'!C18</f>
        <v>#VALUE!</v>
      </c>
      <c r="F53" s="29" t="e">
        <f>12*D53*'Summary of shell design'!C18</f>
        <v>#VALUE!</v>
      </c>
      <c r="G53" s="29" t="e">
        <f>1.22*(INPUT!$C$18*H42)^0.5</f>
        <v>#VALUE!</v>
      </c>
      <c r="H53" s="29" t="e">
        <f>2.6*INPUT!$C$4*('Summary of shell design'!C18-MIN(E53,F53,G53)/12)/INPUT!$C$9</f>
        <v>#VALUE!</v>
      </c>
    </row>
    <row r="54" spans="3:8">
      <c r="C54" s="29" t="e">
        <f>'VDP Method'!G9/tx!H43</f>
        <v>#VALUE!</v>
      </c>
      <c r="D54" s="29" t="e">
        <f t="shared" si="7"/>
        <v>#VALUE!</v>
      </c>
      <c r="E54" s="29" t="e">
        <f>0.61*(INPUT!$C$18*H43)^0.5+3.84*tx!D54*'Summary of shell design'!C19</f>
        <v>#VALUE!</v>
      </c>
      <c r="F54" s="29" t="e">
        <f>12*D54*'Summary of shell design'!C19</f>
        <v>#VALUE!</v>
      </c>
      <c r="G54" s="29" t="e">
        <f>1.22*(INPUT!$C$18*H43)^0.5</f>
        <v>#VALUE!</v>
      </c>
      <c r="H54" s="29" t="e">
        <f>2.6*INPUT!$C$4*('Summary of shell design'!C19-MIN(E54,F54,G54)/12)/INPUT!$C$9</f>
        <v>#VALUE!</v>
      </c>
    </row>
    <row r="55" spans="3:8">
      <c r="C55" s="29" t="e">
        <f>'VDP Method'!G10/tx!H44</f>
        <v>#VALUE!</v>
      </c>
      <c r="D55" s="29" t="e">
        <f t="shared" si="7"/>
        <v>#VALUE!</v>
      </c>
      <c r="E55" s="29" t="e">
        <f>0.61*(INPUT!$C$18*H44)^0.5+3.84*tx!D55*'Summary of shell design'!C20</f>
        <v>#VALUE!</v>
      </c>
      <c r="F55" s="29" t="e">
        <f>12*D55*'Summary of shell design'!C20</f>
        <v>#VALUE!</v>
      </c>
      <c r="G55" s="29" t="e">
        <f>1.22*(INPUT!$C$18*H44)^0.5</f>
        <v>#VALUE!</v>
      </c>
      <c r="H55" s="29" t="e">
        <f>2.6*INPUT!$C$4*('Summary of shell design'!C20-MIN(E55,F55,G55)/12)/INPUT!$C$9</f>
        <v>#VALUE!</v>
      </c>
    </row>
    <row r="56" spans="3:8" ht="18">
      <c r="C56" s="29" t="s">
        <v>113</v>
      </c>
      <c r="D56" s="29" t="s">
        <v>114</v>
      </c>
      <c r="E56" s="29" t="s">
        <v>91</v>
      </c>
      <c r="F56" s="29" t="s">
        <v>92</v>
      </c>
      <c r="G56" s="29" t="s">
        <v>93</v>
      </c>
      <c r="H56" s="29" t="s">
        <v>94</v>
      </c>
    </row>
    <row r="58" spans="3:8">
      <c r="C58" s="29">
        <f>'VDP Method'!G2/tx!H47</f>
        <v>1.3209502804210123</v>
      </c>
      <c r="D58" s="29">
        <f>C58^0.5*(C58-1)/(1+C58^1.5)</f>
        <v>0.1464840508865152</v>
      </c>
      <c r="E58" s="29">
        <f>0.61*(INPUT!$C$18*H47)^0.5+3.84*tx!D58*'Summary of shell design'!C12</f>
        <v>36.244300420636122</v>
      </c>
      <c r="F58" s="29">
        <f>12*D58*'Summary of shell design'!C12</f>
        <v>56.24987554042184</v>
      </c>
      <c r="G58" s="29">
        <f>1.22*(INPUT!$C$18*H47)^0.5</f>
        <v>36.488680495402278</v>
      </c>
      <c r="H58" s="29">
        <f>2.6*INPUT!$C$4*('Summary of shell design'!C12-MIN(E58,F58,G58)/12)/INPUT!$C$9</f>
        <v>0.69886043774380735</v>
      </c>
    </row>
    <row r="59" spans="3:8">
      <c r="C59" s="29">
        <f>'VDP Method'!G3/tx!H48</f>
        <v>1.3492977961321051</v>
      </c>
      <c r="D59" s="29">
        <f t="shared" ref="D59:D66" si="8">C59^0.5*(C59-1)/(1+C59^1.5)</f>
        <v>0.15804009422305879</v>
      </c>
      <c r="E59" s="29">
        <f>0.61*(INPUT!$C$18*H48)^0.5+3.84*tx!D59*'Summary of shell design'!C13</f>
        <v>30.271223039581365</v>
      </c>
      <c r="F59" s="29">
        <f>12*D59*'Summary of shell design'!C13</f>
        <v>45.515547136240933</v>
      </c>
      <c r="G59" s="29">
        <f>1.22*(INPUT!$C$18*H48)^0.5</f>
        <v>31.412495911968531</v>
      </c>
      <c r="H59" s="29">
        <f>2.6*INPUT!$C$4*('Summary of shell design'!C13-MIN(E59,F59,G59)/12)/INPUT!$C$9</f>
        <v>0.51793959409895618</v>
      </c>
    </row>
    <row r="60" spans="3:8">
      <c r="C60" s="29">
        <f>'VDP Method'!G4/tx!H49</f>
        <v>1.5457435432963018</v>
      </c>
      <c r="D60" s="29">
        <f t="shared" si="8"/>
        <v>0.23222457438364064</v>
      </c>
      <c r="E60" s="29">
        <f>0.61*(INPUT!$C$18*H49)^0.5+3.84*tx!D60*'Summary of shell design'!C14</f>
        <v>26.900746308205505</v>
      </c>
      <c r="F60" s="29">
        <f>12*D60*'Summary of shell design'!C14</f>
        <v>44.587118281659002</v>
      </c>
      <c r="G60" s="29">
        <f>1.22*(INPUT!$C$18*H49)^0.5</f>
        <v>25.265736916149251</v>
      </c>
      <c r="H60" s="29">
        <f>2.6*INPUT!$C$4*('Summary of shell design'!C14-MIN(E60,F60,G60)/12)/INPUT!$C$9</f>
        <v>0.33507424961435689</v>
      </c>
    </row>
    <row r="61" spans="3:8">
      <c r="C61" s="29">
        <f>'VDP Method'!G5/tx!H50</f>
        <v>2.1200221432780211</v>
      </c>
      <c r="D61" s="29">
        <f t="shared" si="8"/>
        <v>0.39903577504378229</v>
      </c>
      <c r="E61" s="29">
        <f>0.61*(INPUT!$C$18*H50)^0.5+3.84*tx!D61*'Summary of shell design'!C15</f>
        <v>20.934622999947585</v>
      </c>
      <c r="F61" s="29">
        <f>12*D61*'Summary of shell design'!C15</f>
        <v>38.3074344042031</v>
      </c>
      <c r="G61" s="29">
        <f>1.22*(INPUT!$C$18*H50)^0.5</f>
        <v>17.352487981205186</v>
      </c>
      <c r="H61" s="29">
        <f>2.6*INPUT!$C$4*('Summary of shell design'!C15-MIN(E61,F61,G61)/12)/INPUT!$C$9</f>
        <v>0.15805243377290107</v>
      </c>
    </row>
    <row r="62" spans="3:8">
      <c r="C62" s="29" t="e">
        <f>'VDP Method'!G6/tx!H51</f>
        <v>#VALUE!</v>
      </c>
      <c r="D62" s="29" t="e">
        <f t="shared" si="8"/>
        <v>#VALUE!</v>
      </c>
      <c r="E62" s="29" t="e">
        <f>0.61*(INPUT!$C$18*H51)^0.5+3.84*tx!D62*'Summary of shell design'!C16</f>
        <v>#VALUE!</v>
      </c>
      <c r="F62" s="29" t="e">
        <f>12*D62*'Summary of shell design'!C16</f>
        <v>#VALUE!</v>
      </c>
      <c r="G62" s="29" t="e">
        <f>1.22*(INPUT!$C$18*H51)^0.5</f>
        <v>#VALUE!</v>
      </c>
      <c r="H62" s="29" t="e">
        <f>2.6*INPUT!$C$4*('Summary of shell design'!C16-MIN(E62,F62,G62)/12)/INPUT!$C$9</f>
        <v>#VALUE!</v>
      </c>
    </row>
    <row r="63" spans="3:8">
      <c r="C63" s="29" t="e">
        <f>'VDP Method'!G7/tx!H52</f>
        <v>#VALUE!</v>
      </c>
      <c r="D63" s="29" t="e">
        <f t="shared" si="8"/>
        <v>#VALUE!</v>
      </c>
      <c r="E63" s="29" t="e">
        <f>0.61*(INPUT!$C$18*H52)^0.5+3.84*tx!D63*'Summary of shell design'!C17</f>
        <v>#VALUE!</v>
      </c>
      <c r="F63" s="29" t="e">
        <f>12*D63*'Summary of shell design'!C17</f>
        <v>#VALUE!</v>
      </c>
      <c r="G63" s="29" t="e">
        <f>1.22*(INPUT!$C$18*H52)^0.5</f>
        <v>#VALUE!</v>
      </c>
      <c r="H63" s="29" t="e">
        <f>2.6*INPUT!$C$4*('Summary of shell design'!C17-MIN(E63,F63,G63)/12)/INPUT!$C$9</f>
        <v>#VALUE!</v>
      </c>
    </row>
    <row r="64" spans="3:8">
      <c r="C64" s="29" t="e">
        <f>'VDP Method'!G8/tx!H53</f>
        <v>#VALUE!</v>
      </c>
      <c r="D64" s="29" t="e">
        <f t="shared" si="8"/>
        <v>#VALUE!</v>
      </c>
      <c r="E64" s="29" t="e">
        <f>0.61*(INPUT!$C$18*H53)^0.5+3.84*tx!D64*'Summary of shell design'!C18</f>
        <v>#VALUE!</v>
      </c>
      <c r="F64" s="29" t="e">
        <f>12*D64*'Summary of shell design'!C18</f>
        <v>#VALUE!</v>
      </c>
      <c r="G64" s="29" t="e">
        <f>1.22*(INPUT!$C$18*H53)^0.5</f>
        <v>#VALUE!</v>
      </c>
      <c r="H64" s="29" t="e">
        <f>2.6*INPUT!$C$4*('Summary of shell design'!C18-MIN(E64,F64,G64)/12)/INPUT!$C$9</f>
        <v>#VALUE!</v>
      </c>
    </row>
    <row r="65" spans="3:8">
      <c r="C65" s="29" t="e">
        <f>'VDP Method'!G9/tx!H54</f>
        <v>#VALUE!</v>
      </c>
      <c r="D65" s="29" t="e">
        <f t="shared" si="8"/>
        <v>#VALUE!</v>
      </c>
      <c r="E65" s="29" t="e">
        <f>0.61*(INPUT!$C$18*H54)^0.5+3.84*tx!D65*'Summary of shell design'!C19</f>
        <v>#VALUE!</v>
      </c>
      <c r="F65" s="29" t="e">
        <f>12*D65*'Summary of shell design'!C19</f>
        <v>#VALUE!</v>
      </c>
      <c r="G65" s="29" t="e">
        <f>1.22*(INPUT!$C$18*H54)^0.5</f>
        <v>#VALUE!</v>
      </c>
      <c r="H65" s="29" t="e">
        <f>2.6*INPUT!$C$4*('Summary of shell design'!C19-MIN(E65,F65,G65)/12)/INPUT!$C$9</f>
        <v>#VALUE!</v>
      </c>
    </row>
    <row r="66" spans="3:8">
      <c r="C66" s="29" t="e">
        <f>'VDP Method'!G10/tx!H55</f>
        <v>#VALUE!</v>
      </c>
      <c r="D66" s="29" t="e">
        <f t="shared" si="8"/>
        <v>#VALUE!</v>
      </c>
      <c r="E66" s="29" t="e">
        <f>0.61*(INPUT!$C$18*H55)^0.5+3.84*tx!D66*'Summary of shell design'!C20</f>
        <v>#VALUE!</v>
      </c>
      <c r="F66" s="29" t="e">
        <f>12*D66*'Summary of shell design'!C20</f>
        <v>#VALUE!</v>
      </c>
      <c r="G66" s="29" t="e">
        <f>1.22*(INPUT!$C$18*H55)^0.5</f>
        <v>#VALUE!</v>
      </c>
      <c r="H66" s="29" t="e">
        <f>2.6*INPUT!$C$4*('Summary of shell design'!C20-MIN(E66,F66,G66)/12)/INPUT!$C$9</f>
        <v>#VALUE!</v>
      </c>
    </row>
    <row r="67" spans="3:8" ht="18">
      <c r="C67" s="29" t="s">
        <v>115</v>
      </c>
      <c r="D67" s="29" t="s">
        <v>116</v>
      </c>
      <c r="E67" s="29" t="s">
        <v>117</v>
      </c>
      <c r="F67" s="29" t="s">
        <v>92</v>
      </c>
      <c r="G67" s="29" t="s">
        <v>93</v>
      </c>
      <c r="H67" s="29" t="s">
        <v>94</v>
      </c>
    </row>
    <row r="69" spans="3:8">
      <c r="C69" s="29">
        <f>'VDP Method'!G2/tx!H58</f>
        <v>1.320959455026385</v>
      </c>
      <c r="D69" s="29">
        <f>C69^0.5*(C69-1)/(1+C69^1.5)</f>
        <v>0.14648782685967948</v>
      </c>
      <c r="E69" s="29">
        <f>0.61*(INPUT!$C$18*H58)^0.5+3.84*tx!D69*'Summary of shell design'!C12</f>
        <v>36.244701054894435</v>
      </c>
      <c r="F69" s="29">
        <f>12*D69*'Summary of shell design'!C12</f>
        <v>56.251325514116921</v>
      </c>
      <c r="G69" s="29">
        <f>1.22*(INPUT!$C$18*H58)^0.5</f>
        <v>36.488553780754032</v>
      </c>
      <c r="H69" s="29">
        <f>2.6*INPUT!$C$4*('Summary of shell design'!C12-MIN(E69,F69,G69)/12)/INPUT!$C$9</f>
        <v>0.69885963261700856</v>
      </c>
    </row>
    <row r="70" spans="3:8">
      <c r="C70" s="29">
        <f>'VDP Method'!G3/tx!H59</f>
        <v>1.3493069085214966</v>
      </c>
      <c r="D70" s="29">
        <f t="shared" ref="D70:D77" si="9">C70^0.5*(C70-1)/(1+C70^1.5)</f>
        <v>0.1580437733993853</v>
      </c>
      <c r="E70" s="29">
        <f>0.61*(INPUT!$C$18*H59)^0.5+3.84*tx!D70*'Summary of shell design'!C13</f>
        <v>30.271509077210329</v>
      </c>
      <c r="F70" s="29">
        <f>12*D70*'Summary of shell design'!C13</f>
        <v>45.516606739022968</v>
      </c>
      <c r="G70" s="29">
        <f>1.22*(INPUT!$C$18*H59)^0.5</f>
        <v>31.412389841445961</v>
      </c>
      <c r="H70" s="29">
        <f>2.6*INPUT!$C$4*('Summary of shell design'!C13-MIN(E70,F70,G70)/12)/INPUT!$C$9</f>
        <v>0.51793901926903141</v>
      </c>
    </row>
    <row r="71" spans="3:8">
      <c r="C71" s="29">
        <f>'VDP Method'!G4/tx!H60</f>
        <v>1.5457436876262696</v>
      </c>
      <c r="D71" s="29">
        <f t="shared" si="9"/>
        <v>0.23222462524737641</v>
      </c>
      <c r="E71" s="29">
        <f>0.61*(INPUT!$C$18*H60)^0.5+3.84*tx!D71*'Summary of shell design'!C14</f>
        <v>26.900748843492103</v>
      </c>
      <c r="F71" s="29">
        <f>12*D71*'Summary of shell design'!C14</f>
        <v>44.587128047496272</v>
      </c>
      <c r="G71" s="29">
        <f>1.22*(INPUT!$C$18*H60)^0.5</f>
        <v>25.265735736586588</v>
      </c>
      <c r="H71" s="29">
        <f>2.6*INPUT!$C$4*('Summary of shell design'!C14-MIN(E71,F71,G71)/12)/INPUT!$C$9</f>
        <v>0.33507425198484192</v>
      </c>
    </row>
    <row r="72" spans="3:8">
      <c r="C72" s="29">
        <f>'VDP Method'!G5/tx!H61</f>
        <v>2.1200195645158004</v>
      </c>
      <c r="D72" s="29">
        <f t="shared" si="9"/>
        <v>0.39903516352465873</v>
      </c>
      <c r="E72" s="29">
        <f>0.61*(INPUT!$C$18*H61)^0.5+3.84*tx!D72*'Summary of shell design'!C15</f>
        <v>20.934609490909576</v>
      </c>
      <c r="F72" s="29">
        <f>12*D72*'Summary of shell design'!C15</f>
        <v>38.307375698367238</v>
      </c>
      <c r="G72" s="29">
        <f>1.22*(INPUT!$C$18*H61)^0.5</f>
        <v>17.352498534864122</v>
      </c>
      <c r="H72" s="29">
        <f>2.6*INPUT!$C$4*('Summary of shell design'!C15-MIN(E72,F72,G72)/12)/INPUT!$C$9</f>
        <v>0.15805241256394689</v>
      </c>
    </row>
    <row r="73" spans="3:8">
      <c r="C73" s="29" t="e">
        <f>'VDP Method'!G6/tx!H62</f>
        <v>#VALUE!</v>
      </c>
      <c r="D73" s="29" t="e">
        <f t="shared" si="9"/>
        <v>#VALUE!</v>
      </c>
      <c r="E73" s="29" t="e">
        <f>0.61*(INPUT!$C$18*H62)^0.5+3.84*tx!D73*'Summary of shell design'!C16</f>
        <v>#VALUE!</v>
      </c>
      <c r="F73" s="29" t="e">
        <f>12*D73*'Summary of shell design'!C16</f>
        <v>#VALUE!</v>
      </c>
      <c r="G73" s="29" t="e">
        <f>1.22*(INPUT!$C$18*H62)^0.5</f>
        <v>#VALUE!</v>
      </c>
      <c r="H73" s="29" t="e">
        <f>2.6*INPUT!$C$4*('Summary of shell design'!C16-MIN(E73,F73,G73)/12)/INPUT!$C$9</f>
        <v>#VALUE!</v>
      </c>
    </row>
    <row r="74" spans="3:8">
      <c r="C74" s="29" t="e">
        <f>'VDP Method'!G7/tx!H63</f>
        <v>#VALUE!</v>
      </c>
      <c r="D74" s="29" t="e">
        <f t="shared" si="9"/>
        <v>#VALUE!</v>
      </c>
      <c r="E74" s="29" t="e">
        <f>0.61*(INPUT!$C$18*H63)^0.5+3.84*tx!D74*'Summary of shell design'!C17</f>
        <v>#VALUE!</v>
      </c>
      <c r="F74" s="29" t="e">
        <f>12*D74*'Summary of shell design'!C17</f>
        <v>#VALUE!</v>
      </c>
      <c r="G74" s="29" t="e">
        <f>1.22*(INPUT!$C$18*H63)^0.5</f>
        <v>#VALUE!</v>
      </c>
      <c r="H74" s="29" t="e">
        <f>2.6*INPUT!$C$4*('Summary of shell design'!C17-MIN(E74,F74,G74)/12)/INPUT!$C$9</f>
        <v>#VALUE!</v>
      </c>
    </row>
    <row r="75" spans="3:8">
      <c r="C75" s="29" t="e">
        <f>'VDP Method'!G8/tx!H64</f>
        <v>#VALUE!</v>
      </c>
      <c r="D75" s="29" t="e">
        <f t="shared" si="9"/>
        <v>#VALUE!</v>
      </c>
      <c r="E75" s="29" t="e">
        <f>0.61*(INPUT!$C$18*H64)^0.5+3.84*tx!D75*'Summary of shell design'!C18</f>
        <v>#VALUE!</v>
      </c>
      <c r="F75" s="29" t="e">
        <f>12*D75*'Summary of shell design'!C18</f>
        <v>#VALUE!</v>
      </c>
      <c r="G75" s="29" t="e">
        <f>1.22*(INPUT!$C$18*H64)^0.5</f>
        <v>#VALUE!</v>
      </c>
      <c r="H75" s="29" t="e">
        <f>2.6*INPUT!$C$4*('Summary of shell design'!C18-MIN(E75,F75,G75)/12)/INPUT!$C$9</f>
        <v>#VALUE!</v>
      </c>
    </row>
    <row r="76" spans="3:8">
      <c r="C76" s="29" t="e">
        <f>'VDP Method'!G9/tx!H65</f>
        <v>#VALUE!</v>
      </c>
      <c r="D76" s="29" t="e">
        <f>C76^0.5*(C76-1)/(1+C76^1.5)</f>
        <v>#VALUE!</v>
      </c>
      <c r="E76" s="29" t="e">
        <f>0.61*(INPUT!$C$18*H65)^0.5+3.84*tx!D76*'Summary of shell design'!C19</f>
        <v>#VALUE!</v>
      </c>
      <c r="F76" s="29" t="e">
        <f>12*D76*'Summary of shell design'!C19</f>
        <v>#VALUE!</v>
      </c>
      <c r="G76" s="29" t="e">
        <f>1.22*(INPUT!$C$18*H65)^0.5</f>
        <v>#VALUE!</v>
      </c>
      <c r="H76" s="29" t="e">
        <f>2.6*INPUT!$C$4*('Summary of shell design'!C19-MIN(E76,F76,G76)/12)/INPUT!$C$9</f>
        <v>#VALUE!</v>
      </c>
    </row>
    <row r="77" spans="3:8">
      <c r="C77" s="29" t="e">
        <f>'VDP Method'!G10/tx!H66</f>
        <v>#VALUE!</v>
      </c>
      <c r="D77" s="29" t="e">
        <f t="shared" si="9"/>
        <v>#VALUE!</v>
      </c>
      <c r="E77" s="29" t="e">
        <f>0.61*(INPUT!$C$18*H66)^0.5+3.84*tx!D77*'Summary of shell design'!C20</f>
        <v>#VALUE!</v>
      </c>
      <c r="F77" s="29" t="e">
        <f>12*D77*'Summary of shell design'!C20</f>
        <v>#VALUE!</v>
      </c>
      <c r="G77" s="29" t="e">
        <f>1.22*(INPUT!$C$18*H66)^0.5</f>
        <v>#VALUE!</v>
      </c>
      <c r="H77" s="29" t="e">
        <f>2.6*INPUT!$C$4*('Summary of shell design'!C20-MIN(E77,F77,G77)/12)/INPUT!$C$9</f>
        <v>#VALUE!</v>
      </c>
    </row>
    <row r="78" spans="3:8" ht="18">
      <c r="C78" s="29" t="s">
        <v>118</v>
      </c>
      <c r="D78" s="29" t="s">
        <v>119</v>
      </c>
      <c r="E78" s="29" t="s">
        <v>117</v>
      </c>
      <c r="F78" s="29" t="s">
        <v>92</v>
      </c>
      <c r="G78" s="29" t="s">
        <v>93</v>
      </c>
      <c r="H78" s="29" t="s">
        <v>94</v>
      </c>
    </row>
    <row r="80" spans="3:8">
      <c r="C80" s="29">
        <f>'VDP Method'!G2/tx!H69</f>
        <v>1.3209609768482324</v>
      </c>
      <c r="D80" s="29">
        <f>C80^0.5*(C80-1)/(1+C80^1.5)</f>
        <v>0.14648845319046341</v>
      </c>
      <c r="E80" s="29">
        <f>0.61*(INPUT!$C$18*H69)^0.5+3.84*tx!D80*'Summary of shell design'!C12</f>
        <v>36.244767509198084</v>
      </c>
      <c r="F80" s="29">
        <f>12*D80*'Summary of shell design'!C12</f>
        <v>56.251566025137947</v>
      </c>
      <c r="G80" s="29">
        <f>1.22*(INPUT!$C$18*H69)^0.5</f>
        <v>36.488532762307877</v>
      </c>
      <c r="H80" s="29">
        <f>2.6*INPUT!$C$4*('Summary of shell design'!C12-MIN(E80,F80,G80)/12)/INPUT!$C$9</f>
        <v>0.69885949906841749</v>
      </c>
    </row>
    <row r="81" spans="3:8">
      <c r="C81" s="29">
        <f>'VDP Method'!G3/tx!H70</f>
        <v>1.349308406037536</v>
      </c>
      <c r="D81" s="29">
        <f t="shared" ref="D81:D88" si="10">C81^0.5*(C81-1)/(1+C81^1.5)</f>
        <v>0.15804437802737883</v>
      </c>
      <c r="E81" s="29">
        <f>0.61*(INPUT!$C$18*H70)^0.5+3.84*tx!D81*'Summary of shell design'!C13</f>
        <v>30.271556084044448</v>
      </c>
      <c r="F81" s="29">
        <f>12*D81*'Summary of shell design'!C13</f>
        <v>45.516780871885103</v>
      </c>
      <c r="G81" s="29">
        <f>1.22*(INPUT!$C$18*H70)^0.5</f>
        <v>31.412372410082437</v>
      </c>
      <c r="H81" s="29">
        <f>2.6*INPUT!$C$4*('Summary of shell design'!C13-MIN(E81,F81,G81)/12)/INPUT!$C$9</f>
        <v>0.51793892480266701</v>
      </c>
    </row>
    <row r="82" spans="3:8">
      <c r="C82" s="29">
        <f>'VDP Method'!G4/tx!H71</f>
        <v>1.5457436766908956</v>
      </c>
      <c r="D82" s="29">
        <f t="shared" si="10"/>
        <v>0.23222462139361025</v>
      </c>
      <c r="E82" s="29">
        <f>0.61*(INPUT!$C$18*H71)^0.5+3.84*tx!D82*'Summary of shell design'!C14</f>
        <v>26.900748651402363</v>
      </c>
      <c r="F82" s="29">
        <f>12*D82*'Summary of shell design'!C14</f>
        <v>44.587127307573169</v>
      </c>
      <c r="G82" s="29">
        <f>1.22*(INPUT!$C$18*H71)^0.5</f>
        <v>25.265735825957901</v>
      </c>
      <c r="H82" s="29">
        <f>2.6*INPUT!$C$4*('Summary of shell design'!C14-MIN(E82,F82,G82)/12)/INPUT!$C$9</f>
        <v>0.33507425180523859</v>
      </c>
    </row>
    <row r="83" spans="3:8">
      <c r="C83" s="29">
        <f>'VDP Method'!G5/tx!H72</f>
        <v>2.1200198489998967</v>
      </c>
      <c r="D83" s="29">
        <f t="shared" si="10"/>
        <v>0.39903523098632565</v>
      </c>
      <c r="E83" s="29">
        <f>0.61*(INPUT!$C$18*H72)^0.5+3.84*tx!D83*'Summary of shell design'!C15</f>
        <v>20.934610981201818</v>
      </c>
      <c r="F83" s="29">
        <f>12*D83*'Summary of shell design'!C15</f>
        <v>38.307382174687262</v>
      </c>
      <c r="G83" s="29">
        <f>1.22*(INPUT!$C$18*H72)^0.5</f>
        <v>17.352497370603789</v>
      </c>
      <c r="H83" s="29">
        <f>2.6*INPUT!$C$4*('Summary of shell design'!C15-MIN(E83,F83,G83)/12)/INPUT!$C$9</f>
        <v>0.15805241490367986</v>
      </c>
    </row>
    <row r="84" spans="3:8">
      <c r="C84" s="29" t="e">
        <f>'VDP Method'!G6/tx!H73</f>
        <v>#VALUE!</v>
      </c>
      <c r="D84" s="29" t="e">
        <f t="shared" si="10"/>
        <v>#VALUE!</v>
      </c>
      <c r="E84" s="29" t="e">
        <f>0.61*(INPUT!$C$18*H73)^0.5+3.84*tx!D84*'Summary of shell design'!C16</f>
        <v>#VALUE!</v>
      </c>
      <c r="F84" s="29" t="e">
        <f>12*D84*'Summary of shell design'!C16</f>
        <v>#VALUE!</v>
      </c>
      <c r="G84" s="29" t="e">
        <f>1.22*(INPUT!$C$18*H73)^0.5</f>
        <v>#VALUE!</v>
      </c>
      <c r="H84" s="29" t="e">
        <f>2.6*INPUT!$C$4*('Summary of shell design'!C16-MIN(E84,F84,G84)/12)/INPUT!$C$9</f>
        <v>#VALUE!</v>
      </c>
    </row>
    <row r="85" spans="3:8">
      <c r="C85" s="29" t="e">
        <f>'VDP Method'!G7/tx!H74</f>
        <v>#VALUE!</v>
      </c>
      <c r="D85" s="29" t="e">
        <f t="shared" si="10"/>
        <v>#VALUE!</v>
      </c>
      <c r="E85" s="29" t="e">
        <f>0.61*(INPUT!$C$18*H74)^0.5+3.84*tx!D85*'Summary of shell design'!C17</f>
        <v>#VALUE!</v>
      </c>
      <c r="F85" s="29" t="e">
        <f>12*D85*'Summary of shell design'!C17</f>
        <v>#VALUE!</v>
      </c>
      <c r="G85" s="29" t="e">
        <f>1.22*(INPUT!$C$18*H74)^0.5</f>
        <v>#VALUE!</v>
      </c>
      <c r="H85" s="29" t="e">
        <f>2.6*INPUT!$C$4*('Summary of shell design'!C17-MIN(E85,F85,G85)/12)/INPUT!$C$9</f>
        <v>#VALUE!</v>
      </c>
    </row>
    <row r="86" spans="3:8">
      <c r="C86" s="29" t="e">
        <f>'VDP Method'!G8/tx!H75</f>
        <v>#VALUE!</v>
      </c>
      <c r="D86" s="29" t="e">
        <f t="shared" si="10"/>
        <v>#VALUE!</v>
      </c>
      <c r="E86" s="29" t="e">
        <f>0.61*(INPUT!$C$18*H75)^0.5+3.84*tx!D86*'Summary of shell design'!C18</f>
        <v>#VALUE!</v>
      </c>
      <c r="F86" s="29" t="e">
        <f>12*D86*'Summary of shell design'!C18</f>
        <v>#VALUE!</v>
      </c>
      <c r="G86" s="29" t="e">
        <f>1.22*(INPUT!$C$18*H75)^0.5</f>
        <v>#VALUE!</v>
      </c>
      <c r="H86" s="29" t="e">
        <f>2.6*INPUT!$C$4*('Summary of shell design'!C18-MIN(E86,F86,G86)/12)/INPUT!$C$9</f>
        <v>#VALUE!</v>
      </c>
    </row>
    <row r="87" spans="3:8">
      <c r="C87" s="29" t="e">
        <f>'VDP Method'!G9/tx!H76</f>
        <v>#VALUE!</v>
      </c>
      <c r="D87" s="29" t="e">
        <f t="shared" si="10"/>
        <v>#VALUE!</v>
      </c>
      <c r="E87" s="29" t="e">
        <f>0.61*(INPUT!$C$18*H76)^0.5+3.84*tx!D87*'Summary of shell design'!C19</f>
        <v>#VALUE!</v>
      </c>
      <c r="F87" s="29" t="e">
        <f>12*D87*'Summary of shell design'!C19</f>
        <v>#VALUE!</v>
      </c>
      <c r="G87" s="29" t="e">
        <f>1.22*(INPUT!$C$18*H76)^0.5</f>
        <v>#VALUE!</v>
      </c>
      <c r="H87" s="29" t="e">
        <f>2.6*INPUT!$C$4*('Summary of shell design'!C19-MIN(E87,F87,G87)/12)/INPUT!$C$9</f>
        <v>#VALUE!</v>
      </c>
    </row>
    <row r="88" spans="3:8">
      <c r="C88" s="29" t="e">
        <f>'VDP Method'!G10/tx!H77</f>
        <v>#VALUE!</v>
      </c>
      <c r="D88" s="29" t="e">
        <f t="shared" si="10"/>
        <v>#VALUE!</v>
      </c>
      <c r="E88" s="29" t="e">
        <f>0.61*(INPUT!$C$18*H77)^0.5+3.84*tx!D88*'Summary of shell design'!C20</f>
        <v>#VALUE!</v>
      </c>
      <c r="F88" s="29" t="e">
        <f>12*D88*'Summary of shell design'!C20</f>
        <v>#VALUE!</v>
      </c>
      <c r="G88" s="29" t="e">
        <f>1.22*(INPUT!$C$18*H77)^0.5</f>
        <v>#VALUE!</v>
      </c>
      <c r="H88" s="29" t="e">
        <f>2.6*INPUT!$C$4*('Summary of shell design'!C20-MIN(E88,F88,G88)/12)/INPUT!$C$9</f>
        <v>#VALUE!</v>
      </c>
    </row>
    <row r="89" spans="3:8" ht="18">
      <c r="C89" s="29" t="s">
        <v>120</v>
      </c>
      <c r="D89" s="29" t="s">
        <v>121</v>
      </c>
      <c r="E89" s="29" t="s">
        <v>117</v>
      </c>
      <c r="F89" s="29" t="s">
        <v>92</v>
      </c>
      <c r="G89" s="29" t="s">
        <v>93</v>
      </c>
      <c r="H89" s="29" t="s">
        <v>94</v>
      </c>
    </row>
    <row r="91" spans="3:8">
      <c r="C91" s="29">
        <f>'VDP Method'!G2/tx!H80</f>
        <v>1.3209612292773367</v>
      </c>
      <c r="D91" s="29">
        <f>C91^0.5*(C91-1)/(1+C91^1.5)</f>
        <v>0.14648855708174655</v>
      </c>
      <c r="E91" s="29">
        <f>0.61*(INPUT!$C$18*H80)^0.5+3.84*tx!D91*'Summary of shell design'!C12</f>
        <v>36.244778532164702</v>
      </c>
      <c r="F91" s="29">
        <f>12*D91*'Summary of shell design'!C12</f>
        <v>56.25160591939067</v>
      </c>
      <c r="G91" s="29">
        <f>1.22*(INPUT!$C$18*H80)^0.5</f>
        <v>36.488529275919376</v>
      </c>
      <c r="H91" s="29">
        <f>2.6*INPUT!$C$4*('Summary of shell design'!C12-MIN(E91,F91,G91)/12)/INPUT!$C$9</f>
        <v>0.69885947691632833</v>
      </c>
    </row>
    <row r="92" spans="3:8">
      <c r="C92" s="29">
        <f>'VDP Method'!G3/tx!H81</f>
        <v>1.3493086521365516</v>
      </c>
      <c r="D92" s="29">
        <f t="shared" ref="D92:D99" si="11">C92^0.5*(C92-1)/(1+C92^1.5)</f>
        <v>0.15804447739076591</v>
      </c>
      <c r="E92" s="29">
        <f>0.61*(INPUT!$C$18*H81)^0.5+3.84*tx!D92*'Summary of shell design'!C13</f>
        <v>30.271563809056573</v>
      </c>
      <c r="F92" s="29">
        <f>12*D92*'Summary of shell design'!C13</f>
        <v>45.516809488540588</v>
      </c>
      <c r="G92" s="29">
        <f>1.22*(INPUT!$C$18*H81)^0.5</f>
        <v>31.412369545447177</v>
      </c>
      <c r="H92" s="29">
        <f>2.6*INPUT!$C$4*('Summary of shell design'!C13-MIN(E92,F92,G92)/12)/INPUT!$C$9</f>
        <v>0.51793890927824748</v>
      </c>
    </row>
    <row r="93" spans="3:8">
      <c r="C93" s="29">
        <f>'VDP Method'!G4/tx!H82</f>
        <v>1.5457436775194304</v>
      </c>
      <c r="D93" s="29">
        <f t="shared" si="11"/>
        <v>0.23222462168559657</v>
      </c>
      <c r="E93" s="29">
        <f>0.61*(INPUT!$C$18*H82)^0.5+3.84*tx!D93*'Summary of shell design'!C14</f>
        <v>26.900748665956328</v>
      </c>
      <c r="F93" s="29">
        <f>12*D93*'Summary of shell design'!C14</f>
        <v>44.587127363634544</v>
      </c>
      <c r="G93" s="29">
        <f>1.22*(INPUT!$C$18*H82)^0.5</f>
        <v>25.265735819186549</v>
      </c>
      <c r="H93" s="29">
        <f>2.6*INPUT!$C$4*('Summary of shell design'!C14-MIN(E93,F93,G93)/12)/INPUT!$C$9</f>
        <v>0.33507425181884648</v>
      </c>
    </row>
    <row r="94" spans="3:8">
      <c r="C94" s="29">
        <f>'VDP Method'!G5/tx!H83</f>
        <v>2.1200198176161287</v>
      </c>
      <c r="D94" s="29">
        <f t="shared" si="11"/>
        <v>0.39903522354407794</v>
      </c>
      <c r="E94" s="29">
        <f>0.61*(INPUT!$C$18*H83)^0.5+3.84*tx!D94*'Summary of shell design'!C15</f>
        <v>20.934610816795505</v>
      </c>
      <c r="F94" s="29">
        <f>12*D94*'Summary of shell design'!C15</f>
        <v>38.307381460231483</v>
      </c>
      <c r="G94" s="29">
        <f>1.22*(INPUT!$C$18*H83)^0.5</f>
        <v>17.352497499042858</v>
      </c>
      <c r="H94" s="29">
        <f>2.6*INPUT!$C$4*('Summary of shell design'!C15-MIN(E94,F94,G94)/12)/INPUT!$C$9</f>
        <v>0.15805241464556483</v>
      </c>
    </row>
    <row r="95" spans="3:8">
      <c r="C95" s="29" t="e">
        <f>'VDP Method'!G6/tx!H84</f>
        <v>#VALUE!</v>
      </c>
      <c r="D95" s="29" t="e">
        <f t="shared" si="11"/>
        <v>#VALUE!</v>
      </c>
      <c r="E95" s="29" t="e">
        <f>0.61*(INPUT!$C$18*H84)^0.5+3.84*tx!D95*'Summary of shell design'!C16</f>
        <v>#VALUE!</v>
      </c>
      <c r="F95" s="29" t="e">
        <f>12*D95*'Summary of shell design'!C16</f>
        <v>#VALUE!</v>
      </c>
      <c r="G95" s="29" t="e">
        <f>1.22*(INPUT!$C$18*H84)^0.5</f>
        <v>#VALUE!</v>
      </c>
      <c r="H95" s="29" t="e">
        <f>2.6*INPUT!$C$4*('Summary of shell design'!C16-MIN(E95,F95,G95)/12)/INPUT!$C$9</f>
        <v>#VALUE!</v>
      </c>
    </row>
    <row r="96" spans="3:8">
      <c r="C96" s="29" t="e">
        <f>'VDP Method'!G7/tx!H85</f>
        <v>#VALUE!</v>
      </c>
      <c r="D96" s="29" t="e">
        <f t="shared" si="11"/>
        <v>#VALUE!</v>
      </c>
      <c r="E96" s="29" t="e">
        <f>0.61*(INPUT!$C$18*H85)^0.5+3.84*tx!D96*'Summary of shell design'!C17</f>
        <v>#VALUE!</v>
      </c>
      <c r="F96" s="29" t="e">
        <f>12*D96*'Summary of shell design'!C17</f>
        <v>#VALUE!</v>
      </c>
      <c r="G96" s="29" t="e">
        <f>1.22*(INPUT!$C$18*H85)^0.5</f>
        <v>#VALUE!</v>
      </c>
      <c r="H96" s="29" t="e">
        <f>2.6*INPUT!$C$4*('Summary of shell design'!C17-MIN(E96,F96,G96)/12)/INPUT!$C$9</f>
        <v>#VALUE!</v>
      </c>
    </row>
    <row r="97" spans="3:8">
      <c r="C97" s="29" t="e">
        <f>'VDP Method'!G8/tx!H86</f>
        <v>#VALUE!</v>
      </c>
      <c r="D97" s="29" t="e">
        <f t="shared" si="11"/>
        <v>#VALUE!</v>
      </c>
      <c r="E97" s="29" t="e">
        <f>0.61*(INPUT!$C$18*H86)^0.5+3.84*tx!D97*'Summary of shell design'!C18</f>
        <v>#VALUE!</v>
      </c>
      <c r="F97" s="29" t="e">
        <f>12*D97*'Summary of shell design'!C18</f>
        <v>#VALUE!</v>
      </c>
      <c r="G97" s="29" t="e">
        <f>1.22*(INPUT!$C$18*H86)^0.5</f>
        <v>#VALUE!</v>
      </c>
      <c r="H97" s="29" t="e">
        <f>2.6*INPUT!$C$4*('Summary of shell design'!C18-MIN(E97,F97,G97)/12)/INPUT!$C$9</f>
        <v>#VALUE!</v>
      </c>
    </row>
    <row r="98" spans="3:8">
      <c r="C98" s="29" t="e">
        <f>'VDP Method'!G9/tx!H87</f>
        <v>#VALUE!</v>
      </c>
      <c r="D98" s="29" t="e">
        <f>C98^0.5*(C98-1)/(1+C98^1.5)</f>
        <v>#VALUE!</v>
      </c>
      <c r="E98" s="29" t="e">
        <f>0.61*(INPUT!$C$18*H87)^0.5+3.84*tx!D98*'Summary of shell design'!C19</f>
        <v>#VALUE!</v>
      </c>
      <c r="F98" s="29" t="e">
        <f>12*D98*'Summary of shell design'!C19</f>
        <v>#VALUE!</v>
      </c>
      <c r="G98" s="29" t="e">
        <f>1.22*(INPUT!$C$18*H87)^0.5</f>
        <v>#VALUE!</v>
      </c>
      <c r="H98" s="29" t="e">
        <f>2.6*INPUT!$C$4*('Summary of shell design'!C19-MIN(E98,F98,G98)/12)/INPUT!$C$9</f>
        <v>#VALUE!</v>
      </c>
    </row>
    <row r="99" spans="3:8">
      <c r="C99" s="29" t="e">
        <f>'VDP Method'!G10/tx!H88</f>
        <v>#VALUE!</v>
      </c>
      <c r="D99" s="29" t="e">
        <f t="shared" si="11"/>
        <v>#VALUE!</v>
      </c>
      <c r="E99" s="29" t="e">
        <f>0.61*(INPUT!$C$18*H88)^0.5+3.84*tx!D99*'Summary of shell design'!C20</f>
        <v>#VALUE!</v>
      </c>
      <c r="F99" s="29" t="e">
        <f>12*D99*'Summary of shell design'!C20</f>
        <v>#VALUE!</v>
      </c>
      <c r="G99" s="29" t="e">
        <f>1.22*(INPUT!$C$18*H88)^0.5</f>
        <v>#VALUE!</v>
      </c>
      <c r="H99" s="29" t="e">
        <f>2.6*INPUT!$C$4*('Summary of shell design'!C20-MIN(E99,F99,G99)/12)/INPUT!$C$9</f>
        <v>#VALUE!</v>
      </c>
    </row>
    <row r="100" spans="3:8" ht="18">
      <c r="C100" s="29" t="s">
        <v>122</v>
      </c>
      <c r="D100" s="29" t="s">
        <v>123</v>
      </c>
      <c r="E100" s="29" t="s">
        <v>117</v>
      </c>
      <c r="F100" s="29" t="s">
        <v>92</v>
      </c>
      <c r="G100" s="29" t="s">
        <v>93</v>
      </c>
      <c r="H100" s="29" t="s">
        <v>94</v>
      </c>
    </row>
    <row r="102" spans="3:8">
      <c r="C102" s="29">
        <f>'VDP Method'!G2/tx!H91</f>
        <v>1.3209612711484882</v>
      </c>
      <c r="D102" s="29">
        <f>C102^0.5*(C102-1)/(1+C102^1.5)</f>
        <v>0.14648857431449483</v>
      </c>
      <c r="E102" s="29">
        <f>0.61*(INPUT!$C$18*H91)^0.5+3.84*tx!D102*'Summary of shell design'!C12</f>
        <v>36.244780360576151</v>
      </c>
      <c r="F102" s="29">
        <f>12*D102*'Summary of shell design'!C12</f>
        <v>56.251612536766018</v>
      </c>
      <c r="G102" s="29">
        <f>1.22*(INPUT!$C$18*H91)^0.5</f>
        <v>36.488528697622051</v>
      </c>
      <c r="H102" s="29">
        <f>2.6*INPUT!$C$4*('Summary of shell design'!C12-MIN(E102,F102,G102)/12)/INPUT!$C$9</f>
        <v>0.6988594732418969</v>
      </c>
    </row>
    <row r="103" spans="3:8">
      <c r="C103" s="29">
        <f>'VDP Method'!G3/tx!H92</f>
        <v>1.3493086925799962</v>
      </c>
      <c r="D103" s="29">
        <f t="shared" ref="D103:D109" si="12">C103^0.5*(C103-1)/(1+C103^1.5)</f>
        <v>0.15804449371995458</v>
      </c>
      <c r="E103" s="29">
        <f>0.61*(INPUT!$C$18*H92)^0.5+3.84*tx!D103*'Summary of shell design'!C13</f>
        <v>30.27156507857028</v>
      </c>
      <c r="F103" s="29">
        <f>12*D103*'Summary of shell design'!C13</f>
        <v>45.516814191346924</v>
      </c>
      <c r="G103" s="29">
        <f>1.22*(INPUT!$C$18*H92)^0.5</f>
        <v>31.412369074678534</v>
      </c>
      <c r="H103" s="29">
        <f>2.6*INPUT!$C$4*('Summary of shell design'!C13-MIN(E103,F103,G103)/12)/INPUT!$C$9</f>
        <v>0.51793890672699416</v>
      </c>
    </row>
    <row r="104" spans="3:8">
      <c r="C104" s="29">
        <f>'VDP Method'!G4/tx!H93</f>
        <v>1.5457436774566553</v>
      </c>
      <c r="D104" s="29">
        <f t="shared" si="12"/>
        <v>0.23222462166347382</v>
      </c>
      <c r="E104" s="29">
        <f>0.61*(INPUT!$C$18*H93)^0.5+3.84*tx!D104*'Summary of shell design'!C14</f>
        <v>26.900748664853626</v>
      </c>
      <c r="F104" s="29">
        <f>12*D104*'Summary of shell design'!C14</f>
        <v>44.587127359386976</v>
      </c>
      <c r="G104" s="29">
        <f>1.22*(INPUT!$C$18*H93)^0.5</f>
        <v>25.265735819699589</v>
      </c>
      <c r="H104" s="29">
        <f>2.6*INPUT!$C$4*('Summary of shell design'!C14-MIN(E104,F104,G104)/12)/INPUT!$C$9</f>
        <v>0.33507425181781547</v>
      </c>
    </row>
    <row r="105" spans="3:8">
      <c r="C105" s="29">
        <f>'VDP Method'!G5/tx!H94</f>
        <v>2.1200198210783281</v>
      </c>
      <c r="D105" s="29">
        <f t="shared" si="12"/>
        <v>0.39903522436509292</v>
      </c>
      <c r="E105" s="29">
        <f>0.61*(INPUT!$C$18*H94)^0.5+3.84*tx!D105*'Summary of shell design'!C15</f>
        <v>20.934610834932499</v>
      </c>
      <c r="F105" s="29">
        <f>12*D105*'Summary of shell design'!C15</f>
        <v>38.307381539048919</v>
      </c>
      <c r="G105" s="29">
        <f>1.22*(INPUT!$C$18*H94)^0.5</f>
        <v>17.352497484873695</v>
      </c>
      <c r="H105" s="29">
        <f>2.6*INPUT!$C$4*('Summary of shell design'!C15-MIN(E105,F105,G105)/12)/INPUT!$C$9</f>
        <v>0.15805241467403958</v>
      </c>
    </row>
    <row r="106" spans="3:8">
      <c r="C106" s="29" t="e">
        <f>'VDP Method'!G6/tx!H95</f>
        <v>#VALUE!</v>
      </c>
      <c r="D106" s="29" t="e">
        <f>C106^0.5*(C106-1)/(1+C106^1.5)</f>
        <v>#VALUE!</v>
      </c>
      <c r="E106" s="29" t="e">
        <f>0.61*(INPUT!$C$18*H95)^0.5+3.84*tx!D106*'Summary of shell design'!C16</f>
        <v>#VALUE!</v>
      </c>
      <c r="F106" s="29" t="e">
        <f>12*D106*'Summary of shell design'!C16</f>
        <v>#VALUE!</v>
      </c>
      <c r="G106" s="29" t="e">
        <f>1.22*(INPUT!$C$18*H95)^0.5</f>
        <v>#VALUE!</v>
      </c>
      <c r="H106" s="29" t="e">
        <f>2.6*INPUT!$C$4*('Summary of shell design'!C16-MIN(E106,F106,G106)/12)/INPUT!$C$9</f>
        <v>#VALUE!</v>
      </c>
    </row>
    <row r="107" spans="3:8">
      <c r="C107" s="29" t="e">
        <f>'VDP Method'!G7/tx!H96</f>
        <v>#VALUE!</v>
      </c>
      <c r="D107" s="29" t="e">
        <f t="shared" si="12"/>
        <v>#VALUE!</v>
      </c>
      <c r="E107" s="29" t="e">
        <f>0.61*(INPUT!$C$18*H96)^0.5+3.84*tx!D107*'Summary of shell design'!C17</f>
        <v>#VALUE!</v>
      </c>
      <c r="F107" s="29" t="e">
        <f>12*D107*'Summary of shell design'!C17</f>
        <v>#VALUE!</v>
      </c>
      <c r="G107" s="29" t="e">
        <f>1.22*(INPUT!$C$18*H96)^0.5</f>
        <v>#VALUE!</v>
      </c>
      <c r="H107" s="29" t="e">
        <f>2.6*INPUT!$C$4*('Summary of shell design'!C17-MIN(E107,F107,G107)/12)/INPUT!$C$9</f>
        <v>#VALUE!</v>
      </c>
    </row>
    <row r="108" spans="3:8">
      <c r="C108" s="29" t="e">
        <f>'VDP Method'!G8/tx!H97</f>
        <v>#VALUE!</v>
      </c>
      <c r="D108" s="29" t="e">
        <f t="shared" si="12"/>
        <v>#VALUE!</v>
      </c>
      <c r="E108" s="29" t="e">
        <f>0.61*(INPUT!$C$18*H97)^0.5+3.84*tx!D108*'Summary of shell design'!C18</f>
        <v>#VALUE!</v>
      </c>
      <c r="F108" s="29" t="e">
        <f>12*D108*'Summary of shell design'!C18</f>
        <v>#VALUE!</v>
      </c>
      <c r="G108" s="29" t="e">
        <f>1.22*(INPUT!$C$18*H97)^0.5</f>
        <v>#VALUE!</v>
      </c>
      <c r="H108" s="29" t="e">
        <f>2.6*INPUT!$C$4*('Summary of shell design'!C18-MIN(E108,F108,G108)/12)/INPUT!$C$9</f>
        <v>#VALUE!</v>
      </c>
    </row>
    <row r="109" spans="3:8">
      <c r="C109" s="29" t="e">
        <f>'VDP Method'!G9/tx!H98</f>
        <v>#VALUE!</v>
      </c>
      <c r="D109" s="29" t="e">
        <f t="shared" si="12"/>
        <v>#VALUE!</v>
      </c>
      <c r="E109" s="29" t="e">
        <f>0.61*(INPUT!$C$18*H98)^0.5+3.84*tx!D109*'Summary of shell design'!C19</f>
        <v>#VALUE!</v>
      </c>
      <c r="F109" s="29" t="e">
        <f>12*D109*'Summary of shell design'!C19</f>
        <v>#VALUE!</v>
      </c>
      <c r="G109" s="29" t="e">
        <f>1.22*(INPUT!$C$18*H98)^0.5</f>
        <v>#VALUE!</v>
      </c>
      <c r="H109" s="29" t="e">
        <f>2.6*INPUT!$C$4*('Summary of shell design'!C19-MIN(E109,F109,G109)/12)/INPUT!$C$9</f>
        <v>#VALUE!</v>
      </c>
    </row>
    <row r="110" spans="3:8">
      <c r="C110" s="29" t="e">
        <f>'VDP Method'!G10/tx!H99</f>
        <v>#VALUE!</v>
      </c>
      <c r="D110" s="29" t="e">
        <f>C110^0.5*(C110-1)/(1+C110^1.5)</f>
        <v>#VALUE!</v>
      </c>
      <c r="E110" s="29" t="e">
        <f>0.61*(INPUT!$C$18*H99)^0.5+3.84*tx!D110*'Summary of shell design'!C20</f>
        <v>#VALUE!</v>
      </c>
      <c r="F110" s="29" t="e">
        <f>12*D110*'Summary of shell design'!C20</f>
        <v>#VALUE!</v>
      </c>
      <c r="G110" s="29" t="e">
        <f>1.22*(INPUT!$C$18*H99)^0.5</f>
        <v>#VALUE!</v>
      </c>
      <c r="H110" s="29" t="e">
        <f>2.6*INPUT!$C$4*('Summary of shell design'!C20-MIN(E110,F110,G110)/12)/INPUT!$C$9</f>
        <v>#VALUE!</v>
      </c>
    </row>
    <row r="111" spans="3:8" ht="18">
      <c r="C111" s="29" t="s">
        <v>124</v>
      </c>
      <c r="D111" s="29" t="s">
        <v>125</v>
      </c>
      <c r="E111" s="29" t="s">
        <v>117</v>
      </c>
      <c r="F111" s="29" t="s">
        <v>92</v>
      </c>
      <c r="G111" s="29" t="s">
        <v>93</v>
      </c>
      <c r="H111" s="29" t="s">
        <v>94</v>
      </c>
    </row>
    <row r="113" spans="3:8">
      <c r="C113" s="29">
        <f>'VDP Method'!G2/tx!H102</f>
        <v>1.3209612780937781</v>
      </c>
      <c r="D113" s="29">
        <f>C113^0.5*(C113-1)/(1+C113^1.5)</f>
        <v>0.14648857717294095</v>
      </c>
      <c r="E113" s="29">
        <f>0.61*(INPUT!$C$18*H102)^0.5+3.84*tx!D113*'Summary of shell design'!C12</f>
        <v>36.244780663860084</v>
      </c>
      <c r="F113" s="29">
        <f>12*D113*'Summary of shell design'!C12</f>
        <v>56.251613634409324</v>
      </c>
      <c r="G113" s="29">
        <f>1.22*(INPUT!$C$18*H102)^0.5</f>
        <v>36.488528601698192</v>
      </c>
      <c r="H113" s="29">
        <f>2.6*INPUT!$C$4*('Summary of shell design'!C12-MIN(E113,F113,G113)/12)/INPUT!$C$9</f>
        <v>0.69885947263240833</v>
      </c>
    </row>
    <row r="114" spans="3:8">
      <c r="C114" s="29">
        <f>'VDP Method'!G3/tx!H103</f>
        <v>1.3493086992263945</v>
      </c>
      <c r="D114" s="29">
        <f t="shared" ref="D114:D120" si="13">C114^0.5*(C114-1)/(1+C114^1.5)</f>
        <v>0.15804449640346213</v>
      </c>
      <c r="E114" s="29">
        <f>0.61*(INPUT!$C$18*H103)^0.5+3.84*tx!D114*'Summary of shell design'!C13</f>
        <v>30.271565287199728</v>
      </c>
      <c r="F114" s="29">
        <f>12*D114*'Summary of shell design'!C13</f>
        <v>45.516814964197096</v>
      </c>
      <c r="G114" s="29">
        <f>1.22*(INPUT!$C$18*H103)^0.5</f>
        <v>31.412368997313315</v>
      </c>
      <c r="H114" s="29">
        <f>2.6*INPUT!$C$4*('Summary of shell design'!C13-MIN(E114,F114,G114)/12)/INPUT!$C$9</f>
        <v>0.5179389063077261</v>
      </c>
    </row>
    <row r="115" spans="3:8">
      <c r="C115" s="29">
        <f>'VDP Method'!G4/tx!H104</f>
        <v>1.5457436774614115</v>
      </c>
      <c r="D115" s="29">
        <f t="shared" si="13"/>
        <v>0.23222462166514996</v>
      </c>
      <c r="E115" s="29">
        <f>0.61*(INPUT!$C$18*H104)^0.5+3.84*tx!D115*'Summary of shell design'!C14</f>
        <v>26.900748664937172</v>
      </c>
      <c r="F115" s="29">
        <f>12*D115*'Summary of shell design'!C14</f>
        <v>44.587127359708788</v>
      </c>
      <c r="G115" s="29">
        <f>1.22*(INPUT!$C$18*H104)^0.5</f>
        <v>25.265735819660719</v>
      </c>
      <c r="H115" s="29">
        <f>2.6*INPUT!$C$4*('Summary of shell design'!C14-MIN(E115,F115,G115)/12)/INPUT!$C$9</f>
        <v>0.33507425181789358</v>
      </c>
    </row>
    <row r="116" spans="3:8">
      <c r="C116" s="29">
        <f>'VDP Method'!G5/tx!H105</f>
        <v>2.1200198206963852</v>
      </c>
      <c r="D116" s="29">
        <f t="shared" si="13"/>
        <v>0.39903522427452032</v>
      </c>
      <c r="E116" s="29">
        <f>0.61*(INPUT!$C$18*H105)^0.5+3.84*tx!D116*'Summary of shell design'!C15</f>
        <v>20.934610832931668</v>
      </c>
      <c r="F116" s="29">
        <f>12*D116*'Summary of shell design'!C15</f>
        <v>38.30738153035395</v>
      </c>
      <c r="G116" s="29">
        <f>1.22*(INPUT!$C$18*H105)^0.5</f>
        <v>17.35249748643681</v>
      </c>
      <c r="H116" s="29">
        <f>2.6*INPUT!$C$4*('Summary of shell design'!C15-MIN(E116,F116,G116)/12)/INPUT!$C$9</f>
        <v>0.15805241467089831</v>
      </c>
    </row>
    <row r="117" spans="3:8">
      <c r="C117" s="29" t="e">
        <f>'VDP Method'!G6/tx!H106</f>
        <v>#VALUE!</v>
      </c>
      <c r="D117" s="29" t="e">
        <f t="shared" si="13"/>
        <v>#VALUE!</v>
      </c>
      <c r="E117" s="29" t="e">
        <f>0.61*(INPUT!$C$18*H106)^0.5+3.84*tx!D117*'Summary of shell design'!C16</f>
        <v>#VALUE!</v>
      </c>
      <c r="F117" s="29" t="e">
        <f>12*D117*'Summary of shell design'!C16</f>
        <v>#VALUE!</v>
      </c>
      <c r="G117" s="29" t="e">
        <f>1.22*(INPUT!$C$18*H106)^0.5</f>
        <v>#VALUE!</v>
      </c>
      <c r="H117" s="29" t="e">
        <f>2.6*INPUT!$C$4*('Summary of shell design'!C16-MIN(E117,F117,G117)/12)/INPUT!$C$9</f>
        <v>#VALUE!</v>
      </c>
    </row>
    <row r="118" spans="3:8">
      <c r="C118" s="29" t="e">
        <f>'VDP Method'!G7/tx!H107</f>
        <v>#VALUE!</v>
      </c>
      <c r="D118" s="29" t="e">
        <f t="shared" si="13"/>
        <v>#VALUE!</v>
      </c>
      <c r="E118" s="29" t="e">
        <f>0.61*(INPUT!$C$18*H107)^0.5+3.84*tx!D118*'Summary of shell design'!C17</f>
        <v>#VALUE!</v>
      </c>
      <c r="F118" s="29" t="e">
        <f>12*D118*'Summary of shell design'!C17</f>
        <v>#VALUE!</v>
      </c>
      <c r="G118" s="29" t="e">
        <f>1.22*(INPUT!$C$18*H107)^0.5</f>
        <v>#VALUE!</v>
      </c>
      <c r="H118" s="29" t="e">
        <f>2.6*INPUT!$C$4*('Summary of shell design'!C17-MIN(E118,F118,G118)/12)/INPUT!$C$9</f>
        <v>#VALUE!</v>
      </c>
    </row>
    <row r="119" spans="3:8">
      <c r="C119" s="29" t="e">
        <f>'VDP Method'!G8/tx!H108</f>
        <v>#VALUE!</v>
      </c>
      <c r="D119" s="29" t="e">
        <f t="shared" si="13"/>
        <v>#VALUE!</v>
      </c>
      <c r="E119" s="29" t="e">
        <f>0.61*(INPUT!$C$18*H108)^0.5+3.84*tx!D119*'Summary of shell design'!C18</f>
        <v>#VALUE!</v>
      </c>
      <c r="F119" s="29" t="e">
        <f>12*D119*'Summary of shell design'!C18</f>
        <v>#VALUE!</v>
      </c>
      <c r="G119" s="29" t="e">
        <f>1.22*(INPUT!$C$18*H108)^0.5</f>
        <v>#VALUE!</v>
      </c>
      <c r="H119" s="29" t="e">
        <f>2.6*INPUT!$C$4*('Summary of shell design'!C18-MIN(E119,F119,G119)/12)/INPUT!$C$9</f>
        <v>#VALUE!</v>
      </c>
    </row>
    <row r="120" spans="3:8">
      <c r="C120" s="29" t="e">
        <f>'VDP Method'!G9/tx!H109</f>
        <v>#VALUE!</v>
      </c>
      <c r="D120" s="29" t="e">
        <f t="shared" si="13"/>
        <v>#VALUE!</v>
      </c>
      <c r="E120" s="29" t="e">
        <f>0.61*(INPUT!$C$18*H109)^0.5+3.84*tx!D120*'Summary of shell design'!C19</f>
        <v>#VALUE!</v>
      </c>
      <c r="F120" s="29" t="e">
        <f>12*D120*'Summary of shell design'!C19</f>
        <v>#VALUE!</v>
      </c>
      <c r="G120" s="29" t="e">
        <f>1.22*(INPUT!$C$18*H109)^0.5</f>
        <v>#VALUE!</v>
      </c>
      <c r="H120" s="29" t="e">
        <f>2.6*INPUT!$C$4*('Summary of shell design'!C19-MIN(E120,F120,G120)/12)/INPUT!$C$9</f>
        <v>#VALUE!</v>
      </c>
    </row>
    <row r="121" spans="3:8">
      <c r="C121" s="29" t="e">
        <f>'VDP Method'!G10/tx!H110</f>
        <v>#VALUE!</v>
      </c>
      <c r="D121" s="29" t="e">
        <f>C121^0.5*(C121-1)/(1+C121^1.5)</f>
        <v>#VALUE!</v>
      </c>
      <c r="E121" s="29" t="e">
        <f>0.61*(INPUT!$C$18*H110)^0.5+3.84*tx!D121*'Summary of shell design'!C20</f>
        <v>#VALUE!</v>
      </c>
      <c r="F121" s="29" t="e">
        <f>12*D121*'Summary of shell design'!C20</f>
        <v>#VALUE!</v>
      </c>
      <c r="G121" s="29" t="e">
        <f>1.22*(INPUT!$C$18*H110)^0.5</f>
        <v>#VALUE!</v>
      </c>
      <c r="H121" s="29" t="e">
        <f>2.6*INPUT!$C$4*('Summary of shell design'!C20-MIN(E121,F121,G121)/12)/INPUT!$C$9</f>
        <v>#VALUE!</v>
      </c>
    </row>
    <row r="122" spans="3:8" ht="18">
      <c r="C122" s="29" t="s">
        <v>126</v>
      </c>
      <c r="D122" s="29" t="s">
        <v>127</v>
      </c>
      <c r="E122" s="29" t="s">
        <v>117</v>
      </c>
      <c r="F122" s="29" t="s">
        <v>92</v>
      </c>
      <c r="G122" s="29" t="s">
        <v>93</v>
      </c>
      <c r="H122" s="29" t="s">
        <v>94</v>
      </c>
    </row>
    <row r="124" spans="3:8">
      <c r="C124" s="29">
        <f>'VDP Method'!G2/tx!H113</f>
        <v>1.3209612792458132</v>
      </c>
      <c r="D124" s="29">
        <f>C124^0.5*(C124-1)/(1+C124^1.5)</f>
        <v>0.14648857764707959</v>
      </c>
      <c r="E124" s="29">
        <f>0.61*(INPUT!$C$18*H113)^0.5+3.84*tx!D124*'Summary of shell design'!C12</f>
        <v>36.244780714166652</v>
      </c>
      <c r="F124" s="29">
        <f>12*D124*'Summary of shell design'!C12</f>
        <v>56.251613816478567</v>
      </c>
      <c r="G124" s="29">
        <f>1.22*(INPUT!$C$18*H113)^0.5</f>
        <v>36.488528585787023</v>
      </c>
      <c r="H124" s="29">
        <f>2.6*INPUT!$C$4*('Summary of shell design'!C12-MIN(E124,F124,G124)/12)/INPUT!$C$9</f>
        <v>0.69885947253131075</v>
      </c>
    </row>
    <row r="125" spans="3:8">
      <c r="C125" s="29">
        <f>'VDP Method'!G3/tx!H114</f>
        <v>1.3493087003186508</v>
      </c>
      <c r="D125" s="29">
        <f t="shared" ref="D125:D132" si="14">C125^0.5*(C125-1)/(1+C125^1.5)</f>
        <v>0.15804449684446459</v>
      </c>
      <c r="E125" s="29">
        <f>0.61*(INPUT!$C$18*H114)^0.5+3.84*tx!D125*'Summary of shell design'!C13</f>
        <v>30.27156532148549</v>
      </c>
      <c r="F125" s="29">
        <f>12*D125*'Summary of shell design'!C13</f>
        <v>45.5168150912058</v>
      </c>
      <c r="G125" s="29">
        <f>1.22*(INPUT!$C$18*H114)^0.5</f>
        <v>31.412368984599265</v>
      </c>
      <c r="H125" s="29">
        <f>2.6*INPUT!$C$4*('Summary of shell design'!C13-MIN(E125,F125,G125)/12)/INPUT!$C$9</f>
        <v>0.51793890623882421</v>
      </c>
    </row>
    <row r="126" spans="3:8">
      <c r="C126" s="29">
        <f>'VDP Method'!G4/tx!H115</f>
        <v>1.5457436774610513</v>
      </c>
      <c r="D126" s="29">
        <f t="shared" si="14"/>
        <v>0.23222462166502303</v>
      </c>
      <c r="E126" s="29">
        <f>0.61*(INPUT!$C$18*H115)^0.5+3.84*tx!D126*'Summary of shell design'!C14</f>
        <v>26.900748664930845</v>
      </c>
      <c r="F126" s="29">
        <f>12*D126*'Summary of shell design'!C14</f>
        <v>44.587127359684423</v>
      </c>
      <c r="G126" s="29">
        <f>1.22*(INPUT!$C$18*H115)^0.5</f>
        <v>25.265735819663664</v>
      </c>
      <c r="H126" s="29">
        <f>2.6*INPUT!$C$4*('Summary of shell design'!C14-MIN(E126,F126,G126)/12)/INPUT!$C$9</f>
        <v>0.33507425181788764</v>
      </c>
    </row>
    <row r="127" spans="3:8">
      <c r="C127" s="29">
        <f>'VDP Method'!G5/tx!H116</f>
        <v>2.1200198207385199</v>
      </c>
      <c r="D127" s="29">
        <f t="shared" si="14"/>
        <v>0.39903522428451194</v>
      </c>
      <c r="E127" s="29">
        <f>0.61*(INPUT!$C$18*H116)^0.5+3.84*tx!D127*'Summary of shell design'!C15</f>
        <v>20.934610833152391</v>
      </c>
      <c r="F127" s="29">
        <f>12*D127*'Summary of shell design'!C15</f>
        <v>38.307381531313148</v>
      </c>
      <c r="G127" s="29">
        <f>1.22*(INPUT!$C$18*H116)^0.5</f>
        <v>17.352497486264372</v>
      </c>
      <c r="H127" s="29">
        <f>2.6*INPUT!$C$4*('Summary of shell design'!C15-MIN(E127,F127,G127)/12)/INPUT!$C$9</f>
        <v>0.15805241467124484</v>
      </c>
    </row>
    <row r="128" spans="3:8">
      <c r="C128" s="29" t="e">
        <f>'VDP Method'!G6/tx!H117</f>
        <v>#VALUE!</v>
      </c>
      <c r="D128" s="29" t="e">
        <f t="shared" si="14"/>
        <v>#VALUE!</v>
      </c>
      <c r="E128" s="29" t="e">
        <f>0.61*(INPUT!$C$18*H117)^0.5+3.84*tx!D128*'Summary of shell design'!C16</f>
        <v>#VALUE!</v>
      </c>
      <c r="F128" s="29" t="e">
        <f>12*D128*'Summary of shell design'!C16</f>
        <v>#VALUE!</v>
      </c>
      <c r="G128" s="29" t="e">
        <f>1.22*(INPUT!$C$18*H117)^0.5</f>
        <v>#VALUE!</v>
      </c>
      <c r="H128" s="29" t="e">
        <f>2.6*INPUT!$C$4*('Summary of shell design'!C16-MIN(E128,F128,G128)/12)/INPUT!$C$9</f>
        <v>#VALUE!</v>
      </c>
    </row>
    <row r="129" spans="3:8">
      <c r="C129" s="29" t="e">
        <f>'VDP Method'!G7/tx!H118</f>
        <v>#VALUE!</v>
      </c>
      <c r="D129" s="29" t="e">
        <f t="shared" si="14"/>
        <v>#VALUE!</v>
      </c>
      <c r="E129" s="29" t="e">
        <f>0.61*(INPUT!$C$18*H118)^0.5+3.84*tx!D129*'Summary of shell design'!C17</f>
        <v>#VALUE!</v>
      </c>
      <c r="F129" s="29" t="e">
        <f>12*D129*'Summary of shell design'!C17</f>
        <v>#VALUE!</v>
      </c>
      <c r="G129" s="29" t="e">
        <f>1.22*(INPUT!$C$18*H118)^0.5</f>
        <v>#VALUE!</v>
      </c>
      <c r="H129" s="29" t="e">
        <f>2.6*INPUT!$C$4*('Summary of shell design'!C17-MIN(E129,F129,G129)/12)/INPUT!$C$9</f>
        <v>#VALUE!</v>
      </c>
    </row>
    <row r="130" spans="3:8">
      <c r="C130" s="29" t="e">
        <f>'VDP Method'!G8/tx!H119</f>
        <v>#VALUE!</v>
      </c>
      <c r="D130" s="29" t="e">
        <f t="shared" si="14"/>
        <v>#VALUE!</v>
      </c>
      <c r="E130" s="29" t="e">
        <f>0.61*(INPUT!$C$18*H119)^0.5+3.84*tx!D130*'Summary of shell design'!C18</f>
        <v>#VALUE!</v>
      </c>
      <c r="F130" s="29" t="e">
        <f>12*D130*'Summary of shell design'!C18</f>
        <v>#VALUE!</v>
      </c>
      <c r="G130" s="29" t="e">
        <f>1.22*(INPUT!$C$18*H119)^0.5</f>
        <v>#VALUE!</v>
      </c>
      <c r="H130" s="29" t="e">
        <f>2.6*INPUT!$C$4*('Summary of shell design'!C18-MIN(E130,F130,G130)/12)/INPUT!$C$9</f>
        <v>#VALUE!</v>
      </c>
    </row>
    <row r="131" spans="3:8">
      <c r="C131" s="29" t="e">
        <f>'VDP Method'!G9/tx!H120</f>
        <v>#VALUE!</v>
      </c>
      <c r="D131" s="29" t="e">
        <f>C131^0.5*(C131-1)/(1+C131^1.5)</f>
        <v>#VALUE!</v>
      </c>
      <c r="E131" s="29" t="e">
        <f>0.61*(INPUT!$C$18*H120)^0.5+3.84*tx!D131*'Summary of shell design'!C19</f>
        <v>#VALUE!</v>
      </c>
      <c r="F131" s="29" t="e">
        <f>12*D131*'Summary of shell design'!C19</f>
        <v>#VALUE!</v>
      </c>
      <c r="G131" s="29" t="e">
        <f>1.22*(INPUT!$C$18*H120)^0.5</f>
        <v>#VALUE!</v>
      </c>
      <c r="H131" s="29" t="e">
        <f>2.6*INPUT!$C$4*('Summary of shell design'!C19-MIN(E131,F131,G131)/12)/INPUT!$C$9</f>
        <v>#VALUE!</v>
      </c>
    </row>
    <row r="132" spans="3:8">
      <c r="C132" s="29" t="e">
        <f>'VDP Method'!G10/tx!H121</f>
        <v>#VALUE!</v>
      </c>
      <c r="D132" s="29" t="e">
        <f t="shared" si="14"/>
        <v>#VALUE!</v>
      </c>
      <c r="E132" s="29" t="e">
        <f>0.61*(INPUT!$C$18*H121)^0.5+3.84*tx!D132*'Summary of shell design'!C20</f>
        <v>#VALUE!</v>
      </c>
      <c r="F132" s="29" t="e">
        <f>12*D132*'Summary of shell design'!C20</f>
        <v>#VALUE!</v>
      </c>
      <c r="G132" s="29" t="e">
        <f>1.22*(INPUT!$C$18*H121)^0.5</f>
        <v>#VALUE!</v>
      </c>
      <c r="H132" s="29" t="e">
        <f>2.6*INPUT!$C$4*('Summary of shell design'!C20-MIN(E132,F132,G132)/12)/INPUT!$C$9</f>
        <v>#VALUE!</v>
      </c>
    </row>
    <row r="133" spans="3:8" ht="18">
      <c r="C133" s="29" t="s">
        <v>128</v>
      </c>
      <c r="D133" s="29" t="s">
        <v>129</v>
      </c>
      <c r="E133" s="29" t="s">
        <v>117</v>
      </c>
      <c r="F133" s="29" t="s">
        <v>92</v>
      </c>
      <c r="G133" s="29" t="s">
        <v>93</v>
      </c>
      <c r="H133" s="29" t="s">
        <v>94</v>
      </c>
    </row>
    <row r="135" spans="3:8">
      <c r="C135" s="29">
        <f>'VDP Method'!G2/tx!H124</f>
        <v>1.3209612794369046</v>
      </c>
      <c r="D135" s="29">
        <f>C135^0.5*(C135-1)/(1+C135^1.5)</f>
        <v>0.14648857772572629</v>
      </c>
      <c r="E135" s="29">
        <f>0.61*(INPUT!$C$18*H124)^0.5+3.84*tx!D135*'Summary of shell design'!C12</f>
        <v>36.244780722511145</v>
      </c>
      <c r="F135" s="29">
        <f>12*D135*'Summary of shell design'!C12</f>
        <v>56.251613846678893</v>
      </c>
      <c r="G135" s="29">
        <f>1.22*(INPUT!$C$18*H124)^0.5</f>
        <v>36.488528583147797</v>
      </c>
      <c r="H135" s="29">
        <f>2.6*INPUT!$C$4*('Summary of shell design'!C12-MIN(E135,F135,G135)/12)/INPUT!$C$9</f>
        <v>0.69885947251454139</v>
      </c>
    </row>
    <row r="136" spans="3:8">
      <c r="C136" s="29">
        <f>'VDP Method'!G3/tx!H125</f>
        <v>1.3493087004981505</v>
      </c>
      <c r="D136" s="29">
        <f t="shared" ref="D136:D143" si="15">C136^0.5*(C136-1)/(1+C136^1.5)</f>
        <v>0.15804449691693828</v>
      </c>
      <c r="E136" s="29">
        <f>0.61*(INPUT!$C$18*H125)^0.5+3.84*tx!D136*'Summary of shell design'!C13</f>
        <v>30.271565327119962</v>
      </c>
      <c r="F136" s="29">
        <f>12*D136*'Summary of shell design'!C13</f>
        <v>45.516815112078227</v>
      </c>
      <c r="G136" s="29">
        <f>1.22*(INPUT!$C$18*H125)^0.5</f>
        <v>31.412368982509861</v>
      </c>
      <c r="H136" s="29">
        <f>2.6*INPUT!$C$4*('Summary of shell design'!C13-MIN(E136,F136,G136)/12)/INPUT!$C$9</f>
        <v>0.51793890622750116</v>
      </c>
    </row>
    <row r="137" spans="3:8">
      <c r="C137" s="29">
        <f>'VDP Method'!G4/tx!H126</f>
        <v>1.5457436774610787</v>
      </c>
      <c r="D137" s="29">
        <f t="shared" si="15"/>
        <v>0.23222462166503266</v>
      </c>
      <c r="E137" s="29">
        <f>0.61*(INPUT!$C$18*H126)^0.5+3.84*tx!D137*'Summary of shell design'!C14</f>
        <v>26.900748664931328</v>
      </c>
      <c r="F137" s="29">
        <f>12*D137*'Summary of shell design'!C14</f>
        <v>44.587127359686271</v>
      </c>
      <c r="G137" s="29">
        <f>1.22*(INPUT!$C$18*H126)^0.5</f>
        <v>25.265735819663441</v>
      </c>
      <c r="H137" s="29">
        <f>2.6*INPUT!$C$4*('Summary of shell design'!C14-MIN(E137,F137,G137)/12)/INPUT!$C$9</f>
        <v>0.33507425181788808</v>
      </c>
    </row>
    <row r="138" spans="3:8">
      <c r="C138" s="29">
        <f>'VDP Method'!G5/tx!H127</f>
        <v>2.1200198207338721</v>
      </c>
      <c r="D138" s="29">
        <f t="shared" si="15"/>
        <v>0.39903522428340987</v>
      </c>
      <c r="E138" s="29">
        <f>0.61*(INPUT!$C$18*H127)^0.5+3.84*tx!D138*'Summary of shell design'!C15</f>
        <v>20.934610833128048</v>
      </c>
      <c r="F138" s="29">
        <f>12*D138*'Summary of shell design'!C15</f>
        <v>38.307381531207348</v>
      </c>
      <c r="G138" s="29">
        <f>1.22*(INPUT!$C$18*H127)^0.5</f>
        <v>17.352497486283394</v>
      </c>
      <c r="H138" s="29">
        <f>2.6*INPUT!$C$4*('Summary of shell design'!C15-MIN(E138,F138,G138)/12)/INPUT!$C$9</f>
        <v>0.15805241467120659</v>
      </c>
    </row>
    <row r="139" spans="3:8">
      <c r="C139" s="29" t="e">
        <f>'VDP Method'!G6/tx!H128</f>
        <v>#VALUE!</v>
      </c>
      <c r="D139" s="29" t="e">
        <f t="shared" si="15"/>
        <v>#VALUE!</v>
      </c>
      <c r="E139" s="29" t="e">
        <f>0.61*(INPUT!$C$18*H128)^0.5+3.84*tx!D139*'Summary of shell design'!C16</f>
        <v>#VALUE!</v>
      </c>
      <c r="F139" s="29" t="e">
        <f>12*D139*'Summary of shell design'!C16</f>
        <v>#VALUE!</v>
      </c>
      <c r="G139" s="29" t="e">
        <f>1.22*(INPUT!$C$18*H128)^0.5</f>
        <v>#VALUE!</v>
      </c>
      <c r="H139" s="29" t="e">
        <f>2.6*INPUT!$C$4*('Summary of shell design'!C16-MIN(E139,F139,G139)/12)/INPUT!$C$9</f>
        <v>#VALUE!</v>
      </c>
    </row>
    <row r="140" spans="3:8">
      <c r="C140" s="29" t="e">
        <f>'VDP Method'!G7/tx!H129</f>
        <v>#VALUE!</v>
      </c>
      <c r="D140" s="29" t="e">
        <f t="shared" si="15"/>
        <v>#VALUE!</v>
      </c>
      <c r="E140" s="29" t="e">
        <f>0.61*(INPUT!$C$18*H129)^0.5+3.84*tx!D140*'Summary of shell design'!C17</f>
        <v>#VALUE!</v>
      </c>
      <c r="F140" s="29" t="e">
        <f>12*D140*'Summary of shell design'!C17</f>
        <v>#VALUE!</v>
      </c>
      <c r="G140" s="29" t="e">
        <f>1.22*(INPUT!$C$18*H129)^0.5</f>
        <v>#VALUE!</v>
      </c>
      <c r="H140" s="29" t="e">
        <f>2.6*INPUT!$C$4*('Summary of shell design'!C17-MIN(E140,F140,G140)/12)/INPUT!$C$9</f>
        <v>#VALUE!</v>
      </c>
    </row>
    <row r="141" spans="3:8">
      <c r="C141" s="29" t="e">
        <f>'VDP Method'!G8/tx!H130</f>
        <v>#VALUE!</v>
      </c>
      <c r="D141" s="29" t="e">
        <f t="shared" si="15"/>
        <v>#VALUE!</v>
      </c>
      <c r="E141" s="29" t="e">
        <f>0.61*(INPUT!$C$18*H130)^0.5+3.84*tx!D141*'Summary of shell design'!C18</f>
        <v>#VALUE!</v>
      </c>
      <c r="F141" s="29" t="e">
        <f>12*D141*'Summary of shell design'!C18</f>
        <v>#VALUE!</v>
      </c>
      <c r="G141" s="29" t="e">
        <f>1.22*(INPUT!$C$18*H130)^0.5</f>
        <v>#VALUE!</v>
      </c>
      <c r="H141" s="29" t="e">
        <f>2.6*INPUT!$C$4*('Summary of shell design'!C18-MIN(E141,F141,G141)/12)/INPUT!$C$9</f>
        <v>#VALUE!</v>
      </c>
    </row>
    <row r="142" spans="3:8">
      <c r="C142" s="29" t="e">
        <f>'VDP Method'!G9/tx!H131</f>
        <v>#VALUE!</v>
      </c>
      <c r="D142" s="29" t="e">
        <f>C142^0.5*(C142-1)/(1+C142^1.5)</f>
        <v>#VALUE!</v>
      </c>
      <c r="E142" s="29" t="e">
        <f>0.61*(INPUT!$C$18*H131)^0.5+3.84*tx!D142*'Summary of shell design'!C19</f>
        <v>#VALUE!</v>
      </c>
      <c r="F142" s="29" t="e">
        <f>12*D142*'Summary of shell design'!C19</f>
        <v>#VALUE!</v>
      </c>
      <c r="G142" s="29" t="e">
        <f>1.22*(INPUT!$C$18*H131)^0.5</f>
        <v>#VALUE!</v>
      </c>
      <c r="H142" s="29" t="e">
        <f>2.6*INPUT!$C$4*('Summary of shell design'!C19-MIN(E142,F142,G142)/12)/INPUT!$C$9</f>
        <v>#VALUE!</v>
      </c>
    </row>
    <row r="143" spans="3:8">
      <c r="C143" s="29" t="e">
        <f>'VDP Method'!G10/tx!H132</f>
        <v>#VALUE!</v>
      </c>
      <c r="D143" s="29" t="e">
        <f t="shared" si="15"/>
        <v>#VALUE!</v>
      </c>
      <c r="E143" s="29" t="e">
        <f>0.61*(INPUT!$C$18*H132)^0.5+3.84*tx!D143*'Summary of shell design'!C20</f>
        <v>#VALUE!</v>
      </c>
      <c r="F143" s="29" t="e">
        <f>12*D143*'Summary of shell design'!C20</f>
        <v>#VALUE!</v>
      </c>
      <c r="G143" s="29" t="e">
        <f>1.22*(INPUT!$C$18*H132)^0.5</f>
        <v>#VALUE!</v>
      </c>
      <c r="H143" s="29" t="e">
        <f>2.6*INPUT!$C$4*('Summary of shell design'!C20-MIN(E143,F143,G143)/12)/INPUT!$C$9</f>
        <v>#VALUE!</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CB7E-0796-4D27-B76C-AA6FBC9A030E}">
  <dimension ref="A1:AE154"/>
  <sheetViews>
    <sheetView topLeftCell="A10" workbookViewId="0">
      <selection activeCell="O29" sqref="O29"/>
    </sheetView>
  </sheetViews>
  <sheetFormatPr defaultRowHeight="15"/>
  <cols>
    <col min="2" max="2" width="13.42578125" customWidth="1"/>
    <col min="3" max="3" width="78" customWidth="1"/>
    <col min="4" max="4" width="9.42578125" bestFit="1" customWidth="1"/>
    <col min="6" max="6" width="9" bestFit="1" customWidth="1"/>
    <col min="7" max="7" width="9.42578125" customWidth="1"/>
    <col min="8" max="8" width="35.7109375" customWidth="1"/>
    <col min="9" max="9" width="18.42578125" customWidth="1"/>
    <col min="10" max="10" width="15.140625" customWidth="1"/>
    <col min="11" max="11" width="40.85546875" customWidth="1"/>
    <col min="12" max="12" width="12.42578125" customWidth="1"/>
    <col min="13" max="13" width="10.85546875" customWidth="1"/>
    <col min="14" max="14" width="25.42578125" customWidth="1"/>
    <col min="15" max="15" width="18.5703125" customWidth="1"/>
    <col min="16" max="16" width="16" customWidth="1"/>
    <col min="17" max="17" width="27.42578125" customWidth="1"/>
    <col min="18" max="18" width="18.5703125" customWidth="1"/>
    <col min="19" max="19" width="8.5703125" customWidth="1"/>
    <col min="20" max="20" width="18.5703125" customWidth="1"/>
    <col min="21" max="21" width="13.42578125" customWidth="1"/>
    <col min="22" max="22" width="9.140625" customWidth="1"/>
    <col min="23" max="23" width="20" customWidth="1"/>
    <col min="24" max="24" width="11.42578125" customWidth="1"/>
  </cols>
  <sheetData>
    <row r="1" spans="1:31" ht="19.899999999999999" customHeight="1">
      <c r="A1" s="29"/>
      <c r="B1" s="29"/>
      <c r="C1" s="29" t="s">
        <v>58</v>
      </c>
      <c r="D1" s="29"/>
      <c r="E1" s="29"/>
      <c r="F1" s="29"/>
      <c r="G1" s="49"/>
      <c r="H1" s="50" t="s">
        <v>130</v>
      </c>
      <c r="I1" s="50" t="s">
        <v>131</v>
      </c>
      <c r="J1" s="50" t="s">
        <v>132</v>
      </c>
      <c r="K1" s="50" t="s">
        <v>133</v>
      </c>
      <c r="L1" s="50" t="s">
        <v>134</v>
      </c>
      <c r="M1" s="50" t="s">
        <v>135</v>
      </c>
      <c r="N1" s="50" t="s">
        <v>136</v>
      </c>
      <c r="O1" s="50" t="s">
        <v>137</v>
      </c>
      <c r="P1" s="50" t="s">
        <v>138</v>
      </c>
      <c r="Q1" s="50" t="s">
        <v>139</v>
      </c>
      <c r="R1" s="50" t="s">
        <v>140</v>
      </c>
      <c r="S1" s="50" t="s">
        <v>141</v>
      </c>
      <c r="T1" s="50" t="s">
        <v>142</v>
      </c>
      <c r="U1" s="50" t="s">
        <v>143</v>
      </c>
      <c r="V1" s="50" t="s">
        <v>144</v>
      </c>
      <c r="W1" s="50" t="s">
        <v>145</v>
      </c>
      <c r="X1" s="50" t="s">
        <v>146</v>
      </c>
      <c r="Y1" s="29"/>
      <c r="Z1" s="29"/>
      <c r="AA1" s="29"/>
      <c r="AB1" s="29"/>
      <c r="AC1" s="29"/>
      <c r="AD1" s="29"/>
      <c r="AE1" s="29"/>
    </row>
    <row r="2" spans="1:31" ht="19.899999999999999" customHeight="1">
      <c r="A2" s="29"/>
      <c r="B2" s="29" t="s">
        <v>59</v>
      </c>
      <c r="C2" s="29" t="s">
        <v>60</v>
      </c>
      <c r="D2" s="29"/>
      <c r="E2" s="29"/>
      <c r="F2" s="29"/>
      <c r="G2" s="50">
        <v>1</v>
      </c>
      <c r="H2" s="50">
        <f>IF('Summary of shell design'!C1="None","None",'Summary of shell design'!C1*12)</f>
        <v>96</v>
      </c>
      <c r="I2" s="50">
        <f t="shared" ref="I2:I11" si="0">IF(H2="None","None",$D$13)</f>
        <v>0.375</v>
      </c>
      <c r="J2" s="50">
        <f>IF(H2="None","None",'Summary of shell design'!C21)</f>
        <v>0.92316630298156055</v>
      </c>
      <c r="K2" s="50">
        <f>IF(H2="None","None",H2*SQRT((I2/J2)^5))</f>
        <v>10.096004679167153</v>
      </c>
      <c r="L2" s="50">
        <f>IF(H2="None","None",K2)</f>
        <v>10.096004679167153</v>
      </c>
      <c r="M2" s="50" t="str">
        <f>IF($K$19="no intermediate","None",IF(L2&gt;L13,"Here", "None"))</f>
        <v>None</v>
      </c>
      <c r="N2" s="50" t="str">
        <f>IF(M2="Here",L13/K2*H2,"None")</f>
        <v>None</v>
      </c>
      <c r="O2" s="50" t="str">
        <f>IF(M2="Here", IF(H2-N2&lt;6, H2-6,N2),"None")</f>
        <v>None</v>
      </c>
      <c r="P2" s="50" t="str">
        <f>IF($K$20="no intermediate","None",IF(L2&gt;$M$13,"Here","None"))</f>
        <v>None</v>
      </c>
      <c r="Q2" s="50" t="str">
        <f>IF(P2="Here",$M$13/K2*H2,"None")</f>
        <v>None</v>
      </c>
      <c r="R2" s="50" t="str">
        <f>IF(P2="Here", IF(SUM($H$2)-Q2&lt;6, H2-6,Q2),"None")</f>
        <v>None</v>
      </c>
      <c r="S2" s="50" t="str">
        <f>IF($K$21="no intermediate","None",IF(L2&gt;$N$13,"Here","None"))</f>
        <v>None</v>
      </c>
      <c r="T2" s="50" t="str">
        <f>IF(S2="Here",$N$13/K2*H2,"None")</f>
        <v>None</v>
      </c>
      <c r="U2" s="50" t="str">
        <f>IF(S2="Here", IF(SUM($H$2)-T2&lt;6, $H$2-6,T2),"None")</f>
        <v>None</v>
      </c>
      <c r="V2" s="50" t="str">
        <f>IF($K$22="no intermediate","None",IF(L2&gt;$O$13,"Here", "None"))</f>
        <v>None</v>
      </c>
      <c r="W2" s="50" t="str">
        <f>IF(V2="Here",$O$13/K2*H2,"None")</f>
        <v>None</v>
      </c>
      <c r="X2" s="50" t="str">
        <f>IF(V2="Here", IF(SUM($H$2)-W2&lt;6, $H$2-6,W2),"None")</f>
        <v>None</v>
      </c>
      <c r="Y2" s="29"/>
      <c r="Z2" s="29"/>
      <c r="AA2" s="29"/>
      <c r="AB2" s="29"/>
      <c r="AC2" s="29"/>
      <c r="AD2" s="29"/>
      <c r="AE2" s="29"/>
    </row>
    <row r="3" spans="1:31" ht="19.899999999999999" customHeight="1">
      <c r="A3" s="49" t="s">
        <v>147</v>
      </c>
      <c r="B3" s="49"/>
      <c r="C3" s="57" t="s">
        <v>148</v>
      </c>
      <c r="D3" s="60">
        <f>MIN(INPUT!C32,INPUT!C33)</f>
        <v>35000</v>
      </c>
      <c r="E3" s="49" t="s">
        <v>64</v>
      </c>
      <c r="F3" s="29"/>
      <c r="G3" s="50">
        <v>2</v>
      </c>
      <c r="H3" s="50">
        <f>IF('Summary of shell design'!C2="None","None",'Summary of shell design'!C2*12)</f>
        <v>96</v>
      </c>
      <c r="I3" s="50">
        <f t="shared" si="0"/>
        <v>0.375</v>
      </c>
      <c r="J3" s="50">
        <f>IF(H3="None","None",'Summary of shell design'!C22)</f>
        <v>0.69885949906841749</v>
      </c>
      <c r="K3" s="50">
        <f t="shared" ref="K3:K11" si="1">IF(H3="None","None",H3*SQRT((I3/J3)^5))</f>
        <v>20.247654470510348</v>
      </c>
      <c r="L3" s="50">
        <f>IF(H3="None","None",L2+K3)</f>
        <v>30.343659149677499</v>
      </c>
      <c r="M3" s="66" t="str">
        <f t="shared" ref="M3:M11" si="2">IF($K$19="no intermediate","None",IF(AND(L3&gt;$L$13,L2&lt;=$L$13 ),"Here","None"))</f>
        <v>None</v>
      </c>
      <c r="N3" s="50" t="str">
        <f>IF(M3="Here",(1-(L3-$L$13)/K3)*H3+SUM(H2),"None")</f>
        <v>None</v>
      </c>
      <c r="O3" s="50" t="str">
        <f>IF(M3="Here", IF(N3-H2&lt;6, H2-6,IF((SUM(H2:H3)-N3)&lt;6,SUM(H2:H3)-6,N3)),"None")</f>
        <v>None</v>
      </c>
      <c r="P3" s="66" t="str">
        <f>IF($K$20="no intermediate","None",IF(OR(AND(L3&gt;$M$13,L2&lt;=$M$13 ),AND(L3&gt;$M$15,L2&lt;=$M$15)),"Here","None"))</f>
        <v>None</v>
      </c>
      <c r="Q3" s="50" t="str">
        <f>IF(P3="Here",IF(AND(L3&gt;$M$13,L2&lt;=$M$13 ),(K3-(L3-$M$13))/K3*H3+SUM($H$2:H2),(K3-(L3-$M$15))/K3*H3+SUM($H$2:H2)),"None")</f>
        <v>None</v>
      </c>
      <c r="R3" s="50" t="str">
        <f>IF(P3="Here", IF(Q3-SUM($H$2)&lt;6, SUM($H$2)-6,IF((SUM($H$2:H3)-Q3)&lt;6,SUM($H$2:H3)-6,Q3)),"None")</f>
        <v>None</v>
      </c>
      <c r="S3" s="66" t="str">
        <f>IF($K$21="no intermediate","None",IF(OR(AND(L3&gt;$N$15,L2&lt;=$N$15),AND(L3&gt;$N$13,L2&lt;=$N$13),AND(L3&gt;$L$13,L2&lt;=$L$13 )),"Here","None"))</f>
        <v>None</v>
      </c>
      <c r="T3" s="50" t="str">
        <f>IF(S3="Here",IF(AND(L3&gt;$N$13,L2&lt;=$N$13),(K3-(L3-$N$13))/K3*H3+SUM($H$2:H2),IF(AND(L3&gt;$L$13,L2&lt;=$L$13),(K3-(L3-$L$13))/K3*H3+SUM($H$2:H2),(K3-(L3-$N$15))/K3*H3+SUM($H$2:H2))),"None")</f>
        <v>None</v>
      </c>
      <c r="U3" s="50" t="str">
        <f>IF(S3="Here", IF(T3-SUM($H$2)&lt;6, SUM($H$2)-6,IF((SUM($H$2:H3)-T3)&lt;6,SUM($H$2:H3)-6,T3)),"None")</f>
        <v>None</v>
      </c>
      <c r="V3" s="66" t="str">
        <f>IF($K$22="no intermediate","None",IF(OR(AND(L3&gt;$O$13,L2&lt;=$O$13 ),AND(L3&gt;$O$15,L2&lt;=$O$15),AND(L3&gt;$O$17,L2&lt;=$O$17),AND(L3&gt;$O$19,L2&lt;=$O$19)),"Here","None"))</f>
        <v>None</v>
      </c>
      <c r="W3" s="50" t="str">
        <f>IF(V3="Here",IF(AND(L3&gt;$O$13,L2&lt;=$O$13 ),(K3-(L3-$O$13))/K3*H3+SUM($H$2:H2),IF(AND(L3&gt;$O$15,L2&lt;=$O$15),(K3-(L3-$O$15))/K3*H3+SUM($H$2:H2),IF(AND(L3&gt;$O$17,L2&lt;=$O$17),(K3-(L3-$O$17))/K3*H3+SUM($H$2:H2),(K3-(L3-$O$19))/K3*H3+SUM($H$2:H2)))),"None")</f>
        <v>None</v>
      </c>
      <c r="X3" s="50" t="str">
        <f>IF(V3="Here", IF(W3-SUM($H$2)&lt;6, SUM($H$2)-6,IF((SUM($H$2:H3)-W3)&lt;6,SUM($H$2:H3)-6,W3)),"None")</f>
        <v>None</v>
      </c>
      <c r="Y3" s="29"/>
      <c r="Z3" s="29"/>
      <c r="AA3" s="29"/>
      <c r="AB3" s="29"/>
      <c r="AC3" s="29"/>
      <c r="AD3" s="29"/>
      <c r="AE3" s="29"/>
    </row>
    <row r="4" spans="1:31" ht="19.899999999999999" customHeight="1">
      <c r="A4" s="49" t="s">
        <v>147</v>
      </c>
      <c r="B4" s="49"/>
      <c r="C4" s="57" t="s">
        <v>149</v>
      </c>
      <c r="D4" s="60">
        <v>30000</v>
      </c>
      <c r="E4" s="49" t="s">
        <v>64</v>
      </c>
      <c r="F4" s="29"/>
      <c r="G4" s="50">
        <v>3</v>
      </c>
      <c r="H4" s="50">
        <f>IF('Summary of shell design'!C3="None","None",'Summary of shell design'!C3*12)</f>
        <v>96</v>
      </c>
      <c r="I4" s="50">
        <f t="shared" si="0"/>
        <v>0.375</v>
      </c>
      <c r="J4" s="50">
        <f>IF(H4="None","None",'Summary of shell design'!C23)</f>
        <v>0.51793892021498311</v>
      </c>
      <c r="K4" s="50">
        <f t="shared" si="1"/>
        <v>42.820628241323313</v>
      </c>
      <c r="L4" s="50">
        <f t="shared" ref="L4:L11" si="3">IF(H4="None","None",L3+K4)</f>
        <v>73.164287391000812</v>
      </c>
      <c r="M4" s="66" t="str">
        <f t="shared" si="2"/>
        <v>None</v>
      </c>
      <c r="N4" s="50" t="str">
        <f>IF(M4="Here",(1-(L4-$L$13)/K4)*H4+SUM(H2:H3),"None")</f>
        <v>None</v>
      </c>
      <c r="O4" s="50" t="str">
        <f>IF(M4="Here", IF((N4-SUM($H$2:H3))&lt;6, SUM($H$2:H3)-6,IF((SUM($H$2:H4)-N4)&lt;6,SUM($H$2:H4)-6,N4)),"None")</f>
        <v>None</v>
      </c>
      <c r="P4" s="66" t="str">
        <f t="shared" ref="P4:P8" si="4">IF($K$20="no intermediate","None",IF(OR(AND(L4&gt;$M$13,L3&lt;=$M$13 ),AND(L4&gt;$M$15,L3&lt;=$M$15)),"Here","None"))</f>
        <v>None</v>
      </c>
      <c r="Q4" s="50" t="str">
        <f>IF(P4="Here",IF(AND(L4&gt;$M$13,L3&lt;=$M$13 ),(K4-(L4-$M$13))/K4*H4+SUM($H$2:H3),(K4-(L4-$M$15))/K4*H4+SUM($H$2:H3)),"None")</f>
        <v>None</v>
      </c>
      <c r="R4" s="50" t="str">
        <f>IF(P4="Here", IF((Q4-SUM($H$2:H3))&lt;6, SUM($H$2:H3)-6,IF((SUM($H$2:H4)-Q4)&lt;6,SUM($H$2:H4)-6,Q4)),"None")</f>
        <v>None</v>
      </c>
      <c r="S4" s="66" t="str">
        <f t="shared" ref="S4:S11" si="5">IF($K$21="no intermediate","None",IF(OR(AND(L4&gt;$N$15,L3&lt;=$N$15),AND(L4&gt;$N$13,L3&lt;=$N$13),AND(L4&gt;$L$13,L3&lt;=$L$13 )),"Here","None"))</f>
        <v>None</v>
      </c>
      <c r="T4" s="50" t="str">
        <f>IF(S4="Here",IF(AND(L4&gt;$N$13,L3&lt;=$N$13),(K4-(L4-$N$13))/K4*H4+SUM($H$2:H3),IF(AND(L4&gt;$L$13,L3&lt;=$L$13),(K4-(L4-$L$13))/K4*H4+SUM($H$2:H3),(K4-(L4-$N$15))/K4*H4+SUM($H$2:H3))),"None")</f>
        <v>None</v>
      </c>
      <c r="U4" s="50" t="str">
        <f>IF(S4="Here", IF((T4-SUM($H$2:H3))&lt;6, SUM($H$2:H3)-6,IF((SUM($H$2:H4)-T4)&lt;6,SUM($H$2:H4)-6,T4)),"None")</f>
        <v>None</v>
      </c>
      <c r="V4" s="66" t="str">
        <f t="shared" ref="V4:V11" si="6">IF($K$22="no intermediate","None",IF(OR(AND(L4&gt;$O$13,L3&lt;=$O$13 ),AND(L4&gt;$O$15,L3&lt;=$O$15),AND(L4&gt;$O$17,L3&lt;=$O$17),AND(L4&gt;$O$19,L3&lt;=$O$19)),"Here","None"))</f>
        <v>None</v>
      </c>
      <c r="W4" s="50" t="str">
        <f>IF(V4="Here",IF(AND(L4&gt;$O$13,L3&lt;=$O$13 ),(K4-(L4-$O$13))/K4*H4+SUM($H$2:H3),IF(AND(L4&gt;$O$15,L3&lt;=$O$15),(K4-(L4-$O$15))/K4*H4+SUM($H$2:H3),IF(AND(L4&gt;$O$17,L3&lt;=$O$17),(K4-(L4-$O$17))/K4*H4+SUM($H$2:H3),(K4-(L4-$O$19))/K4*H4+SUM($H$2:H3)))),"None")</f>
        <v>None</v>
      </c>
      <c r="X4" s="50" t="str">
        <f>IF(V4="Here", IF((W4-SUM($H$2:H3))&lt;6, SUM($H$2:H3)-6,IF((SUM($H$2:H4)-W4)&lt;6,SUM($H$2:H4)-6,W4)),"None")</f>
        <v>None</v>
      </c>
      <c r="Y4" s="29"/>
      <c r="Z4" s="29"/>
      <c r="AA4" s="29"/>
      <c r="AB4" s="29"/>
      <c r="AC4" s="29"/>
      <c r="AD4" s="29"/>
      <c r="AE4" s="29"/>
    </row>
    <row r="5" spans="1:31" ht="30" customHeight="1">
      <c r="A5" s="49" t="s">
        <v>147</v>
      </c>
      <c r="B5" s="49" t="s">
        <v>150</v>
      </c>
      <c r="C5" s="58" t="s">
        <v>151</v>
      </c>
      <c r="D5" s="60">
        <f>MIN(D4,D3)</f>
        <v>30000</v>
      </c>
      <c r="E5" s="49" t="s">
        <v>64</v>
      </c>
      <c r="F5" s="29"/>
      <c r="G5" s="50">
        <v>4</v>
      </c>
      <c r="H5" s="50">
        <f>IF('Summary of shell design'!C4="None","None",'Summary of shell design'!C4*12)</f>
        <v>96</v>
      </c>
      <c r="I5" s="50">
        <f t="shared" si="0"/>
        <v>0.375</v>
      </c>
      <c r="J5" s="50">
        <f>IF(H5="None","None",'Summary of shell design'!C24)</f>
        <v>0.375</v>
      </c>
      <c r="K5" s="50">
        <f t="shared" si="1"/>
        <v>96</v>
      </c>
      <c r="L5" s="50">
        <f t="shared" si="3"/>
        <v>169.16428739100081</v>
      </c>
      <c r="M5" s="66" t="str">
        <f t="shared" si="2"/>
        <v>None</v>
      </c>
      <c r="N5" s="50" t="str">
        <f>IF(M5="Here",(1-(L5-$L$13)/K5)*H5+SUM(H2:H4),"None")</f>
        <v>None</v>
      </c>
      <c r="O5" s="50" t="str">
        <f>IF(M5="Here", IF((N5-SUM($H$2:H4))&lt;6, SUM($H$2:H4)-6,IF((SUM($H$2:H5)-N5)&lt;6,SUM($H$2:H5)-6,N5)),"None")</f>
        <v>None</v>
      </c>
      <c r="P5" s="66" t="str">
        <f t="shared" si="4"/>
        <v>None</v>
      </c>
      <c r="Q5" s="50" t="str">
        <f>IF(P5="Here",IF(AND(L5&gt;$M$13,L4&lt;=$M$13 ),(K5-(L5-$M$13))/K5*H5+SUM($H$2:H4),(K5-(L5-$M$15))/K5*H5+SUM($H$2:H4)),"None")</f>
        <v>None</v>
      </c>
      <c r="R5" s="50" t="str">
        <f>IF(P5="Here", IF((Q5-SUM($H$2:H4))&lt;6, SUM($H$2:H4)-6,IF((SUM($H$2:H5)-Q5)&lt;6,SUM($H$2:H5)-6,Q5)),"None")</f>
        <v>None</v>
      </c>
      <c r="S5" s="66" t="str">
        <f t="shared" si="5"/>
        <v>None</v>
      </c>
      <c r="T5" s="50" t="str">
        <f>IF(S5="Here",IF(AND(L5&gt;$N$13,L4&lt;=$N$13),(K5-(L5-$N$13))/K5*H5+SUM($H$2:H4),IF(AND(L5&gt;$L$13,L4&lt;=$L$13),(K5-(L5-$L$13))/K5*H5+SUM($H$2:H4),(K5-(L5-$N$15))/K5*H5+SUM($H$2:H4))),"None")</f>
        <v>None</v>
      </c>
      <c r="U5" s="50" t="str">
        <f>IF(S5="Here", IF((T5-SUM($H$2:H4))&lt;6, SUM($H$2:H4)-6,IF((SUM($H$2:H5)-T5)&lt;6,SUM($H$2:H5)-6,T5)),"None")</f>
        <v>None</v>
      </c>
      <c r="V5" s="66" t="str">
        <f t="shared" si="6"/>
        <v>None</v>
      </c>
      <c r="W5" s="50" t="str">
        <f>IF(V5="Here",IF(AND(L5&gt;$O$13,L4&lt;=$O$13 ),(K5-(L5-$O$13))/K5*H5+SUM($H$2:H4),IF(AND(L5&gt;$O$15,L4&lt;=$O$15),(K5-(L5-$O$15))/K5*H5+SUM($H$2:H4),IF(AND(L5&gt;$O$17,L4&lt;=$O$17),(K5-(L5-$O$17))/K5*H5+SUM($H$2:H4),(K5-(L5-$O$19))/K5*H5+SUM($H$2:H4)))),"None")</f>
        <v>None</v>
      </c>
      <c r="X5" s="50" t="str">
        <f>IF(V5="Here", IF((W5-SUM($H$2:H4))&lt;6, SUM($H$2:H4)-6,IF((SUM($H$2:H5)-W5)&lt;6,SUM($H$2:H5)-6,W5)),"None")</f>
        <v>None</v>
      </c>
      <c r="Y5" s="29"/>
      <c r="Z5" s="29"/>
      <c r="AA5" s="29"/>
      <c r="AB5" s="29"/>
      <c r="AC5" s="29"/>
      <c r="AD5" s="29"/>
      <c r="AE5" s="29"/>
    </row>
    <row r="6" spans="1:31" ht="19.899999999999999" customHeight="1">
      <c r="A6" s="49" t="s">
        <v>147</v>
      </c>
      <c r="B6" s="49" t="s">
        <v>8</v>
      </c>
      <c r="C6" s="57" t="s">
        <v>152</v>
      </c>
      <c r="D6" s="60">
        <f xml:space="preserve"> IF(INPUT!C4&gt;=200, 200,INPUT!C4)</f>
        <v>200</v>
      </c>
      <c r="E6" s="49" t="s">
        <v>10</v>
      </c>
      <c r="F6" s="29"/>
      <c r="G6" s="50">
        <v>5</v>
      </c>
      <c r="H6" s="50">
        <f>IF('Summary of shell design'!C5="None","None",'Summary of shell design'!C5*12)</f>
        <v>96</v>
      </c>
      <c r="I6" s="50">
        <f t="shared" si="0"/>
        <v>0.375</v>
      </c>
      <c r="J6" s="50">
        <f>IF(H6="None","None",'Summary of shell design'!C25)</f>
        <v>0.375</v>
      </c>
      <c r="K6" s="50">
        <f t="shared" si="1"/>
        <v>96</v>
      </c>
      <c r="L6" s="50">
        <f t="shared" si="3"/>
        <v>265.16428739100081</v>
      </c>
      <c r="M6" s="66" t="str">
        <f t="shared" si="2"/>
        <v>None</v>
      </c>
      <c r="N6" s="50" t="str">
        <f>IF(M6="Here",(1-(L6-$L$13)/K6)*H6+SUM(H2:H5),"None")</f>
        <v>None</v>
      </c>
      <c r="O6" s="50" t="str">
        <f>IF(M6="Here", IF((N6-SUM($H$2:H5))&lt;6, SUM($H$2:H5)-6,IF((SUM($H$2:H6)-N6)&lt;6,SUM($H$2:H6)-6,N6)),"None")</f>
        <v>None</v>
      </c>
      <c r="P6" s="66" t="str">
        <f t="shared" si="4"/>
        <v>None</v>
      </c>
      <c r="Q6" s="50" t="str">
        <f>IF(P6="Here",IF(AND(L6&gt;$M$13,L5&lt;=$M$13 ),(K6-(L6-$M$13))/K6*H6+SUM($H$2:H5),(K6-(L6-$M$15))/K6*H6+SUM($H$2:H5)),"None")</f>
        <v>None</v>
      </c>
      <c r="R6" s="50" t="str">
        <f>IF(P6="Here", IF((Q6-SUM($H$2:H5))&lt;6, SUM($H$2:H5)-6,IF((SUM($H$2:H6)-Q6)&lt;6,SUM($H$2:H6)-6,Q6)),"None")</f>
        <v>None</v>
      </c>
      <c r="S6" s="66" t="str">
        <f t="shared" si="5"/>
        <v>None</v>
      </c>
      <c r="T6" s="50" t="str">
        <f>IF(S6="Here",IF(AND(L6&gt;$N$13,L5&lt;=$N$13),(K6-(L6-$N$13))/K6*H6+SUM($H$2:H5),IF(AND(L6&gt;$L$13,L5&lt;=$L$13),(K6-(L6-$L$13))/K6*H6+SUM($H$2:H5),(K6-(L6-$N$15))/K6*H6+SUM($H$2:H5))),"None")</f>
        <v>None</v>
      </c>
      <c r="U6" s="50" t="str">
        <f>IF(S6="Here", IF((T6-SUM($H$2:H5))&lt;6, SUM($H$2:H5)-6,IF((SUM($H$2:H6)-T6)&lt;6,SUM($H$2:H6)-6,T6)),"None")</f>
        <v>None</v>
      </c>
      <c r="V6" s="66" t="str">
        <f t="shared" si="6"/>
        <v>None</v>
      </c>
      <c r="W6" s="50" t="str">
        <f>IF(V6="Here",IF(AND(L6&gt;$O$13,L5&lt;=$O$13 ),(K6-(L6-$O$13))/K6*H6+SUM($H$2:H5),IF(AND(L6&gt;$O$15,L5&lt;=$O$15),(K6-(L6-$O$15))/K6*H6+SUM($H$2:H5),IF(AND(L6&gt;$O$17,L5&lt;=$O$17),(K6-(L6-$O$17))/K6*H6+SUM($H$2:H5),(K6-(L6-$O$19))/K6*H6+SUM($H$2:H5)))),"None")</f>
        <v>None</v>
      </c>
      <c r="X6" s="50" t="str">
        <f>IF(V6="Here", IF((W6-SUM($H$2:H5))&lt;6, SUM($H$2:H5)-6,IF((SUM($H$2:H6)-W6)&lt;6,SUM($H$2:H6)-6,W6)),"None")</f>
        <v>None</v>
      </c>
      <c r="Y6" s="29"/>
      <c r="Z6" s="29"/>
      <c r="AA6" s="29"/>
      <c r="AB6" s="29"/>
      <c r="AC6" s="29"/>
      <c r="AD6" s="29"/>
      <c r="AE6" s="29"/>
    </row>
    <row r="7" spans="1:31" ht="19.899999999999999" customHeight="1">
      <c r="A7" s="49" t="s">
        <v>147</v>
      </c>
      <c r="B7" s="49" t="s">
        <v>153</v>
      </c>
      <c r="C7" s="57" t="s">
        <v>60</v>
      </c>
      <c r="D7" s="60">
        <f>1.5/0.5/D5*INPUT!C6*D6^2*('Wind speed'!H5/36)</f>
        <v>117.90123456790126</v>
      </c>
      <c r="E7" s="49" t="s">
        <v>154</v>
      </c>
      <c r="F7" s="29" cm="1">
        <f t="array" ref="F7:F9">1.5/0.5/D5*INPUT!C6*D6^2*('Wind speed'!D2:D4/120)^2</f>
        <v>111.11111111111113</v>
      </c>
      <c r="G7" s="50">
        <v>6</v>
      </c>
      <c r="H7" s="50" t="str">
        <f>IF('Summary of shell design'!C6="None","None",'Summary of shell design'!C6*12)</f>
        <v>None</v>
      </c>
      <c r="I7" s="50" t="str">
        <f t="shared" si="0"/>
        <v>None</v>
      </c>
      <c r="J7" s="50" t="str">
        <f>IF(H7="None","None",'Summary of shell design'!C26)</f>
        <v>None</v>
      </c>
      <c r="K7" s="50" t="str">
        <f t="shared" si="1"/>
        <v>None</v>
      </c>
      <c r="L7" s="50" t="str">
        <f t="shared" si="3"/>
        <v>None</v>
      </c>
      <c r="M7" s="66" t="str">
        <f t="shared" si="2"/>
        <v>None</v>
      </c>
      <c r="N7" s="50" t="str">
        <f>IF(M7="Here",(1-(L7-$L$13)/K7)*H7+SUM(H2:H6),"None")</f>
        <v>None</v>
      </c>
      <c r="O7" s="50" t="str">
        <f>IF(M7="Here", IF((N7-SUM($H$2:H6))&lt;6, SUM($H$2:H6)-6,IF((SUM($H$2:H7)-N7)&lt;6,SUM($H$2:H7)-6,N7)),"None")</f>
        <v>None</v>
      </c>
      <c r="P7" s="66" t="str">
        <f t="shared" si="4"/>
        <v>None</v>
      </c>
      <c r="Q7" s="50" t="str">
        <f>IF(P7="Here",IF(AND(L7&gt;$M$13,L6&lt;=$M$13 ),(K7-(L7-$M$13))/K7*H7+SUM($H$2:H6),(K7-(L7-$M$15))/K7*H7+SUM($H$2:H6)),"None")</f>
        <v>None</v>
      </c>
      <c r="R7" s="50" t="str">
        <f>IF(P7="Here", IF((Q7-SUM($H$2:H6))&lt;6, SUM($H$2:H6)-6,IF((SUM($H$2:H7)-Q7)&lt;6,SUM($H$2:H7)-6,Q7)),"None")</f>
        <v>None</v>
      </c>
      <c r="S7" s="66" t="str">
        <f t="shared" si="5"/>
        <v>None</v>
      </c>
      <c r="T7" s="50" t="str">
        <f>IF(S7="Here",IF(AND(L7&gt;$N$13,L6&lt;=$N$13),(K7-(L7-$N$13))/K7*H7+SUM($H$2:H6),IF(AND(L7&gt;$L$13,L6&lt;=$L$13),(K7-(L7-$L$13))/K7*H7+SUM($H$2:H6),(K7-(L7-$N$15))/K7*H7+SUM($H$2:H6))),"None")</f>
        <v>None</v>
      </c>
      <c r="U7" s="50" t="str">
        <f>IF(S7="Here", IF((T7-SUM($H$2:H6))&lt;6, SUM($H$2:H6)-6,IF((SUM($H$2:H7)-T7)&lt;6,SUM($H$2:H7)-6,T7)),"None")</f>
        <v>None</v>
      </c>
      <c r="V7" s="66" t="str">
        <f t="shared" si="6"/>
        <v>None</v>
      </c>
      <c r="W7" s="50" t="str">
        <f>IF(V7="Here",IF(AND(L7&gt;$O$13,L6&lt;=$O$13 ),(K7-(L7-$O$13))/K7*H7+SUM($H$2:H6),IF(AND(L7&gt;$O$15,L6&lt;=$O$15),(K7-(L7-$O$15))/K7*H7+SUM($H$2:H6),IF(AND(L7&gt;$O$17,L6&lt;=$O$17),(K7-(L7-$O$17))/K7*H7+SUM($H$2:H6),(K7-(L7-$O$19))/K7*H7+SUM($H$2:H6)))),"None")</f>
        <v>None</v>
      </c>
      <c r="X7" s="50" t="str">
        <f>IF(V7="Here", IF((W7-SUM($H$2:H6))&lt;6, SUM($H$2:H6)-6,IF((SUM($H$2:H7)-W7)&lt;6,SUM($H$2:H7)-6,W7)),"None")</f>
        <v>None</v>
      </c>
      <c r="Y7" s="29"/>
      <c r="Z7" s="29"/>
      <c r="AA7" s="29"/>
      <c r="AB7" s="29"/>
      <c r="AC7" s="29"/>
      <c r="AD7" s="29"/>
      <c r="AE7" s="29"/>
    </row>
    <row r="8" spans="1:31" ht="19.899999999999999" customHeight="1">
      <c r="A8" s="49"/>
      <c r="B8" s="49"/>
      <c r="C8" s="57" t="s">
        <v>155</v>
      </c>
      <c r="D8" s="60">
        <f>IF(INPUT!C34="1-Foot Method", '1-Foot Method'!K13,'VDP Method'!L13)</f>
        <v>0.375</v>
      </c>
      <c r="E8" s="49" t="s">
        <v>7</v>
      </c>
      <c r="F8" s="29">
        <v>0</v>
      </c>
      <c r="G8" s="50">
        <v>7</v>
      </c>
      <c r="H8" s="50" t="str">
        <f>IF('Summary of shell design'!C7="None","None",'Summary of shell design'!C7*12)</f>
        <v>None</v>
      </c>
      <c r="I8" s="50" t="str">
        <f t="shared" si="0"/>
        <v>None</v>
      </c>
      <c r="J8" s="50" t="str">
        <f>IF(H8="None","None",'Summary of shell design'!C27)</f>
        <v>None</v>
      </c>
      <c r="K8" s="50" t="str">
        <f t="shared" si="1"/>
        <v>None</v>
      </c>
      <c r="L8" s="50" t="str">
        <f t="shared" si="3"/>
        <v>None</v>
      </c>
      <c r="M8" s="66" t="str">
        <f t="shared" si="2"/>
        <v>None</v>
      </c>
      <c r="N8" s="50" t="str">
        <f>IF(M8="Here",(1-(L8-$L$13)/K8)*H8+SUM(H2:H7),"None")</f>
        <v>None</v>
      </c>
      <c r="O8" s="50" t="str">
        <f>IF(M8="Here", IF((N8-SUM($H$2:H7))&lt;6, SUM($H$2:H7)-6,IF((SUM($H$2:H8)-N8)&lt;6,SUM($H$2:H8)-6,N8)),"None")</f>
        <v>None</v>
      </c>
      <c r="P8" s="66" t="str">
        <f t="shared" si="4"/>
        <v>None</v>
      </c>
      <c r="Q8" s="50" t="str">
        <f>IF(P8="Here",IF(AND(L8&gt;$M$13,L7&lt;=$M$13 ),(K8-(L8-$M$13))/K8*H8+SUM($H$2:H7),(K8-(L8-$M$15))/K8*H8+SUM($H$2:H7)),"None")</f>
        <v>None</v>
      </c>
      <c r="R8" s="50" t="str">
        <f>IF(P8="Here", IF((Q8-SUM($H$2:H7))&lt;6, SUM($H$2:H7)-6,IF((SUM($H$2:H8)-Q8)&lt;6,SUM($H$2:H8)-6,Q8)),"None")</f>
        <v>None</v>
      </c>
      <c r="S8" s="66" t="str">
        <f t="shared" si="5"/>
        <v>None</v>
      </c>
      <c r="T8" s="50" t="str">
        <f>IF(S8="Here",IF(AND(L8&gt;$N$13,L7&lt;=$N$13),(K8-(L8-$N$13))/K8*H8+SUM($H$2:H7),IF(AND(L8&gt;$L$13,L7&lt;=$L$13),(K8-(L8-$L$13))/K8*H8+SUM($H$2:H7),(K8-(L8-$N$15))/K8*H8+SUM($H$2:H7))),"None")</f>
        <v>None</v>
      </c>
      <c r="U8" s="50" t="str">
        <f>IF(S8="Here", IF((T8-SUM($H$2:H7))&lt;6, SUM($H$2:H7)-6,IF((SUM($H$2:H8)-T8)&lt;6,SUM($H$2:H8)-6,T8)),"None")</f>
        <v>None</v>
      </c>
      <c r="V8" s="66" t="str">
        <f t="shared" si="6"/>
        <v>None</v>
      </c>
      <c r="W8" s="50" t="str">
        <f>IF(V8="Here",IF(AND(L8&gt;$O$13,L7&lt;=$O$13 ),(K8-(L8-$O$13))/K8*H8+SUM($H$2:H7),IF(AND(L8&gt;$O$15,L7&lt;=$O$15),(K8-(L8-$O$15))/K8*H8+SUM($H$2:H7),IF(AND(L8&gt;$O$17,L7&lt;=$O$17),(K8-(L8-$O$17))/K8*H8+SUM($H$2:H7),(K8-(L8-$O$19))/K8*H8+SUM($H$2:H7)))),"None")</f>
        <v>None</v>
      </c>
      <c r="X8" s="50" t="str">
        <f>IF(V8="Here", IF((W8-SUM($H$2:H7))&lt;6, SUM($H$2:H7)-6,IF((SUM($H$2:H8)-W8)&lt;6,SUM($H$2:H8)-6,W8)),"None")</f>
        <v>None</v>
      </c>
      <c r="Y8" s="29"/>
      <c r="Z8" s="29"/>
      <c r="AA8" s="29"/>
      <c r="AB8" s="29"/>
      <c r="AC8" s="29"/>
      <c r="AD8" s="29"/>
      <c r="AE8" s="29"/>
    </row>
    <row r="9" spans="1:31" ht="19.899999999999999" customHeight="1">
      <c r="A9" s="49" t="s">
        <v>70</v>
      </c>
      <c r="B9" s="49"/>
      <c r="C9" s="57" t="s">
        <v>156</v>
      </c>
      <c r="D9" s="60" t="str">
        <f>IF(INPUT!C36&gt;2,IF(D8=3/16,2.5*2.5*3/16,3*3*1/4), "None")</f>
        <v>None</v>
      </c>
      <c r="E9" s="49"/>
      <c r="F9" s="29">
        <v>0</v>
      </c>
      <c r="G9" s="50">
        <v>8</v>
      </c>
      <c r="H9" s="50" t="str">
        <f>IF('Summary of shell design'!C8="None","None",'Summary of shell design'!C8*12)</f>
        <v>None</v>
      </c>
      <c r="I9" s="50" t="str">
        <f t="shared" si="0"/>
        <v>None</v>
      </c>
      <c r="J9" s="50" t="str">
        <f>IF(H9="None","None",'Summary of shell design'!C28)</f>
        <v>None</v>
      </c>
      <c r="K9" s="50" t="str">
        <f t="shared" si="1"/>
        <v>None</v>
      </c>
      <c r="L9" s="50" t="str">
        <f t="shared" si="3"/>
        <v>None</v>
      </c>
      <c r="M9" s="66" t="str">
        <f t="shared" si="2"/>
        <v>None</v>
      </c>
      <c r="N9" s="50" t="str">
        <f>IF(M9="Here",(1-(L9-$L$13)/K9)*H9+SUM(H2:H8),"None")</f>
        <v>None</v>
      </c>
      <c r="O9" s="50" t="str">
        <f>IF(M9="Here", IF((N9-SUM($H$2:H8))&lt;6, SUM($H$2:H8)-6,IF((SUM($H$2:H9)-N9)&lt;6,SUM($H$2:H9)-6,N9)),"None")</f>
        <v>None</v>
      </c>
      <c r="P9" s="66" t="str">
        <f>IF($K$20="no intermediate","None",IF(OR(AND(L9&gt;$M$13,L8&lt;=$M$13 ),AND(L9&gt;$M$15,L8&lt;=$M$15)),"Here","None"))</f>
        <v>None</v>
      </c>
      <c r="Q9" s="50" t="str">
        <f>IF(P9="Here",IF(AND(L9&gt;$M$13,L8&lt;=$M$13 ),(K9-(L9-$M$13))/K9*H9+SUM($H$2:H8),(K9-(L9-$M$15))/K9*H9+SUM($H$2:H8)),"None")</f>
        <v>None</v>
      </c>
      <c r="R9" s="50" t="str">
        <f>IF(P9="Here", IF((Q9-SUM($H$2:H8))&lt;6, SUM($H$2:H8)-6,IF((SUM($H$2:H9)-Q9)&lt;6,SUM($H$2:H9)-6,Q9)),"None")</f>
        <v>None</v>
      </c>
      <c r="S9" s="66" t="str">
        <f t="shared" si="5"/>
        <v>None</v>
      </c>
      <c r="T9" s="50" t="str">
        <f>IF(S9="Here",IF(AND(L9&gt;$N$13,L8&lt;=$N$13),(K9-(L9-$N$13))/K9*H9+SUM($H$2:H8),IF(AND(L9&gt;$L$13,L8&lt;=$L$13),(K9-(L9-$L$13))/K9*H9+SUM($H$2:H8),(K9-(L9-$N$15))/K9*H9+SUM($H$2:H8))),"None")</f>
        <v>None</v>
      </c>
      <c r="U9" s="50" t="str">
        <f>IF(S9="Here", IF((T9-SUM($H$2:H8))&lt;6, SUM($H$2:H8)-6,IF((SUM($H$2:H9)-T9)&lt;6,SUM($H$2:H9)-6,T9)),"None")</f>
        <v>None</v>
      </c>
      <c r="V9" s="66" t="str">
        <f t="shared" si="6"/>
        <v>None</v>
      </c>
      <c r="W9" s="50" t="str">
        <f>IF(V9="Here",IF(AND(L9&gt;$O$13,L8&lt;=$O$13 ),(K9-(L9-$O$13))/K9*H9+SUM($H$2:H8),IF(AND(L9&gt;$O$15,L8&lt;=$O$15),(K9-(L9-$O$15))/K9*H9+SUM($H$2:H8),IF(AND(L9&gt;$O$17,L8&lt;=$O$17),(K9-(L9-$O$17))/K9*H9+SUM($H$2:H8),(K9-(L9-$O$19))/K9*H9+SUM($H$2:H8)))),"None")</f>
        <v>None</v>
      </c>
      <c r="X9" s="50" t="str">
        <f>IF(V9="Here", IF((W9-SUM($H$2:H8))&lt;6, SUM($H$2:H8)-6,IF((SUM($H$2:H9)-W9)&lt;6,SUM($H$2:H9)-6,W9)),"None")</f>
        <v>None</v>
      </c>
      <c r="Y9" s="29"/>
      <c r="Z9" s="29"/>
      <c r="AA9" s="29"/>
      <c r="AB9" s="29"/>
      <c r="AC9" s="29"/>
      <c r="AD9" s="29"/>
      <c r="AE9" s="29"/>
    </row>
    <row r="10" spans="1:31" ht="19.899999999999999" customHeight="1">
      <c r="A10" s="49" t="s">
        <v>157</v>
      </c>
      <c r="B10" s="49"/>
      <c r="C10" s="57" t="s">
        <v>158</v>
      </c>
      <c r="D10" s="60">
        <f>IF(INPUT!C37="Detail a",'Top angle Design'!K2,IF(INPUT!C37="Detail b",'Top angle Design'!N17,IF(INPUT!C37="Detail c",'Top angle Design'!N31,IF(INPUT!C37="Detail d",'Top angle Design'!P49,IF(INPUT!C37="Detail e",'Top angle Design'!F71,"None")))))</f>
        <v>192.52104511027673</v>
      </c>
      <c r="E10" s="49" t="s">
        <v>154</v>
      </c>
      <c r="F10" s="31" t="str">
        <f>IF(D10&gt;D7,"satisfied","not satisfied")</f>
        <v>satisfied</v>
      </c>
      <c r="G10" s="50">
        <v>9</v>
      </c>
      <c r="H10" s="50" t="str">
        <f>IF('Summary of shell design'!C9="None","None",'Summary of shell design'!C9*12)</f>
        <v>None</v>
      </c>
      <c r="I10" s="50" t="str">
        <f t="shared" si="0"/>
        <v>None</v>
      </c>
      <c r="J10" s="50" t="str">
        <f>IF(H10="None","None",'Summary of shell design'!C29)</f>
        <v>None</v>
      </c>
      <c r="K10" s="50" t="str">
        <f t="shared" si="1"/>
        <v>None</v>
      </c>
      <c r="L10" s="50" t="str">
        <f t="shared" si="3"/>
        <v>None</v>
      </c>
      <c r="M10" s="66" t="str">
        <f t="shared" si="2"/>
        <v>None</v>
      </c>
      <c r="N10" s="50" t="str">
        <f>IF(M10="Here",(1-(L10-$L$13)/K10)*H10+SUM(H2:H9),"None")</f>
        <v>None</v>
      </c>
      <c r="O10" s="50" t="str">
        <f>IF(M10="Here", IF((N10-SUM($H$2:H9))&lt;6, SUM($H$2:H9)-6,IF((SUM($H$2:H10)-N10)&lt;6,SUM($H$2:H10)-6,N10)),"None")</f>
        <v>None</v>
      </c>
      <c r="P10" s="66" t="str">
        <f t="shared" ref="P10:P11" si="7">IF($K$20="no intermediate","None",IF(OR(AND(L10&gt;$M$13,L9&lt;=$M$13 ),AND(L10&gt;$M$15,L9&lt;=$M$15)),"Here","None"))</f>
        <v>None</v>
      </c>
      <c r="Q10" s="50" t="str">
        <f>IF(P10="Here",IF(AND(L10&gt;$M$13,L9&lt;=$M$13 ),(K10-(L10-$M$13))/K10*H10+SUM($H$2:H9),(K10-(L10-$M$15))/K10*H10+SUM($H$2:H9)),"None")</f>
        <v>None</v>
      </c>
      <c r="R10" s="50" t="str">
        <f>IF(P10="Here", IF((Q10-SUM($H$2:H9))&lt;6, SUM($H$2:H9)-6,IF((SUM($H$2:H10)-Q10)&lt;6,SUM($H$2:H10)-6,Q10)),"None")</f>
        <v>None</v>
      </c>
      <c r="S10" s="66" t="str">
        <f t="shared" si="5"/>
        <v>None</v>
      </c>
      <c r="T10" s="50" t="str">
        <f>IF(S10="Here",IF(AND(L10&gt;$N$13,L9&lt;=$N$13),(K10-(L10-$N$13))/K10*H10+SUM($H$2:H9),IF(AND(L10&gt;$L$13,L9&lt;=$L$13),(K10-(L10-$L$13))/K10*H10+SUM($H$2:H9),(K10-(L10-$N$15))/K10*H10+SUM($H$2:H9))),"None")</f>
        <v>None</v>
      </c>
      <c r="U10" s="50" t="str">
        <f>IF(S10="Here", IF((T10-SUM($H$2:H9))&lt;6, SUM($H$2:H9)-6,IF((SUM($H$2:H10)-T10)&lt;6,SUM($H$2:H10)-6,T10)),"None")</f>
        <v>None</v>
      </c>
      <c r="V10" s="66" t="str">
        <f t="shared" si="6"/>
        <v>None</v>
      </c>
      <c r="W10" s="50" t="str">
        <f>IF(V10="Here",IF(AND(L10&gt;$O$13,L9&lt;=$O$13 ),(K10-(L10-$O$13))/K10*H10+SUM($H$2:H9),IF(AND(L10&gt;$O$15,L9&lt;=$O$15),(K10-(L10-$O$15))/K10*H10+SUM($H$2:H9),IF(AND(L10&gt;$O$17,L9&lt;=$O$17),(K10-(L10-$O$17))/K10*H10+SUM($H$2:H9),(K10-(L10-$O$19))/K10*H10+SUM($H$2:H9)))),"None")</f>
        <v>None</v>
      </c>
      <c r="X10" s="50" t="str">
        <f>IF(V10="Here", IF((W10-SUM($H$2:H9))&lt;6, SUM($H$2:H9)-6,IF((SUM($H$2:H10)-W10)&lt;6,SUM($H$2:H10)-6,W10)),"None")</f>
        <v>None</v>
      </c>
      <c r="Y10" s="29"/>
      <c r="Z10" s="29"/>
      <c r="AA10" s="29"/>
      <c r="AB10" s="29"/>
      <c r="AC10" s="29"/>
      <c r="AD10" s="29"/>
      <c r="AE10" s="29"/>
    </row>
    <row r="11" spans="1:31" ht="28.9" customHeight="1">
      <c r="A11" s="49" t="s">
        <v>159</v>
      </c>
      <c r="B11" s="49"/>
      <c r="C11" s="57" t="s">
        <v>160</v>
      </c>
      <c r="D11" s="60">
        <f>IF(INPUT!C31&lt;=200,1,IF(INPUT!C31&lt;=300,((INPUT!C31-200)/100*(-500)+'Wind Shell'!D35)/'Wind Shell'!D35,IF(INPUT!C31&lt;=400,((INPUT!C31-300)/100*(-600)+'Wind Shell'!D36)/'Wind Shell'!D36,IF(INPUT!C31&lt;=500,((INPUT!C31-400)/100*(-400)+'Wind Shell'!D37)/'Wind Shell'!D37,"Worng"))))</f>
        <v>1</v>
      </c>
      <c r="E11" s="49"/>
      <c r="F11" s="29"/>
      <c r="G11" s="50">
        <v>10</v>
      </c>
      <c r="H11" s="50" t="str">
        <f>IF('Summary of shell design'!C10="None","None",'Summary of shell design'!C10*12)</f>
        <v>None</v>
      </c>
      <c r="I11" s="50" t="str">
        <f t="shared" si="0"/>
        <v>None</v>
      </c>
      <c r="J11" s="50" t="str">
        <f>IF(H11="None","None",'Summary of shell design'!C30)</f>
        <v>None</v>
      </c>
      <c r="K11" s="50" t="str">
        <f t="shared" si="1"/>
        <v>None</v>
      </c>
      <c r="L11" s="50" t="str">
        <f t="shared" si="3"/>
        <v>None</v>
      </c>
      <c r="M11" s="66" t="str">
        <f t="shared" si="2"/>
        <v>None</v>
      </c>
      <c r="N11" s="50" t="str">
        <f>IF(M11="Here",(1-(L11-$L$13)/K11)*H11+SUM(H2:H10),"None")</f>
        <v>None</v>
      </c>
      <c r="O11" s="50" t="str">
        <f>IF(M11="Here", IF((N11-SUM($H$2:H10))&lt;6, SUM($H$2:H10)-6,IF((SUM($H$2:H11)-N11)&lt;6,SUM($H$2:H11)-6,N11)),"None")</f>
        <v>None</v>
      </c>
      <c r="P11" s="66" t="str">
        <f t="shared" si="7"/>
        <v>None</v>
      </c>
      <c r="Q11" s="50" t="str">
        <f>IF(P11="Here",IF(AND(L11&gt;$M$13,L10&lt;=$M$13 ),(K11-(L11-$M$13))/K11*H11+SUM($H$2:H10),(K11-(L11-$M$15))/K11*H11+SUM($H$2:H10)),"None")</f>
        <v>None</v>
      </c>
      <c r="R11" s="50" t="str">
        <f>IF(P11="Here", IF((Q11-SUM($H$2:H10))&lt;6, SUM($H$2:H10)-6,IF((SUM($H$2:H11)-Q11)&lt;6,SUM($H$2:H11)-6,Q11)),"None")</f>
        <v>None</v>
      </c>
      <c r="S11" s="66" t="str">
        <f t="shared" si="5"/>
        <v>None</v>
      </c>
      <c r="T11" s="50" t="str">
        <f>IF(S11="Here",IF(AND(L11&gt;$N$13,L10&lt;=$N$13),(K11-(L11-$N$13))/K11*H11+SUM($H$2:H10),IF(AND(L11&gt;$L$13,L10&lt;=$L$13),(K11-(L11-$L$13))/K11*H11+SUM($H$2:H10),(K11-(L11-$N$15))/K11*H11+SUM($H$2:H10))),"None")</f>
        <v>None</v>
      </c>
      <c r="U11" s="50" t="str">
        <f>IF(S11="Here", IF((T11-SUM($H$2:H10))&lt;6, SUM($H$2:H10)-6,IF((SUM($H$2:H11)-T11)&lt;6,SUM($H$2:H11)-6,T11)),"None")</f>
        <v>None</v>
      </c>
      <c r="V11" s="66" t="str">
        <f t="shared" si="6"/>
        <v>None</v>
      </c>
      <c r="W11" s="50" t="str">
        <f>IF(V11="Here",IF(AND(L11&gt;$O$13,L10&lt;=$O$13 ),(K11-(L11-$O$13))/K11*H11+SUM($H$2:H10),IF(AND(L11&gt;$O$15,L10&lt;=$O$15),(K11-(L11-$O$15))/K11*H11+SUM($H$2:H10),IF(AND(L11&gt;$O$17,L10&lt;=$O$17),(K11-(L11-$O$17))/K11*H11+SUM($H$2:H10),(K11-(L11-$O$19))/K11*H11+SUM($H$2:H10)))),"None")</f>
        <v>None</v>
      </c>
      <c r="X11" s="50" t="str">
        <f>IF(V11="Here", IF((W11-SUM($H$2:H10))&lt;6, SUM($H$2:H10)-6,IF((SUM($H$2:H11)-W11)&lt;6,SUM($H$2:H11)-6,W11)),"None")</f>
        <v>None</v>
      </c>
      <c r="Y11" s="29"/>
      <c r="Z11" s="29"/>
      <c r="AA11" s="29"/>
      <c r="AB11" s="29"/>
      <c r="AC11" s="29"/>
      <c r="AD11" s="29"/>
      <c r="AE11" s="29"/>
    </row>
    <row r="12" spans="1:31" ht="19.899999999999999" customHeight="1">
      <c r="A12" s="49" t="s">
        <v>161</v>
      </c>
      <c r="B12" s="49" t="s">
        <v>162</v>
      </c>
      <c r="C12" s="57" t="s">
        <v>163</v>
      </c>
      <c r="D12" s="60">
        <f>600000*D8*SQRT((D8/INPUT!C4)^3)*(36/'Wind speed'!H5)*D11</f>
        <v>22.50365958608792</v>
      </c>
      <c r="E12" s="49" t="s">
        <v>10</v>
      </c>
      <c r="F12" s="29"/>
      <c r="G12" s="29"/>
      <c r="H12" s="30"/>
      <c r="I12" s="30"/>
      <c r="J12" s="30"/>
      <c r="K12" s="67" t="s">
        <v>164</v>
      </c>
      <c r="L12" s="50" t="s">
        <v>165</v>
      </c>
      <c r="M12" s="50" t="s">
        <v>166</v>
      </c>
      <c r="N12" s="50" t="s">
        <v>167</v>
      </c>
      <c r="O12" s="50" t="s">
        <v>168</v>
      </c>
      <c r="P12" s="30"/>
      <c r="Q12" s="30"/>
      <c r="R12" s="30"/>
      <c r="S12" s="30"/>
      <c r="T12" s="30"/>
      <c r="U12" s="30"/>
      <c r="V12" s="30"/>
      <c r="W12" s="30"/>
      <c r="X12" s="29"/>
      <c r="Y12" s="29"/>
      <c r="Z12" s="29"/>
      <c r="AA12" s="29"/>
      <c r="AB12" s="29"/>
      <c r="AC12" s="29"/>
      <c r="AD12" s="29"/>
      <c r="AE12" s="29"/>
    </row>
    <row r="13" spans="1:31" ht="19.899999999999999" customHeight="1">
      <c r="A13" s="49" t="s">
        <v>169</v>
      </c>
      <c r="B13" s="49" t="s">
        <v>170</v>
      </c>
      <c r="C13" s="57" t="s">
        <v>171</v>
      </c>
      <c r="D13" s="60">
        <f>D8</f>
        <v>0.375</v>
      </c>
      <c r="E13" s="49" t="s">
        <v>7</v>
      </c>
      <c r="F13" s="29"/>
      <c r="G13" s="29"/>
      <c r="H13" s="30"/>
      <c r="I13" s="30"/>
      <c r="J13" s="30"/>
      <c r="K13" s="50">
        <f>SUM(K2:K11)</f>
        <v>265.16428739100081</v>
      </c>
      <c r="L13" s="68">
        <f>K13/2</f>
        <v>132.58214369550041</v>
      </c>
      <c r="M13" s="50">
        <f>K13/3</f>
        <v>88.388095797000275</v>
      </c>
      <c r="N13" s="50">
        <f>L13/2</f>
        <v>66.291071847750203</v>
      </c>
      <c r="O13" s="50">
        <f>K13/5</f>
        <v>53.032857478200164</v>
      </c>
      <c r="P13" s="30"/>
      <c r="Q13" s="30"/>
      <c r="R13" s="30"/>
      <c r="S13" s="30"/>
      <c r="T13" s="30"/>
      <c r="U13" s="30"/>
      <c r="V13" s="30"/>
      <c r="W13" s="30"/>
      <c r="X13" s="29"/>
      <c r="Y13" s="29"/>
      <c r="Z13" s="29"/>
      <c r="AA13" s="29"/>
      <c r="AB13" s="29"/>
      <c r="AC13" s="29"/>
      <c r="AD13" s="29"/>
      <c r="AE13" s="29"/>
    </row>
    <row r="14" spans="1:31" ht="19.899999999999999" customHeight="1">
      <c r="A14" s="49" t="s">
        <v>172</v>
      </c>
      <c r="B14" s="49" t="s">
        <v>87</v>
      </c>
      <c r="C14" s="57" t="s">
        <v>173</v>
      </c>
      <c r="D14" s="62">
        <f>IF(INPUT!C4&gt;200,108*INPUT!C6*D6^3/INPUT!C35*('Wind speed'!H5/36),"None")</f>
        <v>878.16091954023</v>
      </c>
      <c r="E14" s="49" t="s">
        <v>174</v>
      </c>
      <c r="F14" s="31"/>
      <c r="G14" s="29"/>
      <c r="H14" s="29"/>
      <c r="I14" s="29"/>
      <c r="J14" s="29"/>
      <c r="K14" s="29"/>
      <c r="L14" s="29"/>
      <c r="M14" s="50" t="s">
        <v>175</v>
      </c>
      <c r="N14" s="50" t="s">
        <v>176</v>
      </c>
      <c r="O14" s="50" t="s">
        <v>177</v>
      </c>
      <c r="P14" s="29"/>
      <c r="Q14" s="29"/>
      <c r="R14" s="29"/>
      <c r="S14" s="29"/>
      <c r="T14" s="29"/>
      <c r="U14" s="29"/>
      <c r="V14" s="29"/>
      <c r="W14" s="29"/>
      <c r="X14" s="29"/>
      <c r="Y14" s="29"/>
      <c r="Z14" s="29"/>
      <c r="AA14" s="29"/>
      <c r="AB14" s="29"/>
      <c r="AC14" s="29"/>
      <c r="AD14" s="29"/>
      <c r="AE14" s="29"/>
    </row>
    <row r="15" spans="1:31" ht="19.899999999999999" customHeight="1">
      <c r="A15" s="49"/>
      <c r="B15" s="49"/>
      <c r="C15" s="57" t="s">
        <v>178</v>
      </c>
      <c r="D15" s="60" t="str">
        <f>IF(K22="fourth intermediate wind girder required",4,IF(K21="third intermediate wind girder required",3,IF(K20="second intermediate wind girder required",2,IF(K19="first intermediate wind girder required",1,"None"))))</f>
        <v>None</v>
      </c>
      <c r="E15" s="49"/>
      <c r="F15" s="29"/>
      <c r="G15" s="29"/>
      <c r="H15" s="29"/>
      <c r="I15" s="29"/>
      <c r="J15" s="29"/>
      <c r="K15" s="29"/>
      <c r="L15" s="29"/>
      <c r="M15" s="49">
        <f>M13*2</f>
        <v>176.77619159400055</v>
      </c>
      <c r="N15" s="50">
        <f>N13*3</f>
        <v>198.87321554325061</v>
      </c>
      <c r="O15" s="50">
        <f>O13*2</f>
        <v>106.06571495640033</v>
      </c>
      <c r="P15" s="29"/>
      <c r="Q15" s="29"/>
      <c r="R15" s="29"/>
      <c r="S15" s="29"/>
      <c r="T15" s="29"/>
      <c r="U15" s="29"/>
      <c r="V15" s="29"/>
      <c r="W15" s="29"/>
      <c r="X15" s="29"/>
      <c r="Y15" s="29"/>
      <c r="Z15" s="29"/>
      <c r="AA15" s="29"/>
      <c r="AB15" s="29"/>
      <c r="AC15" s="29"/>
      <c r="AD15" s="29"/>
      <c r="AE15" s="29"/>
    </row>
    <row r="16" spans="1:31" ht="19.899999999999999" customHeight="1">
      <c r="A16" s="49"/>
      <c r="B16" s="49" t="s">
        <v>179</v>
      </c>
      <c r="C16" s="57" t="s">
        <v>180</v>
      </c>
      <c r="D16" s="60" t="str">
        <f>IF(K19="no intermediate","None",IF($D$15=1,((INPUT!$C$6-INPUT!$C$36)*12-O24)/12,IF($D$15=2,((INPUT!$C$6-INPUT!$C$36)*12-R24)/12,IF($D$15=3,((INPUT!$C$6-INPUT!$C$36)*12-U24)/12,IF($D$15=4,((INPUT!$C$6-INPUT!$C$36)*12-X24)/12,"More than 4")))))</f>
        <v>None</v>
      </c>
      <c r="E16" s="49" t="s">
        <v>181</v>
      </c>
      <c r="F16" s="29"/>
      <c r="G16" s="29"/>
      <c r="H16" s="29"/>
      <c r="I16" s="29"/>
      <c r="J16" s="29"/>
      <c r="K16" s="29"/>
      <c r="L16" s="29"/>
      <c r="M16" s="29"/>
      <c r="N16" s="29"/>
      <c r="O16" s="50" t="s">
        <v>182</v>
      </c>
      <c r="P16" s="29"/>
      <c r="Q16" s="29"/>
      <c r="R16" s="29"/>
      <c r="S16" s="29"/>
      <c r="T16" s="29"/>
      <c r="U16" s="29"/>
      <c r="V16" s="29"/>
      <c r="W16" s="29"/>
      <c r="X16" s="29"/>
      <c r="Y16" s="29"/>
      <c r="Z16" s="29"/>
      <c r="AA16" s="29"/>
      <c r="AB16" s="29"/>
      <c r="AC16" s="29"/>
      <c r="AD16" s="29"/>
      <c r="AE16" s="29"/>
    </row>
    <row r="17" spans="1:31" ht="19.899999999999999" customHeight="1">
      <c r="A17" s="49"/>
      <c r="B17" s="49" t="s">
        <v>183</v>
      </c>
      <c r="C17" s="57" t="s">
        <v>184</v>
      </c>
      <c r="D17" s="60" t="str">
        <f>IF(K20="no intermediate","None",IF($D$15=1,((INPUT!$C$6-INPUT!$C$36)*12-O25)/12,IF($D$15=2,((INPUT!$C$6-INPUT!$C$36)*12-R25)/12,IF($D$15=3,((INPUT!$C$6-INPUT!$C$36)*12-U25)/12,IF($D$15=4,((INPUT!$C$6-INPUT!$C$36)*12-X25)/12,"More than 4")))))</f>
        <v>None</v>
      </c>
      <c r="E17" s="49" t="s">
        <v>181</v>
      </c>
      <c r="F17" s="29"/>
      <c r="G17" s="29"/>
      <c r="H17" s="29"/>
      <c r="I17" s="29"/>
      <c r="J17" s="29"/>
      <c r="K17" s="29"/>
      <c r="L17" s="29"/>
      <c r="M17" s="29"/>
      <c r="N17" s="29"/>
      <c r="O17" s="50">
        <f>O13*3</f>
        <v>159.0985724346005</v>
      </c>
      <c r="P17" s="29"/>
      <c r="Q17" s="29"/>
      <c r="R17" s="29"/>
      <c r="S17" s="29"/>
      <c r="T17" s="29"/>
      <c r="U17" s="29"/>
      <c r="V17" s="29"/>
      <c r="W17" s="29"/>
      <c r="X17" s="29"/>
      <c r="Y17" s="29"/>
      <c r="Z17" s="29"/>
      <c r="AA17" s="29"/>
      <c r="AB17" s="29"/>
      <c r="AC17" s="29"/>
      <c r="AD17" s="29"/>
      <c r="AE17" s="29"/>
    </row>
    <row r="18" spans="1:31" ht="19.899999999999999" customHeight="1">
      <c r="A18" s="49"/>
      <c r="B18" s="49" t="s">
        <v>185</v>
      </c>
      <c r="C18" s="57" t="s">
        <v>186</v>
      </c>
      <c r="D18" s="60" t="str">
        <f>IF(K21="no intermediate","None",IF($D$15=1,((INPUT!$C$6-INPUT!$C$36)*12-O26)/12,IF($D$15=2,((INPUT!$C$6-INPUT!$C$36)*12-R26)/12,IF($D$15=3,((INPUT!$C$6-INPUT!$C$36)*12-U26)/12,IF($D$15=4,((INPUT!$C$6-INPUT!$C$36)*12-X26)/12,"More than 4")))))</f>
        <v>None</v>
      </c>
      <c r="E18" s="49" t="s">
        <v>181</v>
      </c>
      <c r="F18" s="29"/>
      <c r="G18" s="29"/>
      <c r="H18" s="29"/>
      <c r="I18" s="29"/>
      <c r="J18" s="29"/>
      <c r="K18" s="29"/>
      <c r="L18" s="29"/>
      <c r="M18" s="29"/>
      <c r="N18" s="29"/>
      <c r="O18" s="50" t="s">
        <v>187</v>
      </c>
      <c r="P18" s="29"/>
      <c r="Q18" s="29"/>
      <c r="R18" s="29"/>
      <c r="S18" s="29"/>
      <c r="T18" s="29"/>
      <c r="U18" s="29"/>
      <c r="V18" s="29"/>
      <c r="W18" s="29"/>
      <c r="X18" s="29"/>
      <c r="Y18" s="29"/>
      <c r="Z18" s="29"/>
      <c r="AA18" s="29"/>
      <c r="AB18" s="29"/>
      <c r="AC18" s="29"/>
      <c r="AD18" s="29"/>
      <c r="AE18" s="29"/>
    </row>
    <row r="19" spans="1:31" ht="19.899999999999999" customHeight="1">
      <c r="A19" s="49"/>
      <c r="B19" s="49" t="s">
        <v>188</v>
      </c>
      <c r="C19" s="57" t="s">
        <v>189</v>
      </c>
      <c r="D19" s="60" t="str">
        <f>IF(K22="no intermediate","None",IF($D$15=1,((INPUT!$C$6-INPUT!$C$36)*12-O27)/12,IF($D$15=2,((INPUT!$C$6-INPUT!$C$36)*12-R27)/12,IF($D$15=3,((INPUT!$C$6-INPUT!$C$36)*12-U27)/12,IF($D$15=4,((INPUT!$C$6-INPUT!$C$36)*12-X27)/12,"More than 4")))))</f>
        <v>None</v>
      </c>
      <c r="E19" s="49" t="s">
        <v>181</v>
      </c>
      <c r="F19" s="29"/>
      <c r="G19" s="29"/>
      <c r="H19" s="29"/>
      <c r="I19" s="29"/>
      <c r="J19" s="50" t="s">
        <v>190</v>
      </c>
      <c r="K19" s="69" t="str">
        <f>IF(AND(K13&gt;D12*12,L13&lt;=D12*12), "first intermediate wind girder required", "no intermediate")</f>
        <v>no intermediate</v>
      </c>
      <c r="L19" s="49" t="s">
        <v>191</v>
      </c>
      <c r="M19" s="29"/>
      <c r="N19" s="29"/>
      <c r="O19" s="50">
        <f>O13*4</f>
        <v>212.13142991280066</v>
      </c>
      <c r="P19" s="29"/>
      <c r="Q19" s="29"/>
      <c r="R19" s="29"/>
      <c r="S19" s="29"/>
      <c r="T19" s="29"/>
      <c r="U19" s="29"/>
      <c r="V19" s="29"/>
      <c r="W19" s="29"/>
      <c r="X19" s="29"/>
      <c r="Y19" s="29"/>
      <c r="Z19" s="29"/>
      <c r="AA19" s="29"/>
      <c r="AB19" s="29"/>
      <c r="AC19" s="29"/>
      <c r="AD19" s="29"/>
      <c r="AE19" s="29"/>
    </row>
    <row r="20" spans="1:31" ht="19.899999999999999" customHeight="1">
      <c r="A20" s="49"/>
      <c r="B20" s="49" t="s">
        <v>192</v>
      </c>
      <c r="C20" s="57" t="s">
        <v>193</v>
      </c>
      <c r="D20" s="60" t="str">
        <f>IF(D16="None","None",1.5/0.5/$D$5*D16*$D$6^2*'Wind speed'!$H$5/36)</f>
        <v>None</v>
      </c>
      <c r="E20" s="49" t="s">
        <v>194</v>
      </c>
      <c r="F20" s="29"/>
      <c r="G20" s="29"/>
      <c r="H20" s="29"/>
      <c r="I20" s="29"/>
      <c r="J20" s="72" t="s">
        <v>195</v>
      </c>
      <c r="K20" s="69" t="str">
        <f>IF(AND(L13&gt;D12*12,M13&lt;=D12*12), "second intermediate wind girder required", "no intermediate")</f>
        <v>no intermediate</v>
      </c>
      <c r="L20" s="49" t="s">
        <v>196</v>
      </c>
      <c r="M20" s="29"/>
      <c r="N20" s="29"/>
      <c r="O20" s="30"/>
      <c r="P20" s="29"/>
      <c r="Q20" s="29"/>
      <c r="R20" s="29"/>
      <c r="S20" s="29"/>
      <c r="T20" s="29"/>
      <c r="U20" s="29"/>
      <c r="V20" s="29"/>
      <c r="W20" s="29"/>
      <c r="X20" s="29"/>
      <c r="Y20" s="29"/>
      <c r="Z20" s="29"/>
      <c r="AA20" s="29"/>
      <c r="AB20" s="29"/>
      <c r="AC20" s="29"/>
      <c r="AD20" s="29"/>
      <c r="AE20" s="29"/>
    </row>
    <row r="21" spans="1:31" ht="19.899999999999999" customHeight="1">
      <c r="A21" s="49"/>
      <c r="B21" s="49" t="s">
        <v>197</v>
      </c>
      <c r="C21" s="57" t="s">
        <v>198</v>
      </c>
      <c r="D21" s="60" t="str">
        <f>IF(D17="None","None",1.5/0.5/$D$5*D17*$D$6^2*'Wind speed'!$H$5/36)</f>
        <v>None</v>
      </c>
      <c r="E21" s="49" t="s">
        <v>194</v>
      </c>
      <c r="F21" s="29" t="e">
        <f>1.5/0.5/$D$5*D17*$D$6^2*('Wind speed'!D2/120)^2</f>
        <v>#VALUE!</v>
      </c>
      <c r="G21" s="29"/>
      <c r="H21" s="29"/>
      <c r="I21" s="29"/>
      <c r="J21" s="72"/>
      <c r="K21" s="69" t="str">
        <f>IF(AND(M13&gt;D12*12,N13&lt;=D12*12), "third intermediate wind girder required", "no intermediate")</f>
        <v>no intermediate</v>
      </c>
      <c r="L21" s="49" t="s">
        <v>141</v>
      </c>
      <c r="M21" s="29"/>
      <c r="N21" s="29"/>
      <c r="O21" s="29"/>
      <c r="P21" s="29"/>
      <c r="Q21" s="29"/>
      <c r="R21" s="29"/>
      <c r="S21" s="29"/>
      <c r="T21" s="29"/>
      <c r="U21" s="29"/>
      <c r="V21" s="29"/>
      <c r="W21" s="29"/>
      <c r="X21" s="29"/>
      <c r="Y21" s="29"/>
      <c r="Z21" s="29"/>
      <c r="AA21" s="29"/>
      <c r="AB21" s="29"/>
      <c r="AC21" s="29"/>
      <c r="AD21" s="29"/>
      <c r="AE21" s="29"/>
    </row>
    <row r="22" spans="1:31" ht="19.899999999999999" customHeight="1">
      <c r="A22" s="49"/>
      <c r="B22" s="49" t="s">
        <v>199</v>
      </c>
      <c r="C22" s="57" t="s">
        <v>200</v>
      </c>
      <c r="D22" s="60" t="str">
        <f>IF(D18="None","None",1.5/0.5/$D$5*D18*$D$6^2*'Wind speed'!$H$5/36)</f>
        <v>None</v>
      </c>
      <c r="E22" s="49" t="s">
        <v>194</v>
      </c>
      <c r="F22" s="29"/>
      <c r="G22" s="29"/>
      <c r="H22" s="29"/>
      <c r="I22" s="29"/>
      <c r="J22" s="72"/>
      <c r="K22" s="69" t="str">
        <f>IF(AND(N13&gt;D12*12,O13&lt;=D12*12), "fourth intermediate wind girder required", "no intermediate")</f>
        <v>no intermediate</v>
      </c>
      <c r="L22" s="49" t="s">
        <v>144</v>
      </c>
      <c r="M22" s="29"/>
      <c r="N22" s="29"/>
      <c r="O22" s="30"/>
      <c r="P22" s="29"/>
      <c r="Q22" s="29"/>
      <c r="R22" s="29"/>
      <c r="S22" s="29"/>
      <c r="T22" s="29"/>
      <c r="U22" s="29"/>
      <c r="V22" s="29"/>
      <c r="W22" s="29"/>
      <c r="X22" s="29"/>
      <c r="Y22" s="29"/>
      <c r="Z22" s="29"/>
      <c r="AA22" s="29"/>
      <c r="AB22" s="29"/>
      <c r="AC22" s="29"/>
      <c r="AD22" s="29"/>
      <c r="AE22" s="29"/>
    </row>
    <row r="23" spans="1:31" ht="19.899999999999999" customHeight="1">
      <c r="A23" s="49"/>
      <c r="B23" s="49" t="s">
        <v>201</v>
      </c>
      <c r="C23" s="57" t="s">
        <v>202</v>
      </c>
      <c r="D23" s="60" t="str">
        <f>IF(D19="None","None",1.5/0.5/$D$5*D19*$D$6^2*'Wind speed'!$H$5/36)</f>
        <v>None</v>
      </c>
      <c r="E23" s="49" t="s">
        <v>194</v>
      </c>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row>
    <row r="24" spans="1:31" ht="19.899999999999999" customHeight="1">
      <c r="A24" s="63" t="s">
        <v>203</v>
      </c>
      <c r="B24" s="63" t="s">
        <v>204</v>
      </c>
      <c r="C24" s="64" t="s">
        <v>180</v>
      </c>
      <c r="D24" s="65" t="str">
        <f>IF(K19="no intermediate","None",IF($D$15=1,(N24-O24)/12,IF($D$15=2,(N24-R24)/12,IF($D$15=3,(N24-U24)/12,IF($D$15=4,(N24-X24)/12,"More than 4")))))</f>
        <v>None</v>
      </c>
      <c r="E24" s="63" t="s">
        <v>181</v>
      </c>
      <c r="F24" s="29"/>
      <c r="G24" s="29"/>
      <c r="H24" s="29"/>
      <c r="I24" s="29"/>
      <c r="J24" s="29"/>
      <c r="K24" s="29"/>
      <c r="L24" s="29"/>
      <c r="M24" s="29"/>
      <c r="N24" s="29" t="e" cm="1" vm="1">
        <f t="array" ref="N24">_xlfn.UNIQUE(N2:N11,,TRUE)</f>
        <v>#VALUE!</v>
      </c>
      <c r="O24" s="32" t="e" cm="1" vm="1">
        <f t="array" ref="O24">_xlfn.UNIQUE(O2:O11,,TRUE)</f>
        <v>#VALUE!</v>
      </c>
      <c r="P24" s="29"/>
      <c r="Q24" s="29" t="e" cm="1" vm="1">
        <f t="array" ref="Q24">_xlfn.UNIQUE(Q2:Q11,,TRUE)</f>
        <v>#VALUE!</v>
      </c>
      <c r="R24" s="32" t="e" cm="1" vm="1">
        <f t="array" ref="R24">_xlfn.UNIQUE(R2:R11,,TRUE)</f>
        <v>#VALUE!</v>
      </c>
      <c r="S24" s="29"/>
      <c r="T24" s="29" t="e" cm="1" vm="1">
        <f t="array" ref="T24">_xlfn.UNIQUE(T2:T11,,TRUE)</f>
        <v>#VALUE!</v>
      </c>
      <c r="U24" s="32" t="e" cm="1" vm="1">
        <f t="array" ref="U24">_xlfn.UNIQUE(U2:U11,,TRUE)</f>
        <v>#VALUE!</v>
      </c>
      <c r="V24" s="29"/>
      <c r="W24" s="29" t="e" cm="1" vm="1">
        <f t="array" ref="W24">_xlfn.UNIQUE(W2:W11,,TRUE)</f>
        <v>#VALUE!</v>
      </c>
      <c r="X24" s="32" t="e" cm="1" vm="1">
        <f t="array" ref="X24">_xlfn.UNIQUE(X2:X11,,TRUE)</f>
        <v>#VALUE!</v>
      </c>
      <c r="Y24" s="29"/>
      <c r="Z24" s="29"/>
      <c r="AA24" s="29"/>
      <c r="AB24" s="29"/>
      <c r="AC24" s="29"/>
      <c r="AD24" s="29"/>
      <c r="AE24" s="29"/>
    </row>
    <row r="25" spans="1:31" ht="19.899999999999999" customHeight="1">
      <c r="A25" s="63" t="s">
        <v>203</v>
      </c>
      <c r="B25" s="63" t="s">
        <v>205</v>
      </c>
      <c r="C25" s="64" t="s">
        <v>193</v>
      </c>
      <c r="D25" s="65" t="str">
        <f>IF(D24="None","None",1.5/0.5/$D$5*D24*INPUT!$C$4^2*'Wind speed'!$H$5/36)</f>
        <v>None</v>
      </c>
      <c r="E25" s="63" t="s">
        <v>194</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row>
    <row r="26" spans="1:31" ht="19.899999999999999" customHeight="1">
      <c r="A26" s="49" t="s">
        <v>206</v>
      </c>
      <c r="B26" s="49"/>
      <c r="C26" s="57" t="s">
        <v>207</v>
      </c>
      <c r="D26" s="60" t="e" cm="1">
        <f t="array" ref="D26">1.47*(INPUT!$C$4*IF($D$15=1,INDEX('Summary of shell design'!$C$21:$C$30,INT(O24/INPUT!$C$10/12)+1),IF($D$15=2,INDEX('Summary of shell design'!$C$21:$C$30,INT(R24/INPUT!$C$10/12)+1),IF($D$15=3,INDEX('Summary of shell design'!$C$21:$C$30,INT(U24/INPUT!$C$10/12)+1),IF($D$15=4,INDEX('Summary of shell design'!$C$21:$C$30,INT(X24/INPUT!$C$10/12)+1),"None")))))^0.5</f>
        <v>#VALUE!</v>
      </c>
      <c r="E26" s="59" t="s">
        <v>208</v>
      </c>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row>
    <row r="27" spans="1:31" ht="19.899999999999999" customHeight="1">
      <c r="A27" s="49"/>
      <c r="B27" s="49"/>
      <c r="C27" s="57" t="s">
        <v>209</v>
      </c>
      <c r="D27" s="60" t="e" cm="1">
        <f t="array" ref="D27">1.47*(INPUT!$C$4*IF($D$15=1,INDEX('Summary of shell design'!$C$21:$C$30,INT(O25/INPUT!$C$10/12)+1),IF($D$15=2,INDEX('Summary of shell design'!$C$21:$C$30,INT(R25/INPUT!$C$10/12)+1),IF($D$15=3,INDEX('Summary of shell design'!$C$21:$C$30,INT(U25/INPUT!$C$10/12)+1),IF($D$15=4,INDEX('Summary of shell design'!$C$21:$C$30,INT(X25/INPUT!$C$10/12)+1),"None")))))^0.5</f>
        <v>#VALUE!</v>
      </c>
      <c r="E27" s="59" t="s">
        <v>208</v>
      </c>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row>
    <row r="28" spans="1:31" ht="19.899999999999999" customHeight="1">
      <c r="A28" s="49"/>
      <c r="B28" s="49"/>
      <c r="C28" s="57" t="s">
        <v>210</v>
      </c>
      <c r="D28" s="60" t="e" cm="1">
        <f t="array" ref="D28">1.47*(INPUT!$C$4*IF($D$15=1,INDEX('Summary of shell design'!$C$21:$C$30,INT(O26/INPUT!$C$10/12)+1),IF($D$15=2,INDEX('Summary of shell design'!$C$21:$C$30,INT(R26/INPUT!$C$10/12)+1),IF($D$15=3,INDEX('Summary of shell design'!$C$21:$C$30,INT(U26/INPUT!$C$10/12)+1),IF($D$15=4,INDEX('Summary of shell design'!$C$21:$C$30,INT(X26/INPUT!$C$10/12)+1),"None")))))^0.5</f>
        <v>#VALUE!</v>
      </c>
      <c r="E28" s="59" t="s">
        <v>208</v>
      </c>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row>
    <row r="29" spans="1:31" ht="19.899999999999999" customHeight="1">
      <c r="A29" s="49"/>
      <c r="B29" s="49"/>
      <c r="C29" s="57" t="s">
        <v>211</v>
      </c>
      <c r="D29" s="60" t="e" cm="1">
        <f t="array" ref="D29">1.47*(INPUT!$C$4*IF($D$15=1,INDEX('Summary of shell design'!$C$21:$C$30,INT(O27/INPUT!$C$10/12)+1),IF($D$15=2,INDEX('Summary of shell design'!$C$21:$C$30,INT(R27/INPUT!$C$10/12)+1),IF($D$15=3,INDEX('Summary of shell design'!$C$21:$C$30,INT(U27/INPUT!$C$10/12)+1),IF($D$15=4,INDEX('Summary of shell design'!$C$21:$C$30,INT(X27/INPUT!$C$10/12)+1),"None")))))^0.5</f>
        <v>#VALUE!</v>
      </c>
      <c r="E29" s="59" t="s">
        <v>208</v>
      </c>
      <c r="F29" s="29"/>
      <c r="G29" s="29"/>
      <c r="H29" s="29"/>
      <c r="I29" s="29"/>
      <c r="J29" s="29"/>
      <c r="K29" s="29"/>
      <c r="L29" s="29"/>
      <c r="M29" s="29"/>
      <c r="N29" s="29"/>
      <c r="O29" s="29" t="e" vm="2">
        <f>O24/12</f>
        <v>#VALUE!</v>
      </c>
      <c r="P29" s="29"/>
      <c r="Q29" s="29"/>
      <c r="R29" s="29" t="e" vm="2">
        <f>R24/12</f>
        <v>#VALUE!</v>
      </c>
      <c r="S29" s="29"/>
      <c r="T29" s="29"/>
      <c r="U29" s="29" t="e" vm="2">
        <f>U24/12</f>
        <v>#VALUE!</v>
      </c>
      <c r="V29" s="29"/>
      <c r="W29" s="29"/>
      <c r="X29" s="29"/>
      <c r="Y29" s="29"/>
      <c r="Z29" s="29"/>
      <c r="AA29" s="29"/>
      <c r="AB29" s="29"/>
      <c r="AC29" s="29"/>
      <c r="AD29" s="29"/>
      <c r="AE29" s="29"/>
    </row>
    <row r="30" spans="1:31">
      <c r="A30" s="29"/>
      <c r="B30" s="29"/>
      <c r="C30" s="29"/>
      <c r="D30" s="29"/>
      <c r="E30" s="34"/>
      <c r="F30" s="29"/>
      <c r="G30" s="29"/>
      <c r="H30" s="29"/>
      <c r="I30" s="29"/>
      <c r="J30" s="29"/>
      <c r="K30" s="29"/>
      <c r="L30" s="29"/>
      <c r="M30" s="29"/>
      <c r="N30" s="29"/>
      <c r="O30" s="29"/>
      <c r="P30" s="29"/>
      <c r="Q30" s="29"/>
      <c r="R30" s="29">
        <f>R25/12</f>
        <v>0</v>
      </c>
      <c r="S30" s="29"/>
      <c r="T30" s="29"/>
      <c r="U30" s="29">
        <f t="shared" ref="U30:U31" si="8">U25/12</f>
        <v>0</v>
      </c>
      <c r="V30" s="29"/>
      <c r="W30" s="29"/>
      <c r="X30" s="29"/>
      <c r="Y30" s="29"/>
      <c r="Z30" s="29"/>
      <c r="AA30" s="29"/>
      <c r="AB30" s="29"/>
      <c r="AC30" s="29"/>
      <c r="AD30" s="29"/>
      <c r="AE30" s="29"/>
    </row>
    <row r="31" spans="1:31">
      <c r="A31" s="29"/>
      <c r="B31" s="29"/>
      <c r="C31" s="29"/>
      <c r="D31" s="29"/>
      <c r="E31" s="29"/>
      <c r="F31" s="29"/>
      <c r="G31" s="29"/>
      <c r="H31" s="29"/>
      <c r="I31" s="29"/>
      <c r="J31" s="29"/>
      <c r="K31" s="29"/>
      <c r="L31" s="29"/>
      <c r="M31" s="29"/>
      <c r="N31" s="29"/>
      <c r="O31" s="29"/>
      <c r="P31" s="29"/>
      <c r="Q31" s="29"/>
      <c r="R31" s="29"/>
      <c r="S31" s="29"/>
      <c r="T31" s="29"/>
      <c r="U31" s="29">
        <f t="shared" si="8"/>
        <v>0</v>
      </c>
      <c r="V31" s="29"/>
      <c r="W31" s="29"/>
      <c r="X31" s="29"/>
      <c r="Y31" s="29"/>
      <c r="Z31" s="29"/>
      <c r="AA31" s="29"/>
      <c r="AB31" s="29"/>
      <c r="AC31" s="29"/>
      <c r="AD31" s="29"/>
      <c r="AE31" s="29"/>
    </row>
    <row r="32" spans="1:31" ht="15.75">
      <c r="A32" s="29"/>
      <c r="B32" s="29"/>
      <c r="C32" s="71" t="s">
        <v>212</v>
      </c>
      <c r="D32" s="71"/>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row>
    <row r="33" spans="1:31" ht="47.25">
      <c r="A33" s="29"/>
      <c r="B33" s="29"/>
      <c r="C33" s="35" t="s">
        <v>213</v>
      </c>
      <c r="D33" s="35" t="s">
        <v>214</v>
      </c>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row>
    <row r="34" spans="1:31" ht="18.75">
      <c r="A34" s="29"/>
      <c r="B34" s="29"/>
      <c r="C34" s="35" t="s">
        <v>62</v>
      </c>
      <c r="D34" s="35" t="s">
        <v>215</v>
      </c>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row>
    <row r="35" spans="1:31" ht="15.75">
      <c r="A35" s="29"/>
      <c r="B35" s="29"/>
      <c r="C35" s="36">
        <v>200</v>
      </c>
      <c r="D35" s="36">
        <v>28800000</v>
      </c>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row>
    <row r="36" spans="1:31" ht="15.75">
      <c r="A36" s="29"/>
      <c r="B36" s="29"/>
      <c r="C36" s="36">
        <v>300</v>
      </c>
      <c r="D36" s="36">
        <v>28300000</v>
      </c>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row>
    <row r="37" spans="1:31" ht="15.75">
      <c r="A37" s="29"/>
      <c r="B37" s="29"/>
      <c r="C37" s="36">
        <v>400</v>
      </c>
      <c r="D37" s="36">
        <v>27700000</v>
      </c>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row>
    <row r="38" spans="1:31" ht="15.75">
      <c r="A38" s="29"/>
      <c r="B38" s="29"/>
      <c r="C38" s="36">
        <v>500</v>
      </c>
      <c r="D38" s="36">
        <v>27300000</v>
      </c>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row>
    <row r="39" spans="1:31" ht="15.75">
      <c r="A39" s="29"/>
      <c r="B39" s="29"/>
      <c r="C39" s="37" t="s">
        <v>216</v>
      </c>
      <c r="D39" s="33"/>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row>
    <row r="40" spans="1:3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row>
    <row r="41" spans="1:3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row>
    <row r="42" spans="1:3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row>
    <row r="43" spans="1:3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row>
    <row r="44" spans="1:3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row>
    <row r="45" spans="1:3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row>
    <row r="46" spans="1:3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row>
    <row r="47" spans="1:3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row>
    <row r="48" spans="1:3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row>
    <row r="49" spans="1:3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row>
    <row r="50" spans="1:3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row>
    <row r="51" spans="1:3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row>
    <row r="52" spans="1:3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row>
    <row r="53" spans="1:3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row>
    <row r="54" spans="1:3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row>
    <row r="55" spans="1:3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row>
    <row r="56" spans="1:3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row>
    <row r="57" spans="1:3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row>
    <row r="58" spans="1:3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row>
    <row r="59" spans="1:3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row>
    <row r="60" spans="1:3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row>
    <row r="61" spans="1:3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row>
    <row r="62" spans="1:3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row>
    <row r="63" spans="1:3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row>
    <row r="64" spans="1:3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row>
    <row r="65" spans="1:3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row>
    <row r="66" spans="1:3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row>
    <row r="67" spans="1:3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row>
    <row r="68" spans="1:3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row>
    <row r="69" spans="1:3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row>
    <row r="70" spans="1:3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row>
    <row r="71" spans="1:3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row>
    <row r="72" spans="1:3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row>
    <row r="73" spans="1:3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row>
    <row r="74" spans="1:3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row>
    <row r="75" spans="1:3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row>
    <row r="76" spans="1:3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row>
    <row r="77" spans="1:3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row>
    <row r="78" spans="1:3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row>
    <row r="79" spans="1:3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row>
    <row r="80" spans="1:3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row>
    <row r="81" spans="1:3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row>
    <row r="82" spans="1:3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row>
    <row r="83" spans="1:3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row>
    <row r="84" spans="1:3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row>
    <row r="85" spans="1:3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row>
    <row r="86" spans="1:3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row>
    <row r="87" spans="1:3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row>
    <row r="88" spans="1:3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row>
    <row r="89" spans="1:3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row>
    <row r="90" spans="1:3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row>
    <row r="91" spans="1:3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row>
    <row r="92" spans="1:3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row>
    <row r="93" spans="1:3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row>
    <row r="94" spans="1:3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row>
    <row r="95" spans="1:3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row>
    <row r="96" spans="1:3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row>
    <row r="97" spans="1:3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row>
    <row r="98" spans="1:3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row>
    <row r="99" spans="1:3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row>
    <row r="100" spans="1:3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row>
    <row r="101" spans="1:3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row>
    <row r="102" spans="1:3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row>
    <row r="103" spans="1:3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row>
    <row r="104" spans="1:3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row>
    <row r="105" spans="1:3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row>
    <row r="106" spans="1:3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row>
    <row r="107" spans="1:3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row>
    <row r="108" spans="1:3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row>
    <row r="109" spans="1:3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row>
    <row r="110" spans="1:3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row>
    <row r="111" spans="1:3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row>
    <row r="112" spans="1:3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row>
    <row r="113" spans="1:3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row>
    <row r="114" spans="1:3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row>
    <row r="115" spans="1:3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row>
    <row r="116" spans="1:3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row>
    <row r="117" spans="1:3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row>
    <row r="118" spans="1:3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row>
    <row r="119" spans="1:3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row>
    <row r="120" spans="1:3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row>
    <row r="121" spans="1:3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row>
    <row r="122" spans="1:3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row>
    <row r="123" spans="1:3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row>
    <row r="124" spans="1:3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row>
    <row r="125" spans="1:3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row>
    <row r="126" spans="1:3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row>
    <row r="127" spans="1:3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row>
    <row r="128" spans="1:3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row>
    <row r="129" spans="1:3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row>
    <row r="130" spans="1:3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row>
    <row r="131" spans="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row>
    <row r="132" spans="1:3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row>
    <row r="133" spans="1:3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row>
    <row r="134" spans="1:3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row>
    <row r="135" spans="1:3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row>
    <row r="136" spans="1:3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row>
    <row r="137" spans="1:3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row>
    <row r="138" spans="1:3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row>
    <row r="139" spans="1:3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row>
    <row r="140" spans="1:3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row>
    <row r="141" spans="1:3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row>
    <row r="142" spans="1:3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row>
    <row r="143" spans="1:3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row>
    <row r="144" spans="1:3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row>
    <row r="145" spans="1:3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row>
    <row r="146" spans="1:3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row>
    <row r="147" spans="1:3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row>
    <row r="148" spans="1:3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row>
    <row r="149" spans="1:3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row>
    <row r="150" spans="1:3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row>
    <row r="151" spans="1:3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row>
    <row r="152" spans="1:3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row>
    <row r="153" spans="1:3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row>
    <row r="154" spans="1:3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row>
  </sheetData>
  <mergeCells count="2">
    <mergeCell ref="C32:D32"/>
    <mergeCell ref="J20:J22"/>
  </mergeCells>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1A87-28F1-4CED-BC2C-E7EA61440691}">
  <dimension ref="A1:V88"/>
  <sheetViews>
    <sheetView workbookViewId="0">
      <selection activeCell="N88" sqref="N88"/>
    </sheetView>
  </sheetViews>
  <sheetFormatPr defaultRowHeight="15"/>
  <cols>
    <col min="1" max="1" width="9.5703125" customWidth="1"/>
  </cols>
  <sheetData>
    <row r="1" spans="1:22" ht="18">
      <c r="A1" s="50" t="s">
        <v>217</v>
      </c>
      <c r="B1" s="50" t="s">
        <v>218</v>
      </c>
      <c r="C1" s="51" t="s">
        <v>219</v>
      </c>
      <c r="D1" s="50" t="s">
        <v>220</v>
      </c>
      <c r="E1" s="50" t="s">
        <v>221</v>
      </c>
      <c r="F1" s="52" t="s">
        <v>222</v>
      </c>
      <c r="G1" s="50" t="s">
        <v>223</v>
      </c>
      <c r="H1" s="50" t="s">
        <v>224</v>
      </c>
      <c r="I1" s="53" t="s">
        <v>225</v>
      </c>
      <c r="J1" s="54" t="s">
        <v>226</v>
      </c>
      <c r="K1" s="54" t="s">
        <v>227</v>
      </c>
      <c r="M1" t="s">
        <v>228</v>
      </c>
      <c r="N1" t="s">
        <v>229</v>
      </c>
      <c r="O1" t="s">
        <v>220</v>
      </c>
      <c r="P1" t="s">
        <v>221</v>
      </c>
      <c r="Q1" t="s">
        <v>230</v>
      </c>
      <c r="R1" t="s">
        <v>231</v>
      </c>
      <c r="S1" t="s">
        <v>232</v>
      </c>
      <c r="T1" t="s">
        <v>233</v>
      </c>
      <c r="U1" t="s">
        <v>234</v>
      </c>
      <c r="V1" t="s">
        <v>227</v>
      </c>
    </row>
    <row r="2" spans="1:22">
      <c r="A2" s="50" t="s">
        <v>235</v>
      </c>
      <c r="B2" s="50">
        <v>2.5</v>
      </c>
      <c r="C2" s="50">
        <v>2.5</v>
      </c>
      <c r="D2" s="50">
        <f>1/4</f>
        <v>0.25</v>
      </c>
      <c r="E2" s="50">
        <f>1/4</f>
        <v>0.25</v>
      </c>
      <c r="F2" s="50">
        <v>0.71099999999999997</v>
      </c>
      <c r="G2" s="50">
        <v>0.69199999999999995</v>
      </c>
      <c r="H2" s="50">
        <v>1.19</v>
      </c>
      <c r="I2" s="54">
        <f>(H2*F2+(16*E2+D2-C2)*E2*D2/2)/(H2+(16*E2+D2-C2)*E2)</f>
        <v>0.5534731182795698</v>
      </c>
      <c r="J2" s="54">
        <f>G2+(I2-F2)^2*H2+(16*E2+D2-C2)*E2^3/12+(I2-D2/2)^2*(16*E2+D2-C2)*E2</f>
        <v>0.80412844153225804</v>
      </c>
      <c r="K2" s="54">
        <f>MIN(J2/I2,J2/(B2-I2))</f>
        <v>0.41310934315046921</v>
      </c>
      <c r="L2" s="29"/>
      <c r="M2">
        <v>2.5</v>
      </c>
      <c r="N2">
        <v>2.5</v>
      </c>
      <c r="O2">
        <v>0.25</v>
      </c>
      <c r="P2">
        <f>1/4</f>
        <v>0.25</v>
      </c>
      <c r="Q2">
        <f>(N2*O2*O2/2+(M2-O2)*O2*(M2+O2)/2+(16*P2+O2-M2)*P2*(16*P2+O2+M2)/2)/(N2*O2+(M2-O2)*O2+(16*P2+O2-M2)*P2)</f>
        <v>1.4326923076923077</v>
      </c>
      <c r="R2">
        <f>N2*O2^3/12+(Q2-O2/2)^2*N2*O2+O2*(M2-O2)^3/12+((M2+O2)/2-Q2)^2*(M2-O2)*O2+P2*(16*P2+O2-M2)^3/12+((16*P2+O2+M2)/2-Q2)^2*(16*P2+O2-M2)*P2</f>
        <v>3.0733673878205128</v>
      </c>
      <c r="S2">
        <f>MIN(R2/(16*P2+O2-Q2),R2/Q2)</f>
        <v>1.0908880830489192</v>
      </c>
      <c r="T2">
        <f>(M2*O2*O2/2+(N2-O2)*O2*(N2+O2)/2+(16*P2+O2-M2)*P2*(O2)/2)/(M2*O2+(N2-O2)*O2+(16*P2+O2-M2)*P2)</f>
        <v>0.55769230769230771</v>
      </c>
      <c r="U2">
        <f>M2*O2^3/12+(T2-O2/2)^2*M2*O2+O2*(N2-O2)^3/12+((N2+O2)/2-T2)^2*(N2-O2)*O2+P2^3*(16*P2+O2-M2)/12+((O2)/2-T2)^2*(16*P2+O2-M2)*P2</f>
        <v>0.81750801282051277</v>
      </c>
      <c r="V2">
        <f>MIN(U2/(N2-T2),U2/T2)</f>
        <v>0.42089521452145212</v>
      </c>
    </row>
    <row r="3" spans="1:22">
      <c r="A3" s="29"/>
      <c r="B3" s="29"/>
      <c r="C3" s="29"/>
      <c r="D3" s="29"/>
      <c r="E3" s="29"/>
      <c r="F3" s="29"/>
      <c r="G3" s="29"/>
      <c r="H3" s="29"/>
      <c r="I3" s="29"/>
      <c r="J3" s="29"/>
      <c r="K3" s="29"/>
      <c r="L3" s="29"/>
      <c r="M3">
        <f>O3+16*P3</f>
        <v>4.25</v>
      </c>
      <c r="N3">
        <v>2.5</v>
      </c>
      <c r="O3">
        <v>0.25</v>
      </c>
      <c r="P3">
        <f>1/4</f>
        <v>0.25</v>
      </c>
      <c r="Q3">
        <f>(N3*O3*O3/2+(M3-O3)*P3*(M3+O3)/2)/(N3*O3+(M3-O3)*P3)</f>
        <v>1.4326923076923077</v>
      </c>
      <c r="R3">
        <f>N3*O3^3/12+(Q3-O3/2)^2*N3*O3+P3*(M3-O3)^3/12+((M3+O3)/2-Q3)^2*(M3-O3)*P3</f>
        <v>3.0733673878205123</v>
      </c>
      <c r="S3">
        <f>MIN(R3/Q3,R3/(M3-Q3))</f>
        <v>1.0908880830489189</v>
      </c>
      <c r="T3">
        <f>(M3*P3*P3/2+(N3-P3)*O3*(N3+P3)/2)/(M3*P3+(N3-P3)*O3)</f>
        <v>0.55769230769230771</v>
      </c>
      <c r="U3">
        <f>M3*P3^3/12+(T3-P3/2)^2*M3*P3+O3*(N3-P3)^3/12+((N3+P3)/2-T3)^2*(N3-P3)*O3</f>
        <v>0.81750801282051277</v>
      </c>
      <c r="V3">
        <f>MIN(U3/T3,U3/(N3-T3))</f>
        <v>0.42089521452145212</v>
      </c>
    </row>
    <row r="4" spans="1:22">
      <c r="A4" s="29"/>
      <c r="B4" s="29"/>
      <c r="C4" s="29"/>
      <c r="D4" s="29"/>
      <c r="E4" s="29"/>
      <c r="F4" s="29"/>
      <c r="G4" s="29"/>
      <c r="H4" s="29"/>
      <c r="I4" s="29"/>
      <c r="J4" s="29"/>
      <c r="K4" s="29"/>
      <c r="L4" s="29"/>
      <c r="M4" s="29"/>
      <c r="N4" s="29"/>
      <c r="O4" s="29"/>
    </row>
    <row r="5" spans="1:22">
      <c r="A5" s="29"/>
      <c r="B5" s="29"/>
      <c r="C5" s="29"/>
      <c r="D5" s="29"/>
      <c r="E5" s="29"/>
      <c r="F5" s="29"/>
      <c r="G5" s="29"/>
      <c r="H5" s="29"/>
      <c r="I5" s="29"/>
      <c r="J5" s="29"/>
      <c r="K5" s="29"/>
      <c r="L5" s="29"/>
      <c r="M5" s="29"/>
      <c r="N5" s="29"/>
      <c r="O5" s="29"/>
    </row>
    <row r="6" spans="1:22">
      <c r="A6" s="29"/>
      <c r="B6" s="29"/>
      <c r="C6" s="29"/>
      <c r="D6" s="29"/>
      <c r="E6" s="29"/>
      <c r="F6" s="29"/>
      <c r="G6" s="29"/>
      <c r="H6" s="29"/>
      <c r="I6" s="29"/>
      <c r="J6" s="29"/>
      <c r="K6" s="29"/>
      <c r="L6" s="29"/>
      <c r="M6" s="29"/>
      <c r="N6" s="29"/>
      <c r="O6" s="29"/>
    </row>
    <row r="7" spans="1:22">
      <c r="A7" s="29"/>
      <c r="B7" s="29"/>
      <c r="C7" s="29"/>
      <c r="D7" s="29"/>
      <c r="E7" s="29"/>
      <c r="F7" s="29"/>
      <c r="G7" s="29"/>
      <c r="H7" s="29"/>
      <c r="I7" s="29"/>
      <c r="J7" s="29"/>
      <c r="K7" s="29"/>
      <c r="L7" s="29"/>
      <c r="M7" s="29"/>
      <c r="N7" s="29"/>
      <c r="O7" s="29"/>
    </row>
    <row r="8" spans="1:22">
      <c r="A8" s="29"/>
      <c r="B8" s="29"/>
      <c r="C8" s="29"/>
      <c r="D8" s="29"/>
      <c r="E8" s="29"/>
      <c r="F8" s="29"/>
      <c r="G8" s="29"/>
      <c r="H8" s="29"/>
      <c r="I8" s="29"/>
      <c r="J8" s="29"/>
      <c r="K8" s="29"/>
      <c r="L8" s="29"/>
      <c r="M8" s="29"/>
      <c r="N8" s="29"/>
      <c r="O8" s="29"/>
    </row>
    <row r="9" spans="1:22">
      <c r="A9" s="29"/>
      <c r="B9" s="29"/>
      <c r="C9" s="29"/>
      <c r="D9" s="29"/>
      <c r="E9" s="29"/>
      <c r="F9" s="29"/>
      <c r="G9" s="29"/>
      <c r="H9" s="29"/>
      <c r="I9" s="70">
        <f>3/16</f>
        <v>0.1875</v>
      </c>
      <c r="J9" s="70">
        <f>1/4</f>
        <v>0.25</v>
      </c>
      <c r="K9" s="70">
        <f>5/16</f>
        <v>0.3125</v>
      </c>
      <c r="L9" s="70">
        <f>3/8</f>
        <v>0.375</v>
      </c>
      <c r="M9" s="70">
        <f>7/16</f>
        <v>0.4375</v>
      </c>
      <c r="N9" s="29"/>
      <c r="O9" s="29"/>
    </row>
    <row r="10" spans="1:22">
      <c r="A10" s="29"/>
      <c r="B10" s="29"/>
      <c r="C10" s="29"/>
      <c r="D10" s="29"/>
      <c r="E10" s="29"/>
      <c r="F10" s="29"/>
      <c r="G10" s="29"/>
      <c r="H10" s="29"/>
      <c r="I10" s="29"/>
      <c r="J10" s="29"/>
      <c r="K10" s="29"/>
      <c r="L10" s="29"/>
      <c r="M10" s="29"/>
      <c r="N10" s="29"/>
      <c r="O10" s="29"/>
    </row>
    <row r="11" spans="1:22">
      <c r="A11" s="29"/>
      <c r="B11" s="29"/>
      <c r="C11" s="29"/>
      <c r="D11" s="29"/>
      <c r="E11" s="29"/>
      <c r="F11" s="29"/>
      <c r="G11" s="29"/>
      <c r="H11" s="29"/>
      <c r="I11" s="29"/>
      <c r="J11" s="29"/>
      <c r="K11" s="29"/>
      <c r="L11" s="29"/>
      <c r="M11" s="29"/>
      <c r="N11" s="29"/>
      <c r="O11" s="29"/>
    </row>
    <row r="12" spans="1:22">
      <c r="A12" s="29"/>
      <c r="B12" s="29"/>
      <c r="C12" s="29"/>
      <c r="D12" s="29"/>
      <c r="E12" s="29"/>
      <c r="F12" s="29"/>
      <c r="G12" s="29"/>
      <c r="H12" s="29"/>
      <c r="I12" s="29"/>
      <c r="J12" s="29"/>
      <c r="K12" s="29"/>
      <c r="L12" s="29"/>
      <c r="M12" s="29"/>
      <c r="N12" s="29"/>
      <c r="O12" s="29"/>
    </row>
    <row r="13" spans="1:22">
      <c r="A13" s="29"/>
      <c r="B13" s="29"/>
      <c r="C13" s="29"/>
      <c r="D13" s="29"/>
      <c r="E13" s="29"/>
      <c r="F13" s="29"/>
      <c r="G13" s="29"/>
      <c r="H13" s="29"/>
      <c r="I13" s="29"/>
      <c r="J13" s="29"/>
      <c r="K13" s="29"/>
      <c r="L13" s="29"/>
      <c r="M13" s="29"/>
      <c r="N13" s="29"/>
      <c r="O13" s="29"/>
    </row>
    <row r="14" spans="1:22">
      <c r="A14" s="29"/>
      <c r="B14" s="29"/>
      <c r="C14" s="29"/>
      <c r="D14" s="29"/>
      <c r="E14" s="29"/>
      <c r="F14" s="29"/>
      <c r="G14" s="29"/>
      <c r="H14" s="29"/>
      <c r="I14" s="29"/>
      <c r="J14" s="29"/>
      <c r="K14" s="29"/>
      <c r="L14" s="29"/>
      <c r="M14" s="29"/>
      <c r="N14" s="29"/>
      <c r="O14" s="29"/>
    </row>
    <row r="15" spans="1:22">
      <c r="A15" s="29"/>
      <c r="B15" s="29"/>
      <c r="C15" s="29"/>
      <c r="D15" s="29"/>
      <c r="E15" s="29"/>
      <c r="F15" s="29"/>
      <c r="G15" s="29"/>
      <c r="H15" s="29"/>
      <c r="I15" s="29"/>
      <c r="J15" s="29"/>
      <c r="K15" s="29"/>
      <c r="L15" s="29"/>
      <c r="M15" s="29"/>
      <c r="N15" s="29"/>
      <c r="O15" s="29"/>
    </row>
    <row r="16" spans="1:22" ht="18">
      <c r="A16" s="50" t="s">
        <v>236</v>
      </c>
      <c r="B16" s="50" t="s">
        <v>229</v>
      </c>
      <c r="C16" s="50" t="s">
        <v>228</v>
      </c>
      <c r="D16" s="50" t="s">
        <v>220</v>
      </c>
      <c r="E16" s="50" t="s">
        <v>221</v>
      </c>
      <c r="F16" s="52" t="s">
        <v>222</v>
      </c>
      <c r="G16" s="50" t="s">
        <v>223</v>
      </c>
      <c r="H16" s="50" t="s">
        <v>224</v>
      </c>
      <c r="I16" s="50" t="s">
        <v>233</v>
      </c>
      <c r="J16" s="50" t="s">
        <v>226</v>
      </c>
      <c r="K16" s="50" t="s">
        <v>227</v>
      </c>
      <c r="L16" s="54" t="s">
        <v>233</v>
      </c>
      <c r="M16" s="54" t="s">
        <v>226</v>
      </c>
      <c r="N16" s="54" t="s">
        <v>227</v>
      </c>
      <c r="O16" s="29"/>
    </row>
    <row r="17" spans="1:15">
      <c r="A17" s="50" t="s">
        <v>237</v>
      </c>
      <c r="B17" s="50">
        <v>2.5</v>
      </c>
      <c r="C17" s="50">
        <v>2.5</v>
      </c>
      <c r="D17" s="50">
        <f>5/16</f>
        <v>0.3125</v>
      </c>
      <c r="E17" s="50">
        <f>3/16</f>
        <v>0.1875</v>
      </c>
      <c r="F17" s="50">
        <v>0.73499999999999999</v>
      </c>
      <c r="G17" s="50">
        <v>0.83699999999999997</v>
      </c>
      <c r="H17" s="50">
        <v>1.46</v>
      </c>
      <c r="I17" s="50">
        <f>(B17*D17*(E17+B17/2)+(C17-D17)*D17*(E17+B17-D17/2)+(1+D17+16*E17)*E17*E17/2)/(B17*D17+(C17-D17)*D17+(1+D17+16*E17)*E17)</f>
        <v>1.2884450171821307</v>
      </c>
      <c r="J17" s="50">
        <f>D17*B17^3/12+(I17-(E17+B17/2))^2*B17*D17+D17^3*(C17-D17)/12+(I17-(E17+B17-D17/2))^2*D17*(C17-D17)+E17^3*(1+D17+16*E17)/12+(I17-E17/2)^2*E17*(1+D17+16*E17)</f>
        <v>2.6421476278927729</v>
      </c>
      <c r="K17" s="50">
        <f>MIN(J17/I17,J17/(B17+E17-I17))</f>
        <v>1.8885230818957248</v>
      </c>
      <c r="L17" s="54">
        <f>(H17*F17+(1+D17+16*E17)*E17*(B17+E17/2))/(H17+(1+D17+16*E17)*E17)</f>
        <v>1.3975133445829604</v>
      </c>
      <c r="M17" s="54">
        <f>G17+(L17-F17)^2*H17+(1+D17+16*E17)*E17^3/12+(L17-(B17+E17/2))^2*(1+D17+16*E17)*E17</f>
        <v>2.6372810786975762</v>
      </c>
      <c r="N17" s="54">
        <f>MIN(M17/L17,M17/(B17+E17-L17))</f>
        <v>1.8871240757164875</v>
      </c>
      <c r="O17" s="29"/>
    </row>
    <row r="18" spans="1:15">
      <c r="A18" s="29"/>
      <c r="B18" s="29"/>
      <c r="C18" s="29"/>
      <c r="D18" s="29"/>
      <c r="E18" s="29"/>
      <c r="F18" s="29"/>
      <c r="G18" s="29"/>
      <c r="H18" s="29"/>
      <c r="I18" s="29"/>
      <c r="J18" s="29"/>
      <c r="K18" s="29"/>
      <c r="L18" s="29"/>
      <c r="M18" s="29"/>
      <c r="N18" s="29"/>
      <c r="O18" s="29"/>
    </row>
    <row r="19" spans="1:15">
      <c r="A19" s="29"/>
      <c r="B19" s="29"/>
      <c r="C19" s="29"/>
      <c r="D19" s="29"/>
      <c r="E19" s="29"/>
      <c r="F19" s="29"/>
      <c r="G19" s="29"/>
      <c r="H19" s="29"/>
      <c r="I19" s="29"/>
      <c r="J19" s="29"/>
      <c r="K19" s="29"/>
      <c r="L19" s="29"/>
      <c r="M19" s="29"/>
      <c r="N19" s="29"/>
      <c r="O19" s="29"/>
    </row>
    <row r="20" spans="1:15">
      <c r="A20" s="29"/>
      <c r="B20" s="29"/>
      <c r="C20" s="29"/>
      <c r="D20" s="29"/>
      <c r="E20" s="29"/>
      <c r="F20" s="29"/>
      <c r="G20" s="29"/>
      <c r="H20" s="29"/>
      <c r="I20" s="29"/>
      <c r="J20" s="29"/>
      <c r="K20" s="29"/>
      <c r="L20" s="29"/>
      <c r="M20" s="29"/>
      <c r="N20" s="29"/>
      <c r="O20" s="29"/>
    </row>
    <row r="21" spans="1:15">
      <c r="A21" s="29"/>
      <c r="B21" s="29"/>
      <c r="C21" s="29"/>
      <c r="D21" s="29"/>
      <c r="E21" s="29"/>
      <c r="F21" s="29"/>
      <c r="G21" s="29"/>
      <c r="H21" s="29"/>
      <c r="I21" s="29"/>
      <c r="J21" s="29"/>
      <c r="K21" s="29"/>
      <c r="L21" s="29"/>
      <c r="M21" s="29"/>
      <c r="N21" s="29"/>
      <c r="O21" s="29"/>
    </row>
    <row r="22" spans="1:15">
      <c r="A22" s="29"/>
      <c r="B22" s="29"/>
      <c r="C22" s="29"/>
      <c r="D22" s="29"/>
      <c r="E22" s="29"/>
      <c r="F22" s="29"/>
      <c r="G22" s="29"/>
      <c r="H22" s="29"/>
      <c r="I22" s="29"/>
      <c r="J22" s="29"/>
      <c r="K22" s="29"/>
      <c r="L22" s="29"/>
      <c r="M22" s="29"/>
      <c r="N22" s="29"/>
      <c r="O22" s="29"/>
    </row>
    <row r="23" spans="1:15">
      <c r="A23" s="29"/>
      <c r="B23" s="29"/>
      <c r="C23" s="29"/>
      <c r="D23" s="29"/>
      <c r="E23" s="29"/>
      <c r="F23" s="29"/>
      <c r="G23" s="29"/>
      <c r="H23" s="29"/>
      <c r="I23" s="29"/>
      <c r="J23" s="29"/>
      <c r="K23" s="29"/>
      <c r="L23" s="29"/>
      <c r="M23" s="29"/>
      <c r="N23" s="29"/>
      <c r="O23" s="29"/>
    </row>
    <row r="24" spans="1:15">
      <c r="A24" s="29"/>
      <c r="B24" s="29"/>
      <c r="C24" s="29"/>
      <c r="D24" s="29"/>
      <c r="E24" s="29"/>
      <c r="F24" s="29"/>
      <c r="G24" s="29"/>
      <c r="H24" s="29"/>
      <c r="I24" s="70">
        <f>3/16</f>
        <v>0.1875</v>
      </c>
      <c r="J24" s="70">
        <f>1/4</f>
        <v>0.25</v>
      </c>
      <c r="K24" s="70">
        <f>5/16</f>
        <v>0.3125</v>
      </c>
      <c r="L24" s="70">
        <f>3/8</f>
        <v>0.375</v>
      </c>
      <c r="M24" s="70">
        <f>7/16</f>
        <v>0.4375</v>
      </c>
      <c r="N24" s="29"/>
      <c r="O24" s="29"/>
    </row>
    <row r="25" spans="1:15">
      <c r="A25" s="29"/>
      <c r="B25" s="29"/>
      <c r="C25" s="29"/>
      <c r="D25" s="29"/>
      <c r="E25" s="29"/>
      <c r="F25" s="29"/>
      <c r="G25" s="29"/>
      <c r="H25" s="29"/>
      <c r="I25" s="29"/>
      <c r="J25" s="29"/>
      <c r="K25" s="29"/>
      <c r="L25" s="29"/>
      <c r="M25" s="29"/>
      <c r="N25" s="29"/>
      <c r="O25" s="29"/>
    </row>
    <row r="26" spans="1:15">
      <c r="A26" s="29"/>
      <c r="B26" s="29"/>
      <c r="C26" s="29"/>
      <c r="D26" s="29"/>
      <c r="E26" s="29"/>
      <c r="F26" s="29"/>
      <c r="G26" s="29"/>
      <c r="H26" s="29"/>
      <c r="I26" s="29"/>
      <c r="J26" s="29"/>
      <c r="K26" s="29"/>
      <c r="L26" s="29"/>
      <c r="M26" s="29"/>
      <c r="N26" s="29"/>
      <c r="O26" s="29"/>
    </row>
    <row r="27" spans="1:15">
      <c r="A27" s="29"/>
      <c r="B27" s="29"/>
      <c r="C27" s="29"/>
      <c r="D27" s="29"/>
      <c r="E27" s="29"/>
      <c r="F27" s="29"/>
      <c r="G27" s="29"/>
      <c r="H27" s="29"/>
      <c r="I27" s="29"/>
      <c r="J27" s="29"/>
      <c r="K27" s="29"/>
      <c r="L27" s="29"/>
      <c r="M27" s="29"/>
      <c r="N27" s="29"/>
      <c r="O27" s="29"/>
    </row>
    <row r="28" spans="1:15">
      <c r="A28" s="29"/>
      <c r="B28" s="29"/>
      <c r="C28" s="29"/>
      <c r="D28" s="29"/>
      <c r="E28" s="29"/>
      <c r="F28" s="29"/>
      <c r="G28" s="29"/>
      <c r="H28" s="29"/>
      <c r="I28" s="29"/>
      <c r="J28" s="29"/>
      <c r="K28" s="29"/>
      <c r="L28" s="29"/>
      <c r="M28" s="29"/>
      <c r="N28" s="29"/>
      <c r="O28" s="29"/>
    </row>
    <row r="29" spans="1:15">
      <c r="A29" s="29"/>
      <c r="B29" s="29"/>
      <c r="C29" s="29"/>
      <c r="D29" s="29"/>
      <c r="E29" s="29"/>
      <c r="F29" s="29"/>
      <c r="G29" s="29"/>
      <c r="H29" s="29"/>
      <c r="I29" s="29"/>
      <c r="J29" s="29"/>
      <c r="K29" s="29"/>
      <c r="L29" s="29"/>
      <c r="M29" s="29"/>
      <c r="N29" s="29"/>
      <c r="O29" s="29"/>
    </row>
    <row r="30" spans="1:15" ht="18">
      <c r="A30" s="50" t="s">
        <v>238</v>
      </c>
      <c r="B30" s="50" t="s">
        <v>229</v>
      </c>
      <c r="C30" s="50" t="s">
        <v>228</v>
      </c>
      <c r="D30" s="50" t="s">
        <v>220</v>
      </c>
      <c r="E30" s="50" t="s">
        <v>221</v>
      </c>
      <c r="F30" s="52" t="s">
        <v>222</v>
      </c>
      <c r="G30" s="50" t="s">
        <v>223</v>
      </c>
      <c r="H30" s="50" t="s">
        <v>224</v>
      </c>
      <c r="I30" s="50" t="s">
        <v>233</v>
      </c>
      <c r="J30" s="50" t="s">
        <v>226</v>
      </c>
      <c r="K30" s="50" t="s">
        <v>227</v>
      </c>
      <c r="L30" s="54" t="s">
        <v>233</v>
      </c>
      <c r="M30" s="54" t="s">
        <v>226</v>
      </c>
      <c r="N30" s="54" t="s">
        <v>227</v>
      </c>
      <c r="O30" s="29"/>
    </row>
    <row r="31" spans="1:15">
      <c r="A31" s="50" t="s">
        <v>237</v>
      </c>
      <c r="B31" s="50">
        <v>2.5</v>
      </c>
      <c r="C31" s="50">
        <v>2.5</v>
      </c>
      <c r="D31" s="50">
        <f>5/16</f>
        <v>0.3125</v>
      </c>
      <c r="E31" s="50">
        <f>0.25</f>
        <v>0.25</v>
      </c>
      <c r="F31" s="50">
        <v>0.73499999999999999</v>
      </c>
      <c r="G31" s="50">
        <v>0.83699999999999997</v>
      </c>
      <c r="H31" s="50">
        <v>1.46</v>
      </c>
      <c r="I31" s="50">
        <f>(B31*D31*(E31+B31/2)+(C31-D31)*D31*(E31+B31-D31/2)+(16*E31+16*E31)*E31*E31/2)/(B31*D31+(C31-D31)*D31+(16*E31+16*E31)*E31)</f>
        <v>0.92210400225479139</v>
      </c>
      <c r="J31" s="50">
        <f>D31*B31^3/12+(I31-(E31+B31/2))^2*B31*D31+D31^3*(C31-D31)/12+(I31-(E31+B31-D31/2))^2*D31*(C31-D31)+E31^3*(16*E31+16*E31)/12+(I31-E31/2)^2*E31*(16*E31+16*E31)</f>
        <v>3.8647742043846041</v>
      </c>
      <c r="K31" s="50">
        <f>MIN(J31/I31,J31/(B31+E31-I31))</f>
        <v>2.1143293760432629</v>
      </c>
      <c r="L31" s="54">
        <f>(H31*F31+(16*E31+16*E31)*E31*(B31+E31/2))/(H31+(16*E31+16*E31)*E31)</f>
        <v>1.827485549132948</v>
      </c>
      <c r="M31" s="54">
        <f>G31+(L31-F31)^2*H31+(16*E31+16*E31)*E31^3/12+(L31-(B31+E31/2))^2*(16*E31+16*E31)*E31</f>
        <v>3.8620212909441225</v>
      </c>
      <c r="N31" s="54">
        <f>MIN(M31/L31,M31/(B31+E31-L31))</f>
        <v>2.1132978549551114</v>
      </c>
      <c r="O31" s="29"/>
    </row>
    <row r="32" spans="1:15">
      <c r="A32" s="29"/>
      <c r="B32" s="29"/>
      <c r="C32" s="29"/>
      <c r="D32" s="29"/>
      <c r="E32" s="29"/>
      <c r="F32" s="29"/>
      <c r="G32" s="29"/>
      <c r="H32" s="29"/>
      <c r="I32" s="29"/>
      <c r="J32" s="29"/>
      <c r="K32" s="29"/>
      <c r="L32" s="29"/>
      <c r="M32" s="29"/>
      <c r="N32" s="29"/>
      <c r="O32" s="29"/>
    </row>
    <row r="33" spans="1:16">
      <c r="A33" s="29"/>
      <c r="B33" s="29"/>
      <c r="C33" s="29"/>
      <c r="D33" s="29"/>
      <c r="E33" s="29"/>
      <c r="F33" s="29"/>
      <c r="G33" s="29"/>
      <c r="H33" s="29"/>
      <c r="I33" s="29"/>
      <c r="J33" s="29"/>
      <c r="K33" s="29"/>
      <c r="L33" s="29"/>
      <c r="M33" s="29"/>
      <c r="N33" s="29"/>
      <c r="O33" s="29"/>
    </row>
    <row r="34" spans="1:16">
      <c r="A34" s="29"/>
      <c r="B34" s="29"/>
      <c r="C34" s="29"/>
      <c r="D34" s="29"/>
      <c r="E34" s="29"/>
      <c r="F34" s="29"/>
      <c r="G34" s="29"/>
      <c r="H34" s="29"/>
      <c r="I34" s="29"/>
      <c r="J34" s="29"/>
      <c r="K34" s="29"/>
      <c r="L34" s="29"/>
      <c r="M34" s="29"/>
      <c r="N34" s="29"/>
      <c r="O34" s="29"/>
    </row>
    <row r="35" spans="1:16">
      <c r="A35" s="29"/>
      <c r="B35" s="29"/>
      <c r="C35" s="29"/>
      <c r="D35" s="29"/>
      <c r="E35" s="29"/>
      <c r="F35" s="29"/>
      <c r="G35" s="29"/>
      <c r="H35" s="29"/>
      <c r="I35" s="29"/>
      <c r="J35" s="29"/>
      <c r="K35" s="29"/>
      <c r="L35" s="29"/>
      <c r="M35" s="29"/>
      <c r="N35" s="29"/>
      <c r="O35" s="29"/>
    </row>
    <row r="36" spans="1:16">
      <c r="A36" s="29"/>
      <c r="B36" s="29"/>
      <c r="C36" s="29"/>
      <c r="D36" s="29"/>
      <c r="E36" s="29"/>
      <c r="F36" s="29"/>
      <c r="G36" s="29"/>
      <c r="H36" s="29"/>
      <c r="I36" s="29"/>
      <c r="J36" s="29"/>
      <c r="K36" s="29"/>
      <c r="L36" s="29"/>
      <c r="M36" s="29"/>
      <c r="N36" s="29"/>
      <c r="O36" s="29"/>
    </row>
    <row r="37" spans="1:16">
      <c r="A37" s="29"/>
      <c r="B37" s="29"/>
      <c r="C37" s="29"/>
      <c r="D37" s="29"/>
      <c r="E37" s="29"/>
      <c r="F37" s="29"/>
      <c r="G37" s="29"/>
      <c r="H37" s="29"/>
      <c r="I37" s="29"/>
      <c r="J37" s="29"/>
      <c r="K37" s="29"/>
      <c r="L37" s="29"/>
      <c r="M37" s="29"/>
      <c r="N37" s="29"/>
      <c r="O37" s="29"/>
    </row>
    <row r="38" spans="1:16">
      <c r="A38" s="29"/>
      <c r="B38" s="29"/>
      <c r="C38" s="29"/>
      <c r="D38" s="29"/>
      <c r="E38" s="29"/>
      <c r="F38" s="29"/>
      <c r="G38" s="29"/>
      <c r="H38" s="29"/>
      <c r="I38" s="29"/>
      <c r="J38" s="29"/>
      <c r="K38" s="29"/>
      <c r="L38" s="29"/>
      <c r="M38" s="29"/>
      <c r="N38" s="29"/>
      <c r="O38" s="29"/>
    </row>
    <row r="39" spans="1:16">
      <c r="A39" s="29"/>
      <c r="B39" s="29"/>
      <c r="C39" s="29"/>
      <c r="D39" s="29"/>
      <c r="E39" s="29"/>
      <c r="F39" s="29"/>
      <c r="G39" s="29"/>
      <c r="H39" s="29"/>
      <c r="I39" s="70">
        <f>3/16</f>
        <v>0.1875</v>
      </c>
      <c r="J39" s="70">
        <f>1/4</f>
        <v>0.25</v>
      </c>
      <c r="K39" s="70">
        <f>5/16</f>
        <v>0.3125</v>
      </c>
      <c r="L39" s="70">
        <f>3/8</f>
        <v>0.375</v>
      </c>
      <c r="M39" s="70">
        <f>7/16</f>
        <v>0.4375</v>
      </c>
      <c r="N39" s="29"/>
      <c r="O39" s="29"/>
    </row>
    <row r="40" spans="1:16">
      <c r="A40" s="29"/>
      <c r="B40" s="29"/>
      <c r="C40" s="29"/>
      <c r="D40" s="29"/>
      <c r="E40" s="29"/>
      <c r="F40" s="29"/>
      <c r="G40" s="29"/>
      <c r="H40" s="29"/>
      <c r="I40" s="29"/>
      <c r="J40" s="29"/>
      <c r="K40" s="29"/>
      <c r="L40" s="29"/>
      <c r="M40" s="29"/>
      <c r="N40" s="29"/>
      <c r="O40" s="29"/>
    </row>
    <row r="41" spans="1:16">
      <c r="A41" s="29"/>
      <c r="B41" s="29"/>
      <c r="C41" s="29"/>
      <c r="D41" s="29"/>
      <c r="E41" s="29"/>
      <c r="F41" s="29"/>
      <c r="G41" s="29"/>
      <c r="H41" s="29"/>
      <c r="I41" s="29"/>
      <c r="J41" s="29"/>
      <c r="K41" s="29"/>
      <c r="L41" s="29"/>
      <c r="M41" s="29"/>
      <c r="N41" s="29"/>
      <c r="O41" s="29"/>
    </row>
    <row r="42" spans="1:16">
      <c r="A42" s="29"/>
      <c r="B42" s="29"/>
      <c r="C42" s="29"/>
      <c r="D42" s="29"/>
      <c r="E42" s="29"/>
      <c r="F42" s="29"/>
      <c r="G42" s="29"/>
      <c r="H42" s="29"/>
      <c r="I42" s="29"/>
      <c r="J42" s="29"/>
      <c r="K42" s="29"/>
      <c r="L42" s="29"/>
      <c r="M42" s="29"/>
      <c r="N42" s="29"/>
      <c r="O42" s="29"/>
    </row>
    <row r="43" spans="1:16">
      <c r="A43" s="29"/>
      <c r="B43" s="29"/>
      <c r="C43" s="29"/>
      <c r="D43" s="29"/>
      <c r="E43" s="29"/>
      <c r="F43" s="29"/>
      <c r="G43" s="29"/>
      <c r="H43" s="29"/>
      <c r="I43" s="29"/>
      <c r="J43" s="29"/>
      <c r="K43" s="29"/>
      <c r="L43" s="29"/>
      <c r="M43" s="29"/>
      <c r="N43" s="29"/>
      <c r="O43" s="29"/>
    </row>
    <row r="44" spans="1:16">
      <c r="A44" s="29"/>
      <c r="B44" s="29"/>
      <c r="C44" s="29"/>
      <c r="D44" s="29"/>
      <c r="E44" s="29"/>
      <c r="F44" s="29"/>
      <c r="G44" s="29"/>
      <c r="H44" s="29"/>
      <c r="I44" s="29"/>
      <c r="J44" s="29"/>
      <c r="K44" s="29"/>
      <c r="L44" s="29"/>
      <c r="M44" s="29"/>
      <c r="N44" s="29"/>
      <c r="O44" s="29"/>
    </row>
    <row r="45" spans="1:16">
      <c r="A45" s="29"/>
      <c r="B45" s="29"/>
      <c r="C45" s="29"/>
      <c r="D45" s="29"/>
      <c r="E45" s="29"/>
      <c r="F45" s="29"/>
      <c r="G45" s="29"/>
      <c r="H45" s="29"/>
      <c r="I45" s="29"/>
      <c r="J45" s="29"/>
      <c r="K45" s="29"/>
      <c r="L45" s="29"/>
      <c r="M45" s="29"/>
      <c r="N45" s="29"/>
      <c r="O45" s="29"/>
    </row>
    <row r="46" spans="1:16">
      <c r="A46" s="29"/>
      <c r="B46" s="29"/>
      <c r="C46" s="29"/>
      <c r="D46" s="29"/>
      <c r="E46" s="29"/>
      <c r="F46" s="29"/>
      <c r="G46" s="29"/>
      <c r="H46" s="29"/>
      <c r="I46" s="29"/>
      <c r="J46" s="29"/>
      <c r="K46" s="29"/>
      <c r="L46" s="29"/>
      <c r="M46" s="29"/>
      <c r="N46" s="29"/>
      <c r="O46" s="29"/>
    </row>
    <row r="47" spans="1:16">
      <c r="A47" s="29"/>
      <c r="B47" s="29"/>
      <c r="C47" s="29"/>
      <c r="D47" s="29"/>
      <c r="E47" s="29"/>
      <c r="F47" s="29"/>
      <c r="G47" s="29"/>
      <c r="H47" s="29"/>
      <c r="I47" s="29"/>
      <c r="J47" s="29"/>
      <c r="K47" s="29"/>
      <c r="L47" s="29"/>
      <c r="M47" s="29"/>
      <c r="N47" s="29"/>
      <c r="O47" s="29"/>
    </row>
    <row r="48" spans="1:16" ht="18">
      <c r="A48" s="50" t="s">
        <v>239</v>
      </c>
      <c r="B48" s="50" t="s">
        <v>229</v>
      </c>
      <c r="C48" s="50" t="s">
        <v>240</v>
      </c>
      <c r="D48" s="50" t="s">
        <v>228</v>
      </c>
      <c r="E48" s="50" t="s">
        <v>220</v>
      </c>
      <c r="F48" s="50" t="s">
        <v>221</v>
      </c>
      <c r="G48" s="52" t="s">
        <v>222</v>
      </c>
      <c r="H48" s="50" t="s">
        <v>223</v>
      </c>
      <c r="I48" s="50" t="s">
        <v>224</v>
      </c>
      <c r="J48" s="52" t="s">
        <v>241</v>
      </c>
      <c r="K48" s="50" t="s">
        <v>233</v>
      </c>
      <c r="L48" s="50" t="s">
        <v>234</v>
      </c>
      <c r="M48" s="50" t="s">
        <v>227</v>
      </c>
      <c r="N48" s="54" t="s">
        <v>233</v>
      </c>
      <c r="O48" s="54" t="s">
        <v>226</v>
      </c>
      <c r="P48" s="54" t="s">
        <v>227</v>
      </c>
    </row>
    <row r="49" spans="1:16">
      <c r="A49" s="50" t="s">
        <v>237</v>
      </c>
      <c r="B49" s="50">
        <v>4</v>
      </c>
      <c r="C49" s="55">
        <f>2*B49</f>
        <v>8</v>
      </c>
      <c r="D49" s="50">
        <v>3</v>
      </c>
      <c r="E49" s="50">
        <f>5/16</f>
        <v>0.3125</v>
      </c>
      <c r="F49" s="50">
        <f>3/16</f>
        <v>0.1875</v>
      </c>
      <c r="G49" s="50">
        <v>1.25</v>
      </c>
      <c r="H49" s="50">
        <v>3.36</v>
      </c>
      <c r="I49" s="50">
        <v>2.09</v>
      </c>
      <c r="J49" s="50">
        <f>C49-G49</f>
        <v>6.75</v>
      </c>
      <c r="K49" s="50">
        <f>(C49*E49*(F49+C49/2)+(D49-E49)*E49*(F49+C49-E49/2)+(D49-E49)*E49*(F49+E49/2)+(16*F49+16*F49+D49)*F49*F49/2)/(C49*E49+2*(D49-E49)*E49+(16*F49+16*F49+D49)*F49)</f>
        <v>3.0100699067909455</v>
      </c>
      <c r="L49" s="50">
        <f>E49*C49^3/12+(K49-(F49+C49/2))^2*C49*E49+2*E49^3*(D49-E49)/12+(K49-(F49+C49-E49/2))^2*E49*(D49-E49)+(K49-(F49+E49/2))^2*E49*(D49-E49)+F49^3*(16*F49+16*F49+D49)/12+(K49-F49/2)^2*F49*(16*F49+16*F49+D49)</f>
        <v>58.314875427056457</v>
      </c>
      <c r="M49" s="50">
        <f>MIN(L49/K49,L49/(C49+F49-K49))</f>
        <v>11.263285911584751</v>
      </c>
      <c r="N49" s="54">
        <f>(I49*G49+I49*J49+(16*F49+16*F49+D49)*F49*(C49+F49/2))/(I49*2+(16*F49+16*F49+D49)*F49)</f>
        <v>5.1773673838943335</v>
      </c>
      <c r="O49" s="54">
        <f>H49*2+(N49-G49)^2*I49+(N49-J49)^2*I49+(32*F49+D49)*F49^3/12+(C49+F49/2-N49)^2*(32*F49+D49)*F49</f>
        <v>58.483157349933094</v>
      </c>
      <c r="P49" s="54">
        <f>MIN(O49/N49,O49/(C49+F49-N49))</f>
        <v>11.295925711561731</v>
      </c>
    </row>
    <row r="50" spans="1:16">
      <c r="A50" s="29"/>
      <c r="B50" s="29"/>
      <c r="C50" s="29"/>
      <c r="D50" s="29"/>
      <c r="E50" s="29"/>
      <c r="F50" s="29"/>
      <c r="G50" s="29"/>
      <c r="H50" s="29"/>
      <c r="I50" s="29"/>
      <c r="J50" s="29"/>
      <c r="K50" s="29"/>
      <c r="L50" s="29"/>
      <c r="M50" s="29"/>
      <c r="N50" s="29"/>
      <c r="O50" s="29"/>
    </row>
    <row r="51" spans="1:16">
      <c r="A51" s="29"/>
      <c r="B51" s="29"/>
      <c r="C51" s="29"/>
      <c r="D51" s="29"/>
      <c r="E51" s="29"/>
      <c r="F51" s="29"/>
      <c r="G51" s="29"/>
      <c r="H51" s="29"/>
      <c r="I51" s="29"/>
      <c r="J51" s="29"/>
      <c r="K51" s="29"/>
      <c r="L51" s="29"/>
      <c r="M51" s="29"/>
      <c r="N51" s="29"/>
      <c r="O51" s="29"/>
    </row>
    <row r="52" spans="1:16">
      <c r="A52" s="29"/>
      <c r="B52" s="29"/>
      <c r="C52" s="29"/>
      <c r="D52" s="29"/>
      <c r="E52" s="29"/>
      <c r="F52" s="29"/>
      <c r="G52" s="29"/>
      <c r="H52" s="29"/>
      <c r="I52" s="29"/>
      <c r="J52" s="29"/>
      <c r="K52" s="29"/>
      <c r="L52" s="29"/>
      <c r="M52" s="29"/>
      <c r="N52" s="29"/>
      <c r="O52" s="29"/>
    </row>
    <row r="53" spans="1:16">
      <c r="A53" s="29"/>
      <c r="B53" s="29"/>
      <c r="C53" s="29"/>
      <c r="D53" s="29"/>
      <c r="E53" s="29"/>
      <c r="F53" s="29"/>
      <c r="G53" s="29"/>
      <c r="H53" s="29"/>
      <c r="I53" s="29"/>
      <c r="J53" s="29"/>
      <c r="K53" s="29"/>
      <c r="L53" s="29"/>
      <c r="M53" s="29"/>
      <c r="N53" s="29"/>
      <c r="O53" s="29"/>
    </row>
    <row r="54" spans="1:16">
      <c r="A54" s="29"/>
      <c r="B54" s="29"/>
      <c r="C54" s="29"/>
      <c r="D54" s="29"/>
      <c r="E54" s="29"/>
      <c r="F54" s="29"/>
      <c r="G54" s="29"/>
      <c r="H54" s="29"/>
      <c r="I54" s="29"/>
      <c r="J54" s="29"/>
      <c r="K54" s="29"/>
      <c r="L54" s="29"/>
      <c r="M54" s="29"/>
      <c r="N54" s="29"/>
      <c r="O54" s="29"/>
    </row>
    <row r="55" spans="1:16">
      <c r="A55" s="29"/>
      <c r="B55" s="29"/>
      <c r="C55" s="29"/>
      <c r="D55" s="29"/>
      <c r="E55" s="29"/>
      <c r="F55" s="29"/>
      <c r="G55" s="29"/>
      <c r="H55" s="29"/>
      <c r="I55" s="29"/>
      <c r="J55" s="29"/>
      <c r="K55" s="29"/>
      <c r="L55" s="29"/>
      <c r="M55" s="29"/>
      <c r="N55" s="29"/>
      <c r="O55" s="29"/>
    </row>
    <row r="56" spans="1:16">
      <c r="A56" s="29"/>
      <c r="B56" s="29"/>
      <c r="C56" s="29"/>
      <c r="D56" s="29"/>
      <c r="E56" s="29"/>
      <c r="F56" s="29"/>
      <c r="G56" s="29"/>
      <c r="H56" s="29"/>
      <c r="I56" s="70">
        <f>3/16</f>
        <v>0.1875</v>
      </c>
      <c r="J56" s="70">
        <f>1/4</f>
        <v>0.25</v>
      </c>
      <c r="K56" s="70">
        <f>5/16</f>
        <v>0.3125</v>
      </c>
      <c r="L56" s="70">
        <f>3/8</f>
        <v>0.375</v>
      </c>
      <c r="M56" s="70">
        <f>7/16</f>
        <v>0.4375</v>
      </c>
      <c r="N56" s="29"/>
      <c r="O56" s="29"/>
    </row>
    <row r="57" spans="1:16">
      <c r="A57" s="29"/>
      <c r="B57" s="29"/>
      <c r="C57" s="29"/>
      <c r="D57" s="29"/>
      <c r="E57" s="29"/>
      <c r="F57" s="29"/>
      <c r="G57" s="29"/>
      <c r="H57" s="29"/>
      <c r="I57" s="29"/>
      <c r="J57" s="29"/>
      <c r="K57" s="29"/>
      <c r="L57" s="29"/>
      <c r="M57" s="29"/>
      <c r="N57" s="29"/>
      <c r="O57" s="29"/>
    </row>
    <row r="58" spans="1:16">
      <c r="A58" s="29"/>
      <c r="B58" s="29"/>
      <c r="C58" s="29"/>
      <c r="D58" s="29"/>
      <c r="E58" s="29"/>
      <c r="F58" s="29"/>
      <c r="G58" s="29"/>
      <c r="H58" s="29"/>
      <c r="I58" s="29"/>
      <c r="J58" s="29"/>
      <c r="K58" s="29"/>
      <c r="L58" s="29"/>
      <c r="M58" s="29"/>
      <c r="N58" s="29"/>
      <c r="O58" s="29"/>
    </row>
    <row r="59" spans="1:16">
      <c r="A59" s="29"/>
      <c r="B59" s="29"/>
      <c r="C59" s="29"/>
      <c r="D59" s="29"/>
      <c r="E59" s="29"/>
      <c r="F59" s="29"/>
      <c r="G59" s="29"/>
      <c r="H59" s="29"/>
      <c r="I59" s="29"/>
      <c r="J59" s="29"/>
      <c r="K59" s="29"/>
      <c r="L59" s="29"/>
      <c r="M59" s="29"/>
      <c r="N59" s="29"/>
      <c r="O59" s="29"/>
    </row>
    <row r="60" spans="1:16">
      <c r="A60" s="29"/>
      <c r="B60" s="29"/>
      <c r="C60" s="29"/>
      <c r="D60" s="29"/>
      <c r="E60" s="29"/>
      <c r="F60" s="29"/>
      <c r="G60" s="29"/>
      <c r="H60" s="29"/>
      <c r="I60" s="29"/>
      <c r="J60" s="29"/>
      <c r="K60" s="29"/>
      <c r="L60" s="29"/>
      <c r="M60" s="29"/>
      <c r="N60" s="29"/>
      <c r="O60" s="29"/>
    </row>
    <row r="61" spans="1:16">
      <c r="A61" s="29"/>
      <c r="B61" s="29"/>
      <c r="C61" s="29"/>
      <c r="D61" s="29"/>
      <c r="E61" s="29"/>
      <c r="F61" s="29"/>
      <c r="G61" s="29"/>
      <c r="H61" s="29"/>
      <c r="I61" s="29"/>
      <c r="J61" s="29"/>
      <c r="K61" s="29"/>
      <c r="L61" s="29"/>
      <c r="M61" s="29"/>
      <c r="N61" s="29"/>
      <c r="O61" s="29"/>
    </row>
    <row r="62" spans="1:16">
      <c r="A62" s="29"/>
      <c r="B62" s="29"/>
      <c r="C62" s="29"/>
      <c r="D62" s="29"/>
      <c r="E62" s="29"/>
      <c r="F62" s="29"/>
      <c r="G62" s="29"/>
      <c r="H62" s="29"/>
      <c r="I62" s="29"/>
      <c r="J62" s="29"/>
      <c r="K62" s="29"/>
      <c r="L62" s="29"/>
      <c r="M62" s="29"/>
      <c r="N62" s="29"/>
      <c r="O62" s="29"/>
    </row>
    <row r="63" spans="1:16">
      <c r="A63" s="29"/>
      <c r="B63" s="29"/>
      <c r="C63" s="29"/>
      <c r="D63" s="29"/>
      <c r="E63" s="29"/>
      <c r="F63" s="29"/>
      <c r="G63" s="29"/>
      <c r="H63" s="29"/>
      <c r="I63" s="29"/>
      <c r="J63" s="29"/>
      <c r="K63" s="29"/>
      <c r="L63" s="29"/>
      <c r="M63" s="29"/>
      <c r="N63" s="29"/>
      <c r="O63" s="29"/>
    </row>
    <row r="64" spans="1:16">
      <c r="A64" s="29"/>
      <c r="B64" s="29"/>
      <c r="C64" s="29"/>
      <c r="D64" s="29"/>
      <c r="E64" s="29"/>
      <c r="F64" s="29"/>
      <c r="G64" s="29"/>
      <c r="H64" s="29"/>
      <c r="I64" s="29"/>
      <c r="J64" s="29"/>
      <c r="K64" s="29"/>
      <c r="L64" s="29"/>
      <c r="M64" s="29"/>
      <c r="N64" s="29"/>
      <c r="O64" s="29"/>
    </row>
    <row r="65" spans="1:15">
      <c r="A65" s="29"/>
      <c r="B65" s="29"/>
      <c r="C65" s="29"/>
      <c r="D65" s="29"/>
      <c r="E65" s="29"/>
      <c r="F65" s="29"/>
      <c r="G65" s="29"/>
      <c r="H65" s="29"/>
      <c r="I65" s="29"/>
      <c r="J65" s="29"/>
      <c r="K65" s="29"/>
      <c r="L65" s="29"/>
      <c r="M65" s="29"/>
      <c r="N65" s="29"/>
      <c r="O65" s="29"/>
    </row>
    <row r="66" spans="1:15">
      <c r="A66" s="29"/>
      <c r="B66" s="29"/>
      <c r="C66" s="29"/>
      <c r="D66" s="29"/>
      <c r="E66" s="29"/>
      <c r="F66" s="29"/>
      <c r="G66" s="29"/>
      <c r="H66" s="29"/>
      <c r="I66" s="29"/>
      <c r="J66" s="29"/>
      <c r="K66" s="29"/>
      <c r="L66" s="29"/>
      <c r="M66" s="29"/>
      <c r="N66" s="29"/>
      <c r="O66" s="29"/>
    </row>
    <row r="67" spans="1:15">
      <c r="A67" s="29"/>
      <c r="B67" s="29"/>
      <c r="C67" s="29"/>
      <c r="D67" s="29"/>
      <c r="E67" s="29"/>
      <c r="F67" s="29"/>
      <c r="G67" s="29"/>
      <c r="H67" s="29"/>
      <c r="I67" s="29"/>
      <c r="J67" s="29"/>
      <c r="K67" s="29"/>
      <c r="L67" s="29"/>
      <c r="M67" s="29"/>
      <c r="N67" s="29"/>
      <c r="O67" s="29"/>
    </row>
    <row r="68" spans="1:15">
      <c r="A68" s="29"/>
      <c r="B68" s="29"/>
      <c r="C68" s="29"/>
      <c r="D68" s="29"/>
      <c r="E68" s="29"/>
      <c r="F68" s="29"/>
      <c r="G68" s="29"/>
      <c r="H68" s="29"/>
      <c r="I68" s="29"/>
      <c r="J68" s="29"/>
      <c r="K68" s="29"/>
      <c r="L68" s="29"/>
      <c r="M68" s="29"/>
      <c r="N68" s="29"/>
      <c r="O68" s="29"/>
    </row>
    <row r="69" spans="1:15">
      <c r="A69" s="29"/>
      <c r="B69" s="29"/>
      <c r="C69" s="29"/>
      <c r="D69" s="29"/>
      <c r="E69" s="29"/>
      <c r="F69" s="29"/>
      <c r="G69" s="29"/>
      <c r="H69" s="29"/>
      <c r="I69" s="29"/>
      <c r="J69" s="29"/>
      <c r="K69" s="29"/>
      <c r="L69" s="29"/>
      <c r="M69" s="29"/>
      <c r="N69" s="29"/>
      <c r="O69" s="29"/>
    </row>
    <row r="70" spans="1:15">
      <c r="A70" s="50" t="s">
        <v>242</v>
      </c>
      <c r="B70" s="50" t="s">
        <v>228</v>
      </c>
      <c r="C70" s="50" t="s">
        <v>221</v>
      </c>
      <c r="D70" s="54" t="s">
        <v>233</v>
      </c>
      <c r="E70" s="54" t="s">
        <v>234</v>
      </c>
      <c r="F70" s="54" t="s">
        <v>227</v>
      </c>
      <c r="G70" s="29"/>
      <c r="H70" s="29"/>
      <c r="I70" s="29"/>
      <c r="J70" s="29"/>
      <c r="K70" s="29"/>
      <c r="L70" s="29"/>
    </row>
    <row r="71" spans="1:15">
      <c r="A71" s="50" t="s">
        <v>237</v>
      </c>
      <c r="B71" s="50">
        <v>44</v>
      </c>
      <c r="C71" s="50">
        <f>MIN('Summary of shell design'!C21:C30)</f>
        <v>0.375</v>
      </c>
      <c r="D71" s="54">
        <f>(2.5*0.25*(C71+B71-2.5/2)+6*0.25*(C71+B71-0.25/2)+B71*0.25*(C71+B71/2)+(32*C71+0.25)*C71*(C71/2))/(2.5*0.25+6*0.25+B71*0.25+(32*C71+0.25)*C71)</f>
        <v>19.206459435626101</v>
      </c>
      <c r="E71" s="54">
        <f>2.5^3*0.25/12+(D71-(C71+B71-2.5/2))^2*2.5*0.25+0.25^3*6/12+(D71-(B71+C71-0.25/2))^2*0.25*6+B71^3*0.25/12+(D71-(C71+B71/2))^2*B71*0.25+C71^3*(32*C71+0.25)/12+(D71-C71/2)^2*C71*(32*C71+0.25)</f>
        <v>4845.4737333536568</v>
      </c>
      <c r="F71" s="54">
        <f>MIN(E71/D71,E71/(B71+C71-D71))</f>
        <v>192.52104511027673</v>
      </c>
      <c r="G71" s="29"/>
      <c r="H71" s="29"/>
      <c r="I71" s="29"/>
      <c r="J71" s="29"/>
      <c r="K71" s="29"/>
      <c r="L71" s="29"/>
    </row>
    <row r="72" spans="1:15">
      <c r="A72" s="29"/>
      <c r="B72" s="29"/>
      <c r="C72" s="29"/>
      <c r="D72" s="29"/>
      <c r="E72" s="29"/>
      <c r="F72" s="29"/>
      <c r="G72" s="29"/>
      <c r="H72" s="29"/>
      <c r="I72" s="29"/>
      <c r="J72" s="29"/>
      <c r="K72" s="29"/>
      <c r="L72" s="29"/>
      <c r="M72" s="29"/>
      <c r="N72" s="29"/>
      <c r="O72" s="29"/>
    </row>
    <row r="73" spans="1:15">
      <c r="A73" s="29"/>
      <c r="B73" s="29"/>
      <c r="C73" s="29"/>
      <c r="D73" s="29"/>
      <c r="E73" s="29"/>
      <c r="F73" s="29"/>
      <c r="G73" s="29"/>
      <c r="H73" s="29"/>
      <c r="I73" s="29"/>
      <c r="J73" s="29"/>
      <c r="K73" s="29"/>
      <c r="L73" s="29"/>
      <c r="M73" s="29"/>
      <c r="N73" s="29"/>
      <c r="O73" s="29"/>
    </row>
    <row r="74" spans="1:15">
      <c r="A74" s="29"/>
      <c r="B74" s="29"/>
      <c r="C74" s="29"/>
      <c r="D74" s="29"/>
      <c r="E74" s="29"/>
      <c r="F74" s="29"/>
      <c r="G74" s="29"/>
      <c r="H74" s="29"/>
      <c r="I74" s="29"/>
      <c r="J74" s="29"/>
      <c r="K74" s="29"/>
      <c r="L74" s="29"/>
      <c r="M74" s="29"/>
      <c r="N74" s="29"/>
      <c r="O74" s="29"/>
    </row>
    <row r="75" spans="1:15">
      <c r="A75" s="29"/>
      <c r="B75" s="29"/>
      <c r="C75" s="29"/>
      <c r="D75" s="29"/>
      <c r="E75" s="29"/>
      <c r="F75" s="29"/>
      <c r="G75" s="29"/>
      <c r="H75" s="29"/>
      <c r="I75" s="29"/>
      <c r="J75" s="29"/>
      <c r="K75" s="29"/>
      <c r="L75" s="29"/>
      <c r="M75" s="29"/>
      <c r="N75" s="29"/>
      <c r="O75" s="29"/>
    </row>
    <row r="76" spans="1:15">
      <c r="A76" s="29"/>
      <c r="B76" s="29"/>
      <c r="C76" s="29"/>
      <c r="D76" s="29"/>
      <c r="E76" s="29"/>
      <c r="F76" s="29"/>
      <c r="G76" s="29"/>
      <c r="H76" s="29"/>
      <c r="I76" s="70">
        <f>3/16</f>
        <v>0.1875</v>
      </c>
      <c r="J76" s="70">
        <f>1/4</f>
        <v>0.25</v>
      </c>
      <c r="K76" s="70">
        <f>5/16</f>
        <v>0.3125</v>
      </c>
      <c r="L76" s="70">
        <f>3/8</f>
        <v>0.375</v>
      </c>
      <c r="M76" s="70">
        <f>7/16</f>
        <v>0.4375</v>
      </c>
      <c r="N76" s="29"/>
      <c r="O76" s="29"/>
    </row>
    <row r="77" spans="1:15">
      <c r="A77" s="29"/>
      <c r="B77" s="29"/>
      <c r="C77" s="29"/>
      <c r="D77" s="29"/>
      <c r="E77" s="29"/>
      <c r="F77" s="29"/>
      <c r="G77" s="29"/>
      <c r="H77" s="29"/>
      <c r="I77" s="29"/>
      <c r="J77" s="29"/>
      <c r="K77" s="29"/>
      <c r="L77" s="29"/>
      <c r="M77" s="29"/>
      <c r="N77" s="29"/>
      <c r="O77" s="29"/>
    </row>
    <row r="78" spans="1:15">
      <c r="A78" s="29"/>
      <c r="B78" s="29"/>
      <c r="C78" s="29"/>
      <c r="D78" s="29"/>
      <c r="E78" s="29"/>
      <c r="F78" s="29"/>
      <c r="G78" s="29"/>
      <c r="H78" s="29"/>
      <c r="I78" s="29"/>
      <c r="J78" s="29"/>
      <c r="K78" s="29"/>
      <c r="L78" s="29"/>
      <c r="M78" s="29"/>
      <c r="N78" s="29"/>
      <c r="O78" s="29"/>
    </row>
    <row r="79" spans="1:15">
      <c r="A79" s="29"/>
      <c r="B79" s="29"/>
      <c r="C79" s="29"/>
      <c r="D79" s="29"/>
      <c r="E79" s="29"/>
      <c r="F79" s="29"/>
      <c r="G79" s="29"/>
      <c r="H79" s="29"/>
      <c r="I79" s="29"/>
      <c r="J79" s="29"/>
      <c r="K79" s="29"/>
      <c r="L79" s="29"/>
      <c r="M79" s="29"/>
      <c r="N79" s="29"/>
      <c r="O79" s="29"/>
    </row>
    <row r="80" spans="1:15">
      <c r="A80" s="29"/>
      <c r="B80" s="29"/>
      <c r="C80" s="29"/>
      <c r="D80" s="29"/>
      <c r="E80" s="29"/>
      <c r="F80" s="29"/>
      <c r="G80" s="29"/>
      <c r="H80" s="29"/>
      <c r="I80" s="29"/>
      <c r="J80" s="29"/>
      <c r="K80" s="29"/>
      <c r="L80" s="29"/>
      <c r="M80" s="29"/>
      <c r="N80" s="29"/>
      <c r="O80" s="29"/>
    </row>
    <row r="81" spans="1:15">
      <c r="A81" s="29"/>
      <c r="B81" s="29"/>
      <c r="C81" s="29"/>
      <c r="D81" s="29"/>
      <c r="E81" s="29"/>
      <c r="F81" s="29"/>
      <c r="G81" s="29"/>
      <c r="H81" s="29"/>
      <c r="I81" s="29"/>
      <c r="J81" s="29"/>
      <c r="K81" s="29"/>
      <c r="L81" s="29"/>
      <c r="M81" s="29"/>
      <c r="N81" s="29"/>
      <c r="O81" s="29"/>
    </row>
    <row r="82" spans="1:15">
      <c r="A82" s="29"/>
      <c r="B82" s="29"/>
      <c r="C82" s="29"/>
      <c r="D82" s="29"/>
      <c r="E82" s="29"/>
      <c r="F82" s="29"/>
      <c r="G82" s="29"/>
      <c r="H82" s="29"/>
      <c r="I82" s="29"/>
      <c r="J82" s="29"/>
      <c r="K82" s="29"/>
      <c r="L82" s="29"/>
      <c r="M82" s="29"/>
      <c r="N82" s="29"/>
      <c r="O82" s="29"/>
    </row>
    <row r="83" spans="1:15">
      <c r="A83" s="29"/>
      <c r="B83" s="29"/>
      <c r="C83" s="29"/>
      <c r="D83" s="29"/>
      <c r="E83" s="29"/>
      <c r="F83" s="29"/>
      <c r="G83" s="29"/>
      <c r="H83" s="29"/>
      <c r="I83" s="29"/>
      <c r="J83" s="29"/>
      <c r="K83" s="29"/>
      <c r="L83" s="29"/>
      <c r="M83" s="29"/>
      <c r="N83" s="29"/>
      <c r="O83" s="29"/>
    </row>
    <row r="84" spans="1:15">
      <c r="A84" s="29"/>
      <c r="B84" s="29"/>
      <c r="C84" s="29"/>
      <c r="D84" s="29"/>
      <c r="E84" s="29"/>
      <c r="F84" s="29"/>
      <c r="G84" s="29"/>
      <c r="H84" s="29"/>
      <c r="I84" s="29"/>
      <c r="J84" s="29"/>
      <c r="K84" s="29"/>
      <c r="L84" s="29"/>
      <c r="M84" s="29"/>
      <c r="N84" s="29"/>
      <c r="O84" s="29"/>
    </row>
    <row r="85" spans="1:15">
      <c r="A85" s="29"/>
      <c r="B85" s="29"/>
      <c r="C85" s="29"/>
      <c r="D85" s="29"/>
      <c r="E85" s="29"/>
      <c r="F85" s="29"/>
      <c r="G85" s="29"/>
      <c r="H85" s="29"/>
      <c r="I85" s="29"/>
      <c r="J85" s="29"/>
      <c r="K85" s="29"/>
      <c r="L85" s="29"/>
      <c r="M85" s="29"/>
      <c r="N85" s="29"/>
      <c r="O85" s="29"/>
    </row>
    <row r="86" spans="1:15">
      <c r="A86" s="29"/>
      <c r="B86" s="29"/>
      <c r="C86" s="29"/>
      <c r="D86" s="29"/>
      <c r="E86" s="29"/>
      <c r="F86" s="29"/>
      <c r="G86" s="29"/>
      <c r="H86" s="29"/>
      <c r="I86" s="29"/>
      <c r="J86" s="29"/>
      <c r="K86" s="29"/>
      <c r="L86" s="29"/>
      <c r="M86" s="29"/>
      <c r="N86" s="29"/>
      <c r="O86" s="29"/>
    </row>
    <row r="87" spans="1:15">
      <c r="A87" s="29"/>
      <c r="B87" s="29"/>
      <c r="C87" s="29"/>
      <c r="D87" s="29"/>
      <c r="E87" s="29"/>
      <c r="F87" s="29"/>
      <c r="G87" s="29"/>
      <c r="H87" s="29"/>
      <c r="I87" s="29"/>
      <c r="J87" s="29"/>
      <c r="K87" s="29"/>
      <c r="L87" s="29"/>
      <c r="M87" s="29"/>
      <c r="N87" s="29"/>
      <c r="O87" s="29"/>
    </row>
    <row r="88" spans="1:15">
      <c r="A88" s="29"/>
      <c r="B88" s="29"/>
      <c r="C88" s="29"/>
      <c r="D88" s="29"/>
      <c r="E88" s="29"/>
      <c r="F88" s="29"/>
      <c r="G88" s="29"/>
      <c r="H88" s="29"/>
      <c r="I88" s="29"/>
      <c r="J88" s="29"/>
      <c r="K88" s="29"/>
      <c r="L88" s="29"/>
      <c r="M88" s="29"/>
      <c r="N88" s="29"/>
      <c r="O88" s="29"/>
    </row>
  </sheetData>
  <phoneticPr fontId="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63AE-A79B-40F8-865B-794DE6CAA2C6}">
  <dimension ref="A1:J91"/>
  <sheetViews>
    <sheetView workbookViewId="0">
      <selection activeCell="K54" sqref="K54"/>
    </sheetView>
  </sheetViews>
  <sheetFormatPr defaultRowHeight="15"/>
  <sheetData>
    <row r="1" spans="1:10">
      <c r="A1" s="50" t="s">
        <v>243</v>
      </c>
      <c r="B1" s="50" t="s">
        <v>218</v>
      </c>
      <c r="C1" s="50" t="s">
        <v>219</v>
      </c>
      <c r="D1" s="50" t="s">
        <v>244</v>
      </c>
      <c r="E1" s="50" t="s">
        <v>245</v>
      </c>
      <c r="F1" s="50" t="s">
        <v>233</v>
      </c>
      <c r="G1" s="50" t="s">
        <v>234</v>
      </c>
      <c r="H1" s="54" t="s">
        <v>227</v>
      </c>
      <c r="I1" s="29"/>
      <c r="J1" s="29"/>
    </row>
    <row r="2" spans="1:10">
      <c r="A2" s="72" t="s">
        <v>246</v>
      </c>
      <c r="B2" s="50"/>
      <c r="C2" s="50"/>
      <c r="D2" s="50"/>
      <c r="E2" s="50" t="str" cm="1">
        <f t="array" ref="E2">IF('Wind Shell'!$D$15=1,INDEX('Summary of shell design'!$C$21:$C$30,INT('Wind Shell'!O24/INPUT!$C$10/12)+1),IF('Wind Shell'!$D$15=2,INDEX('Summary of shell design'!$C$21:$C$30,INT('Wind Shell'!R24/INPUT!$C$10/12)+1),IF('Wind Shell'!$D$15=3,INDEX('Summary of shell design'!$C$21:$C$30,INT('Wind Shell'!U24/INPUT!$C$10/12)+1),IF('Wind Shell'!$D$15=4,INDEX('Summary of shell design'!$C$21:$C$30,INT('Wind Shell'!X24/INPUT!$C$10/12)+1),"None"))))</f>
        <v>None</v>
      </c>
      <c r="F2" s="50" t="e">
        <f>(B2*D2*(E2+B2/2)+(C2-D2)*D2*(E2+B2-D2/2)+('Wind Shell'!D26*2)*E2*E2/2)/(B2*D2+(C2-D2)*D2+('Wind Shell'!D26*2)*E2)</f>
        <v>#VALUE!</v>
      </c>
      <c r="G2" s="50" t="e">
        <f>D2*B2^3/12+(F2-(E2+B2/2))^2*B2*D2+(C2-D2)*D2^3/12+(F2-(E2+B2-D2/2))^2*(C2-D2)*D2+2*'Wind Shell'!D26*E2^3/12+2*'Wind Shell'!D26*E2*(F2-E2/2)^2</f>
        <v>#VALUE!</v>
      </c>
      <c r="H2" s="50" t="str">
        <f>IF('Wind Shell'!D16="None","None",MIN(G2/F2,G2/(E2+B2-F2)))</f>
        <v>None</v>
      </c>
      <c r="I2" s="29"/>
      <c r="J2" s="29"/>
    </row>
    <row r="3" spans="1:10">
      <c r="A3" s="72"/>
      <c r="B3" s="50"/>
      <c r="C3" s="50"/>
      <c r="D3" s="50"/>
      <c r="E3" s="50" t="str" cm="1">
        <f t="array" ref="E3">IF('Wind Shell'!$D$15=1,INDEX('Summary of shell design'!$C$21:$C$30,INT('Wind Shell'!O25/INPUT!$C$10/12)+1),IF('Wind Shell'!$D$15=2,INDEX('Summary of shell design'!$C$21:$C$30,INT('Wind Shell'!R25/INPUT!$C$10/12)+1),IF('Wind Shell'!$D$15=3,INDEX('Summary of shell design'!$C$21:$C$30,INT('Wind Shell'!U25/INPUT!$C$10/12)+1),IF('Wind Shell'!$D$15=4,INDEX('Summary of shell design'!$C$21:$C$30,INT('Wind Shell'!X25/INPUT!$C$10/12)+1),"None"))))</f>
        <v>None</v>
      </c>
      <c r="F3" s="50" t="e">
        <f>(B3*D3*(E3+B3/2)+(C3-D3)*D3*(E3+B3-D3/2)+('Wind Shell'!D27*2)*E3*E3/2)/(B3*D3+(C3-D3)*D3+('Wind Shell'!D27*2)*E3)</f>
        <v>#VALUE!</v>
      </c>
      <c r="G3" s="50" t="e">
        <f>D3*B3^3/12+(F3-(E3+B3/2))^2*B3*D3+(C3-D3)*D3^3/12+(F3-(E3+B3-D3/2))^2*(C3-D3)*D3+2*'Wind Shell'!D27*E3^3/12+2*'Wind Shell'!D27*E3*(F3-E3/2)^2</f>
        <v>#VALUE!</v>
      </c>
      <c r="H3" s="50" t="str">
        <f>IF('Wind Shell'!D17="None","None",MIN(G3/F3,G3/(E3+B3-F3)))</f>
        <v>None</v>
      </c>
      <c r="I3" s="29"/>
      <c r="J3" s="29"/>
    </row>
    <row r="4" spans="1:10">
      <c r="A4" s="72"/>
      <c r="B4" s="50"/>
      <c r="C4" s="50"/>
      <c r="D4" s="50"/>
      <c r="E4" s="50" t="str" cm="1">
        <f t="array" ref="E4">IF('Wind Shell'!$D$15=1,INDEX('Summary of shell design'!$C$21:$C$30,INT('Wind Shell'!O26/INPUT!$C$10/12)+1),IF('Wind Shell'!$D$15=2,INDEX('Summary of shell design'!$C$21:$C$30,INT('Wind Shell'!R26/INPUT!$C$10/12)+1),IF('Wind Shell'!$D$15=3,INDEX('Summary of shell design'!$C$21:$C$30,INT('Wind Shell'!U26/INPUT!$C$10/12)+1),IF('Wind Shell'!$D$15=4,INDEX('Summary of shell design'!$C$21:$C$30,INT('Wind Shell'!X26/INPUT!$C$10/12)+1),"None"))))</f>
        <v>None</v>
      </c>
      <c r="F4" s="50" t="e">
        <f>(B4*D4*(E4+B4/2)+(C4-D4)*D4*(E4+B4-D4/2)+('Wind Shell'!D28*2)*E4*E4/2)/(B4*D4+(C4-D4)*D4+('Wind Shell'!D28*2)*E4)</f>
        <v>#VALUE!</v>
      </c>
      <c r="G4" s="50" t="e">
        <f>D4*B4^3/12+(F4-(E4+B4/2))^2*B4*D4+(C4-D4)*D4^3/12+(F4-(E4+B4-D4/2))^2*(C4-D4)*D4+2*'Wind Shell'!D28*E4^3/12+2*'Wind Shell'!D28*E4*(F4-E4/2)^2</f>
        <v>#VALUE!</v>
      </c>
      <c r="H4" s="50" t="str">
        <f>IF('Wind Shell'!D18="None","None",MIN(G4/F4,G4/(E4+B4-F4)))</f>
        <v>None</v>
      </c>
      <c r="I4" s="29"/>
      <c r="J4" s="29"/>
    </row>
    <row r="5" spans="1:10">
      <c r="A5" s="72"/>
      <c r="B5" s="50"/>
      <c r="C5" s="50"/>
      <c r="D5" s="50"/>
      <c r="E5" s="50" t="str" cm="1">
        <f t="array" ref="E5">IF('Wind Shell'!$D$15=1,INDEX('Summary of shell design'!$C$21:$C$30,INT('Wind Shell'!O27/INPUT!$C$10/12)+1),IF('Wind Shell'!$D$15=2,INDEX('Summary of shell design'!$C$21:$C$30,INT('Wind Shell'!R27/INPUT!$C$10/12)+1),IF('Wind Shell'!$D$15=3,INDEX('Summary of shell design'!$C$21:$C$30,INT('Wind Shell'!U27/INPUT!$C$10/12)+1),IF('Wind Shell'!$D$15=4,INDEX('Summary of shell design'!$C$21:$C$30,INT('Wind Shell'!X27/INPUT!$C$10/12)+1),"None"))))</f>
        <v>None</v>
      </c>
      <c r="F5" s="50" t="e">
        <f>(B5*D5*(E5+B5/2)+(C5-D5)*D5*(E5+B5-D5/2)+('Wind Shell'!D29*2)*E5*E5/2)/(B5*D5+(C5-D5)*D5+('Wind Shell'!D29*2)*E5)</f>
        <v>#VALUE!</v>
      </c>
      <c r="G5" s="50" t="e">
        <f>D5*B5^3/12+(F5-(E5+B5/2))^2*B5*D5+(C5-D5)*D5^3/12+(F5-(E5+B5-D5/2))^2*(C5-D5)*D5+2*'Wind Shell'!D29*E5^3/12+2*'Wind Shell'!D29*E5*(F5-E5/2)^2</f>
        <v>#VALUE!</v>
      </c>
      <c r="H5" s="50" t="str">
        <f>IF('Wind Shell'!D19="None","None",MIN(G5/F5,G5/(E5+B5-F5)))</f>
        <v>None</v>
      </c>
      <c r="I5" s="29"/>
      <c r="J5" s="29"/>
    </row>
    <row r="6" spans="1:10">
      <c r="A6" s="29"/>
      <c r="B6" s="29"/>
      <c r="C6" s="29"/>
      <c r="D6" s="29"/>
      <c r="E6" s="29"/>
      <c r="F6" s="29"/>
      <c r="G6" s="29"/>
      <c r="H6" s="29"/>
      <c r="I6" s="29"/>
      <c r="J6" s="29"/>
    </row>
    <row r="7" spans="1:10">
      <c r="A7" s="29"/>
      <c r="B7" s="29"/>
      <c r="C7" s="29"/>
      <c r="D7" s="29"/>
      <c r="E7" s="29"/>
      <c r="F7" s="29"/>
      <c r="G7" s="29"/>
      <c r="H7" s="29"/>
      <c r="I7" s="29"/>
      <c r="J7" s="29"/>
    </row>
    <row r="8" spans="1:10">
      <c r="A8" s="29"/>
      <c r="B8" s="29"/>
      <c r="C8" s="29"/>
      <c r="D8" s="29"/>
      <c r="E8" s="29"/>
      <c r="F8" s="29"/>
      <c r="G8" s="29"/>
      <c r="H8" s="29"/>
      <c r="I8" s="29"/>
      <c r="J8" s="29"/>
    </row>
    <row r="9" spans="1:10">
      <c r="A9" s="29"/>
      <c r="B9" s="29"/>
      <c r="C9" s="29"/>
      <c r="D9" s="29"/>
      <c r="E9" s="29"/>
      <c r="F9" s="29"/>
      <c r="G9" s="29"/>
      <c r="H9" s="29"/>
      <c r="I9" s="29"/>
      <c r="J9" s="29"/>
    </row>
    <row r="10" spans="1:10">
      <c r="A10" s="29"/>
      <c r="B10" s="29"/>
      <c r="C10" s="29"/>
      <c r="D10" s="29"/>
      <c r="E10" s="29"/>
      <c r="F10" s="29"/>
      <c r="G10" s="29"/>
      <c r="H10" s="29"/>
      <c r="I10" s="29"/>
      <c r="J10" s="29"/>
    </row>
    <row r="11" spans="1:10">
      <c r="A11" s="29"/>
      <c r="B11" s="29"/>
      <c r="C11" s="29"/>
      <c r="D11" s="29"/>
      <c r="E11" s="29"/>
      <c r="F11" s="29"/>
      <c r="G11" s="29"/>
      <c r="H11" s="29"/>
      <c r="I11" s="29"/>
      <c r="J11" s="29"/>
    </row>
    <row r="12" spans="1:10">
      <c r="A12" s="29"/>
      <c r="B12" s="29"/>
      <c r="C12" s="29"/>
      <c r="D12" s="29"/>
      <c r="E12" s="29"/>
      <c r="F12" s="29"/>
      <c r="G12" s="29"/>
      <c r="H12" s="29"/>
      <c r="I12" s="29"/>
      <c r="J12" s="29"/>
    </row>
    <row r="13" spans="1:10">
      <c r="A13" s="29"/>
      <c r="B13" s="29"/>
      <c r="C13" s="29"/>
      <c r="D13" s="29"/>
      <c r="E13" s="29"/>
      <c r="F13" s="29"/>
      <c r="G13" s="29"/>
      <c r="H13" s="29"/>
      <c r="I13" s="29"/>
      <c r="J13" s="29"/>
    </row>
    <row r="14" spans="1:10">
      <c r="A14" s="29"/>
      <c r="B14" s="29"/>
      <c r="C14" s="29"/>
      <c r="D14" s="29"/>
      <c r="E14" s="29"/>
      <c r="F14" s="29"/>
      <c r="G14" s="29"/>
      <c r="H14" s="29"/>
      <c r="I14" s="29"/>
      <c r="J14" s="29"/>
    </row>
    <row r="15" spans="1:10">
      <c r="A15" s="29"/>
      <c r="B15" s="29"/>
      <c r="C15" s="29"/>
      <c r="D15" s="29"/>
      <c r="E15" s="29"/>
      <c r="F15" s="29"/>
      <c r="G15" s="29"/>
      <c r="H15" s="29"/>
      <c r="I15" s="29"/>
      <c r="J15" s="29"/>
    </row>
    <row r="16" spans="1:10">
      <c r="A16" s="29"/>
      <c r="B16" s="29"/>
      <c r="C16" s="29"/>
      <c r="D16" s="29"/>
      <c r="E16" s="29"/>
      <c r="F16" s="29"/>
      <c r="G16" s="29"/>
      <c r="H16" s="29"/>
      <c r="I16" s="29"/>
      <c r="J16" s="29"/>
    </row>
    <row r="17" spans="1:10">
      <c r="A17" s="29"/>
      <c r="B17" s="29"/>
      <c r="C17" s="29"/>
      <c r="D17" s="29"/>
      <c r="E17" s="29"/>
      <c r="F17" s="29"/>
      <c r="G17" s="29"/>
      <c r="H17" s="29"/>
      <c r="I17" s="29"/>
      <c r="J17" s="29"/>
    </row>
    <row r="18" spans="1:10">
      <c r="A18" s="29"/>
      <c r="B18" s="29"/>
      <c r="C18" s="29"/>
      <c r="D18" s="29"/>
      <c r="E18" s="29"/>
      <c r="F18" s="29"/>
      <c r="G18" s="29"/>
      <c r="H18" s="29"/>
      <c r="I18" s="29"/>
      <c r="J18" s="29"/>
    </row>
    <row r="19" spans="1:10">
      <c r="A19" s="50" t="s">
        <v>247</v>
      </c>
      <c r="B19" s="50" t="s">
        <v>218</v>
      </c>
      <c r="C19" s="50" t="s">
        <v>248</v>
      </c>
      <c r="D19" s="50" t="s">
        <v>219</v>
      </c>
      <c r="E19" s="50" t="s">
        <v>220</v>
      </c>
      <c r="F19" s="50" t="s">
        <v>221</v>
      </c>
      <c r="G19" s="50" t="s">
        <v>233</v>
      </c>
      <c r="H19" s="50" t="s">
        <v>234</v>
      </c>
      <c r="I19" s="54" t="s">
        <v>227</v>
      </c>
      <c r="J19" s="29"/>
    </row>
    <row r="20" spans="1:10">
      <c r="A20" s="72" t="s">
        <v>246</v>
      </c>
      <c r="B20" s="50"/>
      <c r="C20" s="50">
        <f>B20*2</f>
        <v>0</v>
      </c>
      <c r="D20" s="50"/>
      <c r="E20" s="50"/>
      <c r="F20" s="50" t="str" cm="1">
        <f t="array" ref="F20">IF('Wind Shell'!$D$15=1,INDEX('Summary of shell design'!$C$21:$C$30,INT('Wind Shell'!O24/INPUT!$C$10/12)+1),IF('Wind Shell'!$D$15=2,INDEX('Summary of shell design'!$C$21:$C$30,INT('Wind Shell'!R24/INPUT!$C$10/12)+1),IF('Wind Shell'!$D$15=3,INDEX('Summary of shell design'!$C$21:$C$30,INT('Wind Shell'!U24/INPUT!$C$10/12)+1),IF('Wind Shell'!$D$15=4,INDEX('Summary of shell design'!$C$21:$C$30,INT('Wind Shell'!X24/INPUT!$C$10/12)+1),"None"))))</f>
        <v>None</v>
      </c>
      <c r="G20" s="50" t="e">
        <f>(C20*E20*(F20+C20/2)+(D20-E20)*E20*(F20+C20-E20/2)+(D20-E20)*E20*(F20+E20/2)+('Wind Shell'!D26+'Wind Shell'!D26+D20)*F20*F20/2)/(C20*E20+2*(D20-E20)*E20+('Wind Shell'!D26+'Wind Shell'!D26+D20)*F20)</f>
        <v>#VALUE!</v>
      </c>
      <c r="H20" s="50" t="e">
        <f>E20*C20^3/12+(G20-(F20+C20/2))^2*C20*E20+2*E20^3*(D20-E20)/12+(G20-(F20+C20-E20/2))^2*E20*(D20-E20)+(G20-(F20+E20/2))^2*E20*(D20-E20)+F20^3*(16*F20+16*F20+D20)/12+(G20-F20/2)^2*F20*(16*F20+16*F20+D20)</f>
        <v>#VALUE!</v>
      </c>
      <c r="I20" s="50" t="str">
        <f>IF('Wind Shell'!D16="None","None",MIN(H20/G20,H20/(F20+C20-G20)))</f>
        <v>None</v>
      </c>
      <c r="J20" s="29"/>
    </row>
    <row r="21" spans="1:10">
      <c r="A21" s="72"/>
      <c r="B21" s="50"/>
      <c r="C21" s="50">
        <f t="shared" ref="C21:C23" si="0">B21*2</f>
        <v>0</v>
      </c>
      <c r="D21" s="50"/>
      <c r="E21" s="50"/>
      <c r="F21" s="50" t="str" cm="1">
        <f t="array" ref="F21">IF('Wind Shell'!$D$15=1,INDEX('Summary of shell design'!$C$21:$C$30,INT('Wind Shell'!O25/INPUT!$C$10/12)+1),IF('Wind Shell'!$D$15=2,INDEX('Summary of shell design'!$C$21:$C$30,INT('Wind Shell'!R25/INPUT!$C$10/12)+1),IF('Wind Shell'!$D$15=3,INDEX('Summary of shell design'!$C$21:$C$30,INT('Wind Shell'!U25/INPUT!$C$10/12)+1),IF('Wind Shell'!$D$15=4,INDEX('Summary of shell design'!$C$21:$C$30,INT('Wind Shell'!X25/INPUT!$C$10/12)+1),"None"))))</f>
        <v>None</v>
      </c>
      <c r="G21" s="50" t="e">
        <f>(C21*E21*(F21+C21/2)+(D21-E21)*E21*(F21+C21-E21/2)+(D21-E21)*E21*(F21+E21/2)+('Wind Shell'!D27+'Wind Shell'!D27+D21)*F21*F21/2)/(C21*E21+2*(D21-E21)*E21+('Wind Shell'!D27+'Wind Shell'!D27+D21)*F21)</f>
        <v>#VALUE!</v>
      </c>
      <c r="H21" s="50" t="e">
        <f t="shared" ref="H21:H23" si="1">E21*C21^3/12+(G21-(F21+C21/2))^2*C21*E21+2*E21^3*(D21-E21)/12+(G21-(F21+C21-E21/2))^2*E21*(D21-E21)+(G21-(F21+E21/2))^2*E21*(D21-E21)+F21^3*(16*F21+16*F21+D21)/12+(G21-F21/2)^2*F21*(16*F21+16*F21+D21)</f>
        <v>#VALUE!</v>
      </c>
      <c r="I21" s="50" t="str">
        <f>IF('Wind Shell'!D17="None","None",MIN(H21/G21,H21/(F21+C21-G21)))</f>
        <v>None</v>
      </c>
      <c r="J21" s="29"/>
    </row>
    <row r="22" spans="1:10">
      <c r="A22" s="72"/>
      <c r="B22" s="50"/>
      <c r="C22" s="50">
        <f t="shared" si="0"/>
        <v>0</v>
      </c>
      <c r="D22" s="50"/>
      <c r="E22" s="50"/>
      <c r="F22" s="50" t="str" cm="1">
        <f t="array" ref="F22">IF('Wind Shell'!$D$15=1,INDEX('Summary of shell design'!$C$21:$C$30,INT('Wind Shell'!O26/INPUT!$C$10/12)+1),IF('Wind Shell'!$D$15=2,INDEX('Summary of shell design'!$C$21:$C$30,INT('Wind Shell'!R26/INPUT!$C$10/12)+1),IF('Wind Shell'!$D$15=3,INDEX('Summary of shell design'!$C$21:$C$30,INT('Wind Shell'!U26/INPUT!$C$10/12)+1),IF('Wind Shell'!$D$15=4,INDEX('Summary of shell design'!$C$21:$C$30,INT('Wind Shell'!X26/INPUT!$C$10/12)+1),"None"))))</f>
        <v>None</v>
      </c>
      <c r="G22" s="50" t="e">
        <f>(C22*E22*(F22+C22/2)+(D22-E22)*E22*(F22+C22-E22/2)+(D22-E22)*E22*(F22+E22/2)+('Wind Shell'!D28+'Wind Shell'!D28+D22)*F22*F22/2)/(C22*E22+2*(D22-E22)*E22+('Wind Shell'!D28+'Wind Shell'!D28+D22)*F22)</f>
        <v>#VALUE!</v>
      </c>
      <c r="H22" s="50" t="e">
        <f t="shared" si="1"/>
        <v>#VALUE!</v>
      </c>
      <c r="I22" s="50" t="str">
        <f>IF('Wind Shell'!D18="None","None",MIN(H22/G22,H22/(F22+C22-G22)))</f>
        <v>None</v>
      </c>
      <c r="J22" s="29"/>
    </row>
    <row r="23" spans="1:10">
      <c r="A23" s="72"/>
      <c r="B23" s="50"/>
      <c r="C23" s="50">
        <f t="shared" si="0"/>
        <v>0</v>
      </c>
      <c r="D23" s="50"/>
      <c r="E23" s="50"/>
      <c r="F23" s="50" t="str" cm="1">
        <f t="array" ref="F23">IF('Wind Shell'!$D$15=1,INDEX('Summary of shell design'!$C$21:$C$30,INT('Wind Shell'!O27/INPUT!$C$10/12)+1),IF('Wind Shell'!$D$15=2,INDEX('Summary of shell design'!$C$21:$C$30,INT('Wind Shell'!R27/INPUT!$C$10/12)+1),IF('Wind Shell'!$D$15=3,INDEX('Summary of shell design'!$C$21:$C$30,INT('Wind Shell'!U27/INPUT!$C$10/12)+1),IF('Wind Shell'!$D$15=4,INDEX('Summary of shell design'!$C$21:$C$30,INT('Wind Shell'!X27/INPUT!$C$10/12)+1),"None"))))</f>
        <v>None</v>
      </c>
      <c r="G23" s="50" t="e">
        <f>(C23*E23*(F23+C23/2)+(D23-E23)*E23*(F23+C23-E23/2)+(D23-E23)*E23*(F23+E23/2)+('Wind Shell'!D29+'Wind Shell'!D29+D23)*F23*F23/2)/(C23*E23+2*(D23-E23)*E23+('Wind Shell'!D29+'Wind Shell'!D29+D23)*F23)</f>
        <v>#VALUE!</v>
      </c>
      <c r="H23" s="50" t="e">
        <f t="shared" si="1"/>
        <v>#VALUE!</v>
      </c>
      <c r="I23" s="50" t="str">
        <f>IF('Wind Shell'!D19="None","None",MIN(H23/G23,H23/(F23+C23-G23)))</f>
        <v>None</v>
      </c>
      <c r="J23" s="29"/>
    </row>
    <row r="24" spans="1:10">
      <c r="A24" s="29"/>
      <c r="B24" s="29"/>
      <c r="C24" s="29"/>
      <c r="D24" s="29"/>
      <c r="E24" s="29"/>
      <c r="F24" s="29"/>
      <c r="G24" s="29"/>
      <c r="H24" s="29"/>
      <c r="I24" s="29"/>
      <c r="J24" s="29"/>
    </row>
    <row r="25" spans="1:10">
      <c r="A25" s="29"/>
      <c r="B25" s="29"/>
      <c r="C25" s="29"/>
      <c r="D25" s="29"/>
      <c r="E25" s="29"/>
      <c r="F25" s="29"/>
      <c r="G25" s="29"/>
      <c r="H25" s="29"/>
      <c r="I25" s="29"/>
      <c r="J25" s="29"/>
    </row>
    <row r="26" spans="1:10">
      <c r="A26" s="29"/>
      <c r="B26" s="29"/>
      <c r="C26" s="29"/>
      <c r="D26" s="29"/>
      <c r="E26" s="29"/>
      <c r="F26" s="29"/>
      <c r="G26" s="29"/>
      <c r="H26" s="29"/>
      <c r="I26" s="29"/>
      <c r="J26" s="29"/>
    </row>
    <row r="27" spans="1:10">
      <c r="A27" s="29"/>
      <c r="B27" s="29"/>
      <c r="C27" s="29"/>
      <c r="D27" s="29"/>
      <c r="E27" s="29"/>
      <c r="F27" s="29"/>
      <c r="G27" s="29"/>
      <c r="H27" s="29"/>
      <c r="I27" s="29"/>
      <c r="J27" s="29"/>
    </row>
    <row r="28" spans="1:10">
      <c r="A28" s="29"/>
      <c r="B28" s="29"/>
      <c r="C28" s="29"/>
      <c r="D28" s="29"/>
      <c r="E28" s="29"/>
      <c r="F28" s="29"/>
      <c r="G28" s="29"/>
      <c r="H28" s="29"/>
      <c r="I28" s="29"/>
      <c r="J28" s="29"/>
    </row>
    <row r="29" spans="1:10">
      <c r="A29" s="29"/>
      <c r="B29" s="29"/>
      <c r="C29" s="29"/>
      <c r="D29" s="29"/>
      <c r="E29" s="29"/>
      <c r="F29" s="29"/>
      <c r="G29" s="29"/>
      <c r="H29" s="29"/>
      <c r="I29" s="29"/>
      <c r="J29" s="29"/>
    </row>
    <row r="30" spans="1:10">
      <c r="A30" s="29"/>
      <c r="B30" s="29"/>
      <c r="C30" s="29"/>
      <c r="D30" s="29"/>
      <c r="E30" s="29"/>
      <c r="F30" s="29"/>
      <c r="G30" s="29"/>
      <c r="H30" s="29"/>
      <c r="I30" s="29"/>
      <c r="J30" s="29"/>
    </row>
    <row r="31" spans="1:10">
      <c r="A31" s="29"/>
      <c r="B31" s="29"/>
      <c r="C31" s="29"/>
      <c r="D31" s="29"/>
      <c r="E31" s="29"/>
      <c r="F31" s="29"/>
      <c r="G31" s="29"/>
      <c r="H31" s="29"/>
      <c r="I31" s="29"/>
      <c r="J31" s="29"/>
    </row>
    <row r="32" spans="1:10">
      <c r="A32" s="29"/>
      <c r="B32" s="29"/>
      <c r="C32" s="29"/>
      <c r="D32" s="29"/>
      <c r="E32" s="29"/>
      <c r="F32" s="29"/>
      <c r="G32" s="29"/>
      <c r="H32" s="29"/>
      <c r="I32" s="29"/>
      <c r="J32" s="29"/>
    </row>
    <row r="33" spans="1:10">
      <c r="A33" s="29"/>
      <c r="B33" s="29"/>
      <c r="C33" s="29"/>
      <c r="D33" s="29"/>
      <c r="E33" s="29"/>
      <c r="F33" s="29"/>
      <c r="G33" s="29"/>
      <c r="H33" s="29"/>
      <c r="I33" s="29"/>
      <c r="J33" s="29"/>
    </row>
    <row r="34" spans="1:10">
      <c r="A34" s="29"/>
      <c r="B34" s="29"/>
      <c r="C34" s="29"/>
      <c r="D34" s="29"/>
      <c r="E34" s="29"/>
      <c r="F34" s="29"/>
      <c r="G34" s="29"/>
      <c r="H34" s="29"/>
      <c r="I34" s="29"/>
      <c r="J34" s="29"/>
    </row>
    <row r="35" spans="1:10">
      <c r="A35" s="29"/>
      <c r="B35" s="29"/>
      <c r="C35" s="29"/>
      <c r="D35" s="29"/>
      <c r="E35" s="29"/>
      <c r="F35" s="29"/>
      <c r="G35" s="29"/>
      <c r="H35" s="29"/>
      <c r="I35" s="29"/>
      <c r="J35" s="29"/>
    </row>
    <row r="36" spans="1:10">
      <c r="A36" s="29"/>
      <c r="B36" s="29"/>
      <c r="C36" s="29"/>
      <c r="D36" s="29"/>
      <c r="E36" s="29"/>
      <c r="F36" s="29"/>
      <c r="G36" s="29"/>
      <c r="H36" s="29"/>
      <c r="I36" s="29"/>
      <c r="J36" s="29"/>
    </row>
    <row r="37" spans="1:10">
      <c r="A37" s="29"/>
      <c r="B37" s="29"/>
      <c r="C37" s="29"/>
      <c r="D37" s="29"/>
      <c r="E37" s="29"/>
      <c r="F37" s="29"/>
      <c r="G37" s="29"/>
      <c r="H37" s="29"/>
      <c r="I37" s="29"/>
      <c r="J37" s="29"/>
    </row>
    <row r="38" spans="1:10">
      <c r="A38" s="29"/>
      <c r="B38" s="29"/>
      <c r="C38" s="29"/>
      <c r="D38" s="29"/>
      <c r="E38" s="29"/>
      <c r="F38" s="29"/>
      <c r="G38" s="29"/>
      <c r="H38" s="29"/>
      <c r="I38" s="29"/>
      <c r="J38" s="29"/>
    </row>
    <row r="39" spans="1:10">
      <c r="A39" s="50" t="s">
        <v>249</v>
      </c>
      <c r="B39" s="50" t="s">
        <v>228</v>
      </c>
      <c r="C39" s="50" t="s">
        <v>221</v>
      </c>
      <c r="D39" s="50" t="s">
        <v>233</v>
      </c>
      <c r="E39" s="50" t="s">
        <v>234</v>
      </c>
      <c r="F39" s="54" t="s">
        <v>227</v>
      </c>
      <c r="G39" s="29"/>
      <c r="H39" s="29"/>
      <c r="I39" s="29"/>
      <c r="J39" s="29"/>
    </row>
    <row r="40" spans="1:10">
      <c r="A40" s="72" t="s">
        <v>237</v>
      </c>
      <c r="B40" s="50">
        <v>10</v>
      </c>
      <c r="C40" s="50" t="str">
        <f>F20</f>
        <v>None</v>
      </c>
      <c r="D40" s="50" t="e">
        <f>(2.5*0.25*(C40+B40-2.5/2)+6*0.25*(C40+B40-0.25/2)+B40*0.25*(C40+B40/2)+(2*'Wind Shell'!D26+0.25)*C40*(C40/2))/(2.5*0.25+6*0.25+B40*0.25+(2*'Wind Shell'!D26+0.25)*C40)</f>
        <v>#VALUE!</v>
      </c>
      <c r="E40" s="50" t="e">
        <f>2.5^3*0.25/12+(D40-(C40+B40-2.5/2))^2*2.5*0.25+0.25^3*6/12+(D40-(B40+C40-0.25/2))^2*0.25*6+B40^3*0.25/12+(D40-(C40+B40/2))^2*B40*0.25+C40^3*(2*'Wind Shell'!D26+0.25)/12+(D40-C40/2)^2*C40*(2*'Wind Shell'!D26+0.25)</f>
        <v>#VALUE!</v>
      </c>
      <c r="F40" s="50" t="str">
        <f>IF('Wind Shell'!D16="None","None",MIN(E40/D40,E40/(B40+C40-D40)))</f>
        <v>None</v>
      </c>
      <c r="G40" s="29"/>
      <c r="H40" s="29"/>
      <c r="I40" s="29"/>
      <c r="J40" s="29"/>
    </row>
    <row r="41" spans="1:10">
      <c r="A41" s="72"/>
      <c r="B41" s="50">
        <v>16</v>
      </c>
      <c r="C41" s="50" t="str">
        <f>F21</f>
        <v>None</v>
      </c>
      <c r="D41" s="50" t="e">
        <f>(2.5*0.25*(C41+B41-2.5/2)+6*0.25*(C41+B41-0.25/2)+B41*0.25*(C41+B41/2)+(2*'Wind Shell'!D27+0.25)*C41*(C41/2))/(2.5*0.25+6*0.25+B41*0.25+(2*'Wind Shell'!D27+0.25)*C41)</f>
        <v>#VALUE!</v>
      </c>
      <c r="E41" s="50" t="e">
        <f>2.5^3*0.25/12+(D41-(C41+B41-2.5/2))^2*2.5*0.25+0.25^3*6/12+(D41-(B41+C41-0.25/2))^2*0.25*6+B41^3*0.25/12+(D41-(C41+B41/2))^2*B41*0.25+C41^3*(2*'Wind Shell'!D27+0.25)/12+(D41-C41/2)^2*C41*(2*'Wind Shell'!D27+0.25)</f>
        <v>#VALUE!</v>
      </c>
      <c r="F41" s="50" t="str">
        <f>IF('Wind Shell'!D17="None","None",MIN(E41/D41,E41/(B41+C41-D41)))</f>
        <v>None</v>
      </c>
      <c r="G41" s="29"/>
      <c r="H41" s="29"/>
      <c r="I41" s="29"/>
      <c r="J41" s="29"/>
    </row>
    <row r="42" spans="1:10">
      <c r="A42" s="72"/>
      <c r="B42" s="50">
        <v>12</v>
      </c>
      <c r="C42" s="50" t="str">
        <f>F22</f>
        <v>None</v>
      </c>
      <c r="D42" s="50" t="e">
        <f>(2.5*0.25*(C42+B42-2.5/2)+6*0.25*(C42+B42-0.25/2)+B42*0.25*(C42+B42/2)+(2*'Wind Shell'!D28+0.25)*C42*(C42/2))/(2.5*0.25+6*0.25+B42*0.25+(2*'Wind Shell'!D28+0.25)*C42)</f>
        <v>#VALUE!</v>
      </c>
      <c r="E42" s="50" t="e">
        <f>2.5^3*0.25/12+(D42-(C42+B42-2.5/2))^2*2.5*0.25+0.25^3*6/12+(D42-(B42+C42-0.25/2))^2*0.25*6+B42^3*0.25/12+(D42-(C42+B42/2))^2*B42*0.25+C42^3*(2*'Wind Shell'!D28+0.25)/12+(D42-C42/2)^2*C42*(2*'Wind Shell'!D28+0.25)</f>
        <v>#VALUE!</v>
      </c>
      <c r="F42" s="50" t="str">
        <f>IF('Wind Shell'!D18="None","None",MIN(E42/D42,E42/(B42+C42-D42)))</f>
        <v>None</v>
      </c>
      <c r="G42" s="29"/>
      <c r="H42" s="29"/>
      <c r="I42" s="29"/>
      <c r="J42" s="29"/>
    </row>
    <row r="43" spans="1:10">
      <c r="A43" s="72"/>
      <c r="B43" s="50">
        <v>13</v>
      </c>
      <c r="C43" s="50" t="str">
        <f>F23</f>
        <v>None</v>
      </c>
      <c r="D43" s="50" t="e">
        <f>(2.5*0.25*(C43+B43-2.5/2)+6*0.25*(C43+B43-0.25/2)+B43*0.25*(C43+B43/2)+(2*'Wind Shell'!D29+0.25)*C43*(C43/2))/(2.5*0.25+6*0.25+B43*0.25+(2*'Wind Shell'!D29+0.25)*C43)</f>
        <v>#VALUE!</v>
      </c>
      <c r="E43" s="50" t="e">
        <f>2.5^3*0.25/12+(D43-(C43+B43-2.5/2))^2*2.5*0.25+0.25^3*6/12+(D43-(B43+C43-0.25/2))^2*0.25*6+B43^3*0.25/12+(D43-(C43+B43/2))^2*B43*0.25+C43^3*(2*'Wind Shell'!D29+0.25)/12+(D43-C43/2)^2*C43*(2*'Wind Shell'!D29+0.25)</f>
        <v>#VALUE!</v>
      </c>
      <c r="F43" s="50" t="str">
        <f>IF('Wind Shell'!D19="None","None",MIN(E43/D43,E43/(B43+C43-D43)))</f>
        <v>None</v>
      </c>
      <c r="G43" s="29"/>
      <c r="H43" s="29"/>
      <c r="I43" s="29"/>
      <c r="J43" s="29"/>
    </row>
    <row r="44" spans="1:10">
      <c r="A44" s="29"/>
      <c r="B44" s="29"/>
      <c r="C44" s="29"/>
      <c r="D44" s="29"/>
      <c r="E44" s="29"/>
      <c r="F44" s="29"/>
      <c r="G44" s="29"/>
      <c r="H44" s="29"/>
      <c r="I44" s="29"/>
      <c r="J44" s="29"/>
    </row>
    <row r="45" spans="1:10">
      <c r="A45" s="29"/>
      <c r="B45" s="29"/>
      <c r="C45" s="29"/>
      <c r="D45" s="29"/>
      <c r="E45" s="29"/>
      <c r="F45" s="29"/>
      <c r="G45" s="29"/>
      <c r="H45" s="29"/>
      <c r="I45" s="29"/>
      <c r="J45" s="29"/>
    </row>
    <row r="46" spans="1:10">
      <c r="A46" s="29"/>
      <c r="B46" s="29"/>
      <c r="C46" s="29"/>
      <c r="D46" s="29"/>
      <c r="E46" s="29"/>
      <c r="F46" s="29"/>
      <c r="G46" s="29"/>
      <c r="H46" s="29"/>
      <c r="I46" s="29"/>
      <c r="J46" s="29"/>
    </row>
    <row r="47" spans="1:10">
      <c r="A47" s="29"/>
      <c r="B47" s="29"/>
      <c r="C47" s="29"/>
      <c r="D47" s="29"/>
      <c r="E47" s="29"/>
      <c r="F47" s="29"/>
      <c r="G47" s="29"/>
      <c r="H47" s="29"/>
      <c r="I47" s="29"/>
      <c r="J47" s="29"/>
    </row>
    <row r="48" spans="1:10">
      <c r="A48" s="29"/>
      <c r="B48" s="29"/>
      <c r="C48" s="29"/>
      <c r="D48" s="29"/>
      <c r="E48" s="29"/>
      <c r="F48" s="29"/>
      <c r="G48" s="29"/>
      <c r="H48" s="29"/>
      <c r="I48" s="29"/>
      <c r="J48" s="29"/>
    </row>
    <row r="49" spans="1:10">
      <c r="A49" s="29"/>
      <c r="B49" s="29"/>
      <c r="C49" s="29"/>
      <c r="D49" s="29"/>
      <c r="E49" s="29"/>
      <c r="F49" s="29"/>
      <c r="G49" s="29"/>
      <c r="H49" s="29"/>
      <c r="I49" s="29"/>
      <c r="J49" s="29"/>
    </row>
    <row r="50" spans="1:10">
      <c r="A50" s="29"/>
      <c r="B50" s="29"/>
      <c r="C50" s="29"/>
      <c r="D50" s="29"/>
      <c r="E50" s="29"/>
      <c r="F50" s="29"/>
      <c r="G50" s="29"/>
      <c r="H50" s="29"/>
      <c r="I50" s="29"/>
      <c r="J50" s="29"/>
    </row>
    <row r="51" spans="1:10">
      <c r="A51" s="29"/>
      <c r="B51" s="29"/>
      <c r="C51" s="29"/>
      <c r="D51" s="29"/>
      <c r="E51" s="29"/>
      <c r="F51" s="29"/>
      <c r="G51" s="29"/>
      <c r="H51" s="29"/>
      <c r="I51" s="29"/>
      <c r="J51" s="29"/>
    </row>
    <row r="52" spans="1:10">
      <c r="A52" s="29"/>
      <c r="B52" s="29"/>
      <c r="C52" s="29"/>
      <c r="D52" s="29"/>
      <c r="E52" s="29"/>
      <c r="F52" s="29"/>
      <c r="G52" s="29"/>
      <c r="H52" s="29"/>
      <c r="I52" s="29"/>
      <c r="J52" s="29"/>
    </row>
    <row r="53" spans="1:10">
      <c r="A53" s="29"/>
      <c r="B53" s="29"/>
      <c r="C53" s="29"/>
      <c r="D53" s="29"/>
      <c r="E53" s="29"/>
      <c r="F53" s="29"/>
      <c r="G53" s="29"/>
      <c r="H53" s="29"/>
      <c r="I53" s="29"/>
      <c r="J53" s="29"/>
    </row>
    <row r="54" spans="1:10">
      <c r="A54" s="29"/>
      <c r="B54" s="29"/>
      <c r="C54" s="29"/>
      <c r="D54" s="29"/>
      <c r="E54" s="29"/>
      <c r="F54" s="29"/>
      <c r="G54" s="29"/>
      <c r="H54" s="29"/>
      <c r="I54" s="29"/>
      <c r="J54" s="29"/>
    </row>
    <row r="55" spans="1:10">
      <c r="A55" s="29"/>
      <c r="B55" s="29"/>
      <c r="C55" s="29"/>
      <c r="D55" s="29"/>
      <c r="E55" s="29"/>
      <c r="F55" s="29"/>
      <c r="G55" s="29"/>
      <c r="H55" s="29"/>
      <c r="I55" s="29"/>
      <c r="J55" s="29"/>
    </row>
    <row r="56" spans="1:10">
      <c r="A56" s="29"/>
      <c r="B56" s="29"/>
      <c r="C56" s="29"/>
      <c r="D56" s="29"/>
      <c r="E56" s="29"/>
      <c r="F56" s="29"/>
      <c r="G56" s="29"/>
      <c r="H56" s="29"/>
      <c r="I56" s="29"/>
      <c r="J56" s="29"/>
    </row>
    <row r="57" spans="1:10">
      <c r="A57" s="29"/>
      <c r="B57" s="29"/>
      <c r="C57" s="29"/>
      <c r="D57" s="29"/>
      <c r="E57" s="29"/>
      <c r="F57" s="29"/>
      <c r="G57" s="29"/>
      <c r="H57" s="29"/>
      <c r="I57" s="29"/>
      <c r="J57" s="29"/>
    </row>
    <row r="58" spans="1:10">
      <c r="A58" s="29"/>
      <c r="B58" s="29"/>
      <c r="C58" s="29"/>
      <c r="D58" s="29"/>
      <c r="E58" s="29"/>
      <c r="F58" s="29"/>
      <c r="G58" s="29"/>
      <c r="H58" s="29"/>
      <c r="I58" s="29"/>
      <c r="J58" s="29"/>
    </row>
    <row r="59" spans="1:10">
      <c r="A59" s="29"/>
      <c r="B59" s="29"/>
      <c r="C59" s="29"/>
      <c r="D59" s="29"/>
      <c r="E59" s="29"/>
      <c r="F59" s="29"/>
      <c r="G59" s="29"/>
      <c r="H59" s="29"/>
      <c r="I59" s="29"/>
      <c r="J59" s="29"/>
    </row>
    <row r="60" spans="1:10">
      <c r="A60" s="29"/>
      <c r="B60" s="29"/>
      <c r="C60" s="29"/>
      <c r="D60" s="29"/>
      <c r="E60" s="29"/>
      <c r="F60" s="29"/>
      <c r="G60" s="29"/>
      <c r="H60" s="29"/>
      <c r="I60" s="29"/>
      <c r="J60" s="29"/>
    </row>
    <row r="61" spans="1:10">
      <c r="A61" s="29"/>
      <c r="B61" s="29"/>
      <c r="C61" s="29"/>
      <c r="D61" s="29"/>
      <c r="E61" s="29"/>
      <c r="F61" s="29"/>
      <c r="G61" s="29"/>
      <c r="H61" s="29"/>
      <c r="I61" s="29"/>
      <c r="J61" s="29"/>
    </row>
    <row r="62" spans="1:10">
      <c r="A62" s="29"/>
      <c r="B62" s="29"/>
      <c r="C62" s="29"/>
      <c r="D62" s="29"/>
      <c r="E62" s="29"/>
      <c r="F62" s="29"/>
      <c r="G62" s="29"/>
      <c r="H62" s="29"/>
      <c r="I62" s="29"/>
      <c r="J62" s="29"/>
    </row>
    <row r="63" spans="1:10">
      <c r="A63" s="29"/>
      <c r="B63" s="29"/>
      <c r="C63" s="29"/>
      <c r="D63" s="29"/>
      <c r="E63" s="29"/>
      <c r="F63" s="29"/>
      <c r="G63" s="29"/>
      <c r="H63" s="29"/>
      <c r="I63" s="29"/>
      <c r="J63" s="29"/>
    </row>
    <row r="64" spans="1:10">
      <c r="A64" s="29"/>
      <c r="B64" s="29"/>
      <c r="C64" s="29"/>
      <c r="D64" s="29"/>
      <c r="E64" s="29"/>
      <c r="F64" s="29"/>
      <c r="G64" s="29"/>
      <c r="H64" s="29"/>
      <c r="I64" s="29"/>
      <c r="J64" s="29"/>
    </row>
    <row r="65" spans="1:10">
      <c r="A65" s="29"/>
      <c r="B65" s="29"/>
      <c r="C65" s="29"/>
      <c r="D65" s="29"/>
      <c r="E65" s="29"/>
      <c r="F65" s="29"/>
      <c r="G65" s="29"/>
      <c r="H65" s="29"/>
      <c r="I65" s="29"/>
      <c r="J65" s="29"/>
    </row>
    <row r="66" spans="1:10">
      <c r="A66" s="29"/>
      <c r="B66" s="29"/>
      <c r="C66" s="29"/>
      <c r="D66" s="29"/>
      <c r="E66" s="29"/>
      <c r="F66" s="29"/>
      <c r="G66" s="29"/>
      <c r="H66" s="29"/>
      <c r="I66" s="29"/>
      <c r="J66" s="29"/>
    </row>
    <row r="67" spans="1:10">
      <c r="A67" s="29"/>
      <c r="B67" s="29"/>
      <c r="C67" s="29"/>
      <c r="D67" s="29"/>
      <c r="E67" s="29"/>
      <c r="F67" s="29"/>
      <c r="G67" s="29"/>
      <c r="H67" s="29"/>
      <c r="I67" s="29"/>
      <c r="J67" s="29"/>
    </row>
    <row r="68" spans="1:10">
      <c r="A68" s="29"/>
      <c r="B68" s="29"/>
      <c r="C68" s="29"/>
      <c r="D68" s="29"/>
      <c r="E68" s="29"/>
      <c r="F68" s="29"/>
      <c r="G68" s="29"/>
      <c r="H68" s="29"/>
      <c r="I68" s="29"/>
      <c r="J68" s="29"/>
    </row>
    <row r="69" spans="1:10">
      <c r="A69" s="29"/>
      <c r="B69" s="29"/>
      <c r="C69" s="29"/>
      <c r="D69" s="29"/>
      <c r="E69" s="29"/>
      <c r="F69" s="29"/>
      <c r="G69" s="29"/>
      <c r="H69" s="29"/>
      <c r="I69" s="29"/>
      <c r="J69" s="29"/>
    </row>
    <row r="70" spans="1:10">
      <c r="A70" s="29"/>
      <c r="B70" s="29"/>
      <c r="C70" s="29"/>
      <c r="D70" s="29"/>
      <c r="E70" s="29"/>
      <c r="F70" s="29"/>
      <c r="G70" s="29"/>
      <c r="H70" s="29"/>
      <c r="I70" s="29"/>
      <c r="J70" s="29"/>
    </row>
    <row r="71" spans="1:10">
      <c r="A71" s="29"/>
      <c r="B71" s="29"/>
      <c r="C71" s="29"/>
      <c r="D71" s="29"/>
      <c r="E71" s="29"/>
      <c r="F71" s="29"/>
      <c r="G71" s="29"/>
      <c r="H71" s="29"/>
      <c r="I71" s="29"/>
      <c r="J71" s="29"/>
    </row>
    <row r="72" spans="1:10">
      <c r="A72" s="29"/>
      <c r="B72" s="29"/>
      <c r="C72" s="29"/>
      <c r="D72" s="29"/>
      <c r="E72" s="29"/>
      <c r="F72" s="29"/>
      <c r="G72" s="29"/>
      <c r="H72" s="29"/>
      <c r="I72" s="29"/>
      <c r="J72" s="29"/>
    </row>
    <row r="73" spans="1:10">
      <c r="A73" s="29"/>
      <c r="B73" s="29"/>
      <c r="C73" s="29"/>
      <c r="D73" s="29"/>
      <c r="E73" s="29"/>
      <c r="F73" s="29"/>
      <c r="G73" s="29"/>
      <c r="H73" s="29"/>
      <c r="I73" s="29"/>
      <c r="J73" s="29"/>
    </row>
    <row r="74" spans="1:10">
      <c r="A74" s="29"/>
      <c r="B74" s="29"/>
      <c r="C74" s="29"/>
      <c r="D74" s="29"/>
      <c r="E74" s="29"/>
      <c r="F74" s="29"/>
      <c r="G74" s="29"/>
      <c r="H74" s="29"/>
      <c r="I74" s="29"/>
      <c r="J74" s="29"/>
    </row>
    <row r="75" spans="1:10">
      <c r="A75" s="29"/>
      <c r="B75" s="29"/>
      <c r="C75" s="29"/>
      <c r="D75" s="29"/>
      <c r="E75" s="29"/>
      <c r="F75" s="29"/>
      <c r="G75" s="29"/>
      <c r="H75" s="29"/>
      <c r="I75" s="29"/>
      <c r="J75" s="29"/>
    </row>
    <row r="76" spans="1:10">
      <c r="A76" s="29"/>
      <c r="B76" s="29"/>
      <c r="C76" s="29"/>
      <c r="D76" s="29"/>
      <c r="E76" s="29"/>
      <c r="F76" s="29"/>
      <c r="G76" s="29"/>
      <c r="H76" s="29"/>
      <c r="I76" s="29"/>
      <c r="J76" s="29"/>
    </row>
    <row r="77" spans="1:10">
      <c r="A77" s="29"/>
      <c r="B77" s="29"/>
      <c r="C77" s="29"/>
      <c r="D77" s="29"/>
      <c r="E77" s="29"/>
      <c r="F77" s="29"/>
      <c r="G77" s="29"/>
      <c r="H77" s="29"/>
      <c r="I77" s="29"/>
      <c r="J77" s="29"/>
    </row>
    <row r="78" spans="1:10">
      <c r="A78" s="29"/>
      <c r="B78" s="29"/>
      <c r="C78" s="29"/>
      <c r="D78" s="29"/>
      <c r="E78" s="29"/>
      <c r="F78" s="29"/>
      <c r="G78" s="29"/>
      <c r="H78" s="29"/>
      <c r="I78" s="29"/>
      <c r="J78" s="29"/>
    </row>
    <row r="79" spans="1:10">
      <c r="A79" s="29"/>
      <c r="B79" s="29"/>
      <c r="C79" s="29"/>
      <c r="D79" s="29"/>
      <c r="E79" s="29"/>
      <c r="F79" s="29"/>
      <c r="G79" s="29"/>
      <c r="H79" s="29"/>
      <c r="I79" s="29"/>
      <c r="J79" s="29"/>
    </row>
    <row r="80" spans="1:10">
      <c r="A80" s="29"/>
      <c r="B80" s="29"/>
      <c r="C80" s="29"/>
      <c r="D80" s="29"/>
      <c r="E80" s="29"/>
      <c r="F80" s="29"/>
      <c r="G80" s="29"/>
      <c r="H80" s="29"/>
      <c r="I80" s="29"/>
      <c r="J80" s="29"/>
    </row>
    <row r="81" spans="1:10">
      <c r="A81" s="29"/>
      <c r="B81" s="29"/>
      <c r="C81" s="29"/>
      <c r="D81" s="29"/>
      <c r="E81" s="29"/>
      <c r="F81" s="29"/>
      <c r="G81" s="29"/>
      <c r="H81" s="29"/>
      <c r="I81" s="29"/>
      <c r="J81" s="29"/>
    </row>
    <row r="82" spans="1:10">
      <c r="A82" s="29"/>
      <c r="B82" s="29"/>
      <c r="C82" s="29"/>
      <c r="D82" s="29"/>
      <c r="E82" s="29"/>
      <c r="F82" s="29"/>
      <c r="G82" s="29"/>
      <c r="H82" s="29"/>
      <c r="I82" s="29"/>
      <c r="J82" s="29"/>
    </row>
    <row r="83" spans="1:10">
      <c r="A83" s="29"/>
      <c r="B83" s="29"/>
      <c r="C83" s="29"/>
      <c r="D83" s="29"/>
      <c r="E83" s="29"/>
      <c r="F83" s="29"/>
      <c r="G83" s="29"/>
      <c r="H83" s="29"/>
      <c r="I83" s="29"/>
      <c r="J83" s="29"/>
    </row>
    <row r="84" spans="1:10">
      <c r="A84" s="29"/>
      <c r="B84" s="29"/>
      <c r="C84" s="29"/>
      <c r="D84" s="29"/>
      <c r="E84" s="29"/>
      <c r="F84" s="29"/>
      <c r="G84" s="29"/>
      <c r="H84" s="29"/>
      <c r="I84" s="29"/>
      <c r="J84" s="29"/>
    </row>
    <row r="85" spans="1:10">
      <c r="A85" s="29"/>
      <c r="B85" s="29"/>
      <c r="C85" s="29"/>
      <c r="D85" s="29"/>
      <c r="E85" s="29"/>
      <c r="F85" s="29"/>
      <c r="G85" s="29"/>
      <c r="H85" s="29"/>
      <c r="I85" s="29"/>
      <c r="J85" s="29"/>
    </row>
    <row r="86" spans="1:10">
      <c r="A86" s="29"/>
      <c r="B86" s="29"/>
      <c r="C86" s="29"/>
      <c r="D86" s="29"/>
      <c r="E86" s="29"/>
      <c r="F86" s="29"/>
      <c r="G86" s="29"/>
      <c r="H86" s="29"/>
      <c r="I86" s="29"/>
      <c r="J86" s="29"/>
    </row>
    <row r="87" spans="1:10">
      <c r="A87" s="29"/>
      <c r="B87" s="29"/>
      <c r="C87" s="29"/>
      <c r="D87" s="29"/>
      <c r="E87" s="29"/>
      <c r="F87" s="29"/>
      <c r="G87" s="29"/>
      <c r="H87" s="29"/>
      <c r="I87" s="29"/>
      <c r="J87" s="29"/>
    </row>
    <row r="88" spans="1:10">
      <c r="A88" s="29"/>
      <c r="B88" s="29"/>
      <c r="C88" s="29"/>
      <c r="D88" s="29"/>
      <c r="E88" s="29"/>
      <c r="F88" s="29"/>
      <c r="G88" s="29"/>
      <c r="H88" s="29"/>
      <c r="I88" s="29"/>
      <c r="J88" s="29"/>
    </row>
    <row r="89" spans="1:10">
      <c r="A89" s="29"/>
      <c r="B89" s="29"/>
      <c r="C89" s="29"/>
      <c r="D89" s="29"/>
      <c r="E89" s="29"/>
      <c r="F89" s="29"/>
      <c r="G89" s="29"/>
      <c r="H89" s="29"/>
      <c r="I89" s="29"/>
      <c r="J89" s="29"/>
    </row>
    <row r="90" spans="1:10">
      <c r="A90" s="29"/>
      <c r="B90" s="29"/>
      <c r="C90" s="29"/>
      <c r="D90" s="29"/>
      <c r="E90" s="29"/>
      <c r="F90" s="29"/>
      <c r="G90" s="29"/>
      <c r="H90" s="29"/>
      <c r="I90" s="29"/>
      <c r="J90" s="29"/>
    </row>
    <row r="91" spans="1:10">
      <c r="A91" s="29"/>
      <c r="B91" s="29"/>
      <c r="C91" s="29"/>
      <c r="D91" s="29"/>
      <c r="E91" s="29"/>
      <c r="F91" s="29"/>
      <c r="G91" s="29"/>
      <c r="H91" s="29"/>
      <c r="I91" s="29"/>
      <c r="J91" s="29"/>
    </row>
  </sheetData>
  <mergeCells count="3">
    <mergeCell ref="A2:A5"/>
    <mergeCell ref="A20:A23"/>
    <mergeCell ref="A40:A43"/>
  </mergeCells>
  <conditionalFormatting sqref="H2:H5">
    <cfRule type="uniqueValues" dxfId="2" priority="3"/>
  </conditionalFormatting>
  <conditionalFormatting sqref="I20:I23">
    <cfRule type="uniqueValues" dxfId="1" priority="2"/>
  </conditionalFormatting>
  <conditionalFormatting sqref="F40:F43">
    <cfRule type="uniqueValues" dxfId="0" priority="1"/>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B699A-DBEE-43D0-9FC7-E527E824887B}">
  <dimension ref="A1"/>
  <sheetViews>
    <sheetView zoomScale="181" workbookViewId="0">
      <selection activeCell="A149" sqref="A149"/>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925AA-6643-450B-8D4B-3657E84C90B6}">
  <dimension ref="A1:I86"/>
  <sheetViews>
    <sheetView workbookViewId="0">
      <selection activeCell="D5" sqref="D5"/>
    </sheetView>
  </sheetViews>
  <sheetFormatPr defaultRowHeight="15"/>
  <cols>
    <col min="1" max="1" width="29.140625" customWidth="1"/>
    <col min="2" max="2" width="3.42578125" customWidth="1"/>
    <col min="3" max="3" width="84.7109375" customWidth="1"/>
    <col min="5" max="5" width="10.7109375" customWidth="1"/>
    <col min="6" max="6" width="19.5703125" customWidth="1"/>
    <col min="7" max="7" width="45.28515625" customWidth="1"/>
  </cols>
  <sheetData>
    <row r="1" spans="1:9">
      <c r="A1" s="25" t="s">
        <v>250</v>
      </c>
      <c r="B1" s="20"/>
      <c r="C1" s="20"/>
      <c r="D1" s="20"/>
      <c r="E1" s="20"/>
      <c r="F1" s="20" t="s">
        <v>251</v>
      </c>
      <c r="G1" s="20"/>
      <c r="H1" s="20"/>
      <c r="I1" s="20"/>
    </row>
    <row r="2" spans="1:9" ht="16.149999999999999" customHeight="1">
      <c r="A2" s="93" t="s">
        <v>252</v>
      </c>
      <c r="B2" s="25">
        <v>1</v>
      </c>
      <c r="C2" s="20" t="s">
        <v>253</v>
      </c>
      <c r="D2" s="90">
        <v>100</v>
      </c>
      <c r="E2" s="90" t="s">
        <v>254</v>
      </c>
      <c r="F2" s="90" t="s">
        <v>255</v>
      </c>
      <c r="G2" s="20" t="s">
        <v>256</v>
      </c>
      <c r="H2" s="20">
        <f>INPUT!C42</f>
        <v>0</v>
      </c>
      <c r="I2" s="20" t="s">
        <v>86</v>
      </c>
    </row>
    <row r="3" spans="1:9" ht="17.25">
      <c r="A3" s="93"/>
      <c r="B3" s="25">
        <v>2</v>
      </c>
      <c r="C3" s="20" t="s">
        <v>257</v>
      </c>
      <c r="D3" s="91"/>
      <c r="E3" s="91"/>
      <c r="F3" s="91"/>
      <c r="G3" s="20" t="s">
        <v>258</v>
      </c>
      <c r="H3" s="20">
        <f>31*(D2/120)^2</f>
        <v>21.527777777777782</v>
      </c>
      <c r="I3" s="20" t="s">
        <v>86</v>
      </c>
    </row>
    <row r="4" spans="1:9" ht="17.25">
      <c r="A4" s="93"/>
      <c r="B4" s="25">
        <v>3</v>
      </c>
      <c r="C4" s="20" t="s">
        <v>259</v>
      </c>
      <c r="D4" s="92"/>
      <c r="E4" s="92"/>
      <c r="F4" s="92"/>
      <c r="G4" s="20" t="s">
        <v>260</v>
      </c>
      <c r="H4" s="20">
        <f>IF(H2=0,H3,H2)</f>
        <v>21.527777777777782</v>
      </c>
      <c r="I4" s="20" t="s">
        <v>86</v>
      </c>
    </row>
    <row r="5" spans="1:9" ht="18">
      <c r="A5" s="26"/>
      <c r="B5" s="20"/>
      <c r="C5" s="20"/>
      <c r="D5" s="20"/>
      <c r="E5" s="20"/>
      <c r="F5" s="25" t="s">
        <v>261</v>
      </c>
      <c r="G5" s="20" t="s">
        <v>262</v>
      </c>
      <c r="H5" s="20">
        <f>H4+5</f>
        <v>26.527777777777782</v>
      </c>
      <c r="I5" s="20" t="s">
        <v>86</v>
      </c>
    </row>
    <row r="11" spans="1:9" ht="19.899999999999999" customHeight="1">
      <c r="A11" s="84" t="s">
        <v>263</v>
      </c>
      <c r="B11" s="84"/>
      <c r="C11" s="84"/>
      <c r="D11" s="84"/>
      <c r="E11" s="84"/>
      <c r="F11" s="84"/>
    </row>
    <row r="12" spans="1:9" ht="19.899999999999999" customHeight="1">
      <c r="A12" s="24" t="s">
        <v>264</v>
      </c>
      <c r="B12" s="82" t="s">
        <v>265</v>
      </c>
      <c r="C12" s="82"/>
      <c r="D12" s="82" t="s">
        <v>266</v>
      </c>
      <c r="E12" s="82"/>
      <c r="F12" s="82"/>
    </row>
    <row r="13" spans="1:9" ht="19.899999999999999" customHeight="1">
      <c r="A13" s="24" t="s">
        <v>267</v>
      </c>
      <c r="B13" s="82">
        <v>0.87</v>
      </c>
      <c r="C13" s="82"/>
      <c r="D13" s="82">
        <v>0.77</v>
      </c>
      <c r="E13" s="82"/>
      <c r="F13" s="82"/>
    </row>
    <row r="14" spans="1:9" ht="19.899999999999999" customHeight="1">
      <c r="A14" s="24" t="s">
        <v>268</v>
      </c>
      <c r="B14" s="82">
        <v>1</v>
      </c>
      <c r="C14" s="82"/>
      <c r="D14" s="82">
        <v>1</v>
      </c>
      <c r="E14" s="82"/>
      <c r="F14" s="82"/>
    </row>
    <row r="15" spans="1:9" ht="19.899999999999999" customHeight="1">
      <c r="A15" s="24" t="s">
        <v>269</v>
      </c>
      <c r="B15" s="82">
        <v>1.1499999999999999</v>
      </c>
      <c r="C15" s="82"/>
      <c r="D15" s="82">
        <v>1.1499999999999999</v>
      </c>
      <c r="E15" s="82"/>
      <c r="F15" s="82"/>
    </row>
    <row r="16" spans="1:9" ht="19.899999999999999" customHeight="1">
      <c r="A16" s="24" t="s">
        <v>270</v>
      </c>
      <c r="B16" s="82">
        <v>1.1499999999999999</v>
      </c>
      <c r="C16" s="82"/>
      <c r="D16" s="82">
        <v>1.1499999999999999</v>
      </c>
      <c r="E16" s="82"/>
      <c r="F16" s="82"/>
    </row>
    <row r="17" spans="1:5" ht="19.899999999999999" customHeight="1"/>
    <row r="18" spans="1:5" ht="19.899999999999999" customHeight="1">
      <c r="A18" s="84" t="s">
        <v>271</v>
      </c>
      <c r="B18" s="84"/>
      <c r="C18" s="84"/>
      <c r="D18" s="84"/>
      <c r="E18" s="84"/>
    </row>
    <row r="19" spans="1:5" ht="19.899999999999999" customHeight="1">
      <c r="A19" s="85" t="s">
        <v>272</v>
      </c>
      <c r="B19" s="85"/>
      <c r="C19" s="85"/>
      <c r="D19" s="22" t="s">
        <v>273</v>
      </c>
      <c r="E19" s="23"/>
    </row>
    <row r="20" spans="1:5" ht="19.899999999999999" customHeight="1">
      <c r="A20" s="86" t="s">
        <v>274</v>
      </c>
      <c r="B20" s="86"/>
      <c r="C20" s="87"/>
      <c r="D20" s="76" t="s">
        <v>267</v>
      </c>
      <c r="E20" s="77"/>
    </row>
    <row r="21" spans="1:5" ht="19.899999999999999" customHeight="1">
      <c r="A21" s="88"/>
      <c r="B21" s="88"/>
      <c r="C21" s="89"/>
      <c r="D21" s="78"/>
      <c r="E21" s="79"/>
    </row>
    <row r="22" spans="1:5" ht="19.899999999999999" customHeight="1">
      <c r="A22" s="88"/>
      <c r="B22" s="88"/>
      <c r="C22" s="89"/>
      <c r="D22" s="78"/>
      <c r="E22" s="79"/>
    </row>
    <row r="23" spans="1:5" ht="19.899999999999999" customHeight="1">
      <c r="A23" s="88"/>
      <c r="B23" s="88"/>
      <c r="C23" s="89"/>
      <c r="D23" s="80"/>
      <c r="E23" s="81"/>
    </row>
    <row r="24" spans="1:5" ht="19.899999999999999" customHeight="1">
      <c r="A24" s="83" t="s">
        <v>275</v>
      </c>
      <c r="B24" s="83"/>
      <c r="C24" s="83"/>
      <c r="D24" s="82" t="s">
        <v>268</v>
      </c>
      <c r="E24" s="82"/>
    </row>
    <row r="25" spans="1:5" ht="19.899999999999999" customHeight="1">
      <c r="A25" s="94" t="s">
        <v>276</v>
      </c>
      <c r="B25" s="95"/>
      <c r="C25" s="96"/>
      <c r="D25" s="76" t="s">
        <v>269</v>
      </c>
      <c r="E25" s="77"/>
    </row>
    <row r="26" spans="1:5" ht="19.899999999999999" customHeight="1">
      <c r="A26" s="97"/>
      <c r="B26" s="98"/>
      <c r="C26" s="99"/>
      <c r="D26" s="78"/>
      <c r="E26" s="79"/>
    </row>
    <row r="27" spans="1:5" ht="19.899999999999999" customHeight="1">
      <c r="A27" s="97"/>
      <c r="B27" s="98"/>
      <c r="C27" s="99"/>
      <c r="D27" s="78"/>
      <c r="E27" s="79"/>
    </row>
    <row r="28" spans="1:5" ht="19.899999999999999" customHeight="1">
      <c r="A28" s="97"/>
      <c r="B28" s="98"/>
      <c r="C28" s="99"/>
      <c r="D28" s="78"/>
      <c r="E28" s="79"/>
    </row>
    <row r="29" spans="1:5" ht="19.899999999999999" customHeight="1">
      <c r="A29" s="97"/>
      <c r="B29" s="98"/>
      <c r="C29" s="99"/>
      <c r="D29" s="78"/>
      <c r="E29" s="79"/>
    </row>
    <row r="30" spans="1:5" ht="19.899999999999999" customHeight="1">
      <c r="A30" s="97"/>
      <c r="B30" s="98"/>
      <c r="C30" s="99"/>
      <c r="D30" s="78"/>
      <c r="E30" s="79"/>
    </row>
    <row r="31" spans="1:5" ht="19.899999999999999" customHeight="1">
      <c r="A31" s="97"/>
      <c r="B31" s="98"/>
      <c r="C31" s="99"/>
      <c r="D31" s="78"/>
      <c r="E31" s="79"/>
    </row>
    <row r="32" spans="1:5" ht="19.899999999999999" customHeight="1">
      <c r="A32" s="97"/>
      <c r="B32" s="98"/>
      <c r="C32" s="99"/>
      <c r="D32" s="78"/>
      <c r="E32" s="79"/>
    </row>
    <row r="33" spans="1:5" ht="19.899999999999999" customHeight="1">
      <c r="A33" s="97"/>
      <c r="B33" s="98"/>
      <c r="C33" s="99"/>
      <c r="D33" s="78"/>
      <c r="E33" s="79"/>
    </row>
    <row r="34" spans="1:5" ht="19.899999999999999" customHeight="1">
      <c r="A34" s="97"/>
      <c r="B34" s="98"/>
      <c r="C34" s="99"/>
      <c r="D34" s="78"/>
      <c r="E34" s="79"/>
    </row>
    <row r="35" spans="1:5" ht="19.899999999999999" customHeight="1">
      <c r="A35" s="97"/>
      <c r="B35" s="98"/>
      <c r="C35" s="99"/>
      <c r="D35" s="78"/>
      <c r="E35" s="79"/>
    </row>
    <row r="36" spans="1:5" ht="19.899999999999999" customHeight="1">
      <c r="A36" s="97"/>
      <c r="B36" s="98"/>
      <c r="C36" s="99"/>
      <c r="D36" s="78"/>
      <c r="E36" s="79"/>
    </row>
    <row r="37" spans="1:5" ht="19.899999999999999" customHeight="1">
      <c r="A37" s="97"/>
      <c r="B37" s="98"/>
      <c r="C37" s="99"/>
      <c r="D37" s="78"/>
      <c r="E37" s="79"/>
    </row>
    <row r="38" spans="1:5" ht="19.899999999999999" customHeight="1">
      <c r="A38" s="97"/>
      <c r="B38" s="98"/>
      <c r="C38" s="99"/>
      <c r="D38" s="78"/>
      <c r="E38" s="79"/>
    </row>
    <row r="39" spans="1:5" ht="19.899999999999999" customHeight="1">
      <c r="A39" s="97"/>
      <c r="B39" s="98"/>
      <c r="C39" s="99"/>
      <c r="D39" s="78"/>
      <c r="E39" s="79"/>
    </row>
    <row r="40" spans="1:5" ht="19.899999999999999" customHeight="1">
      <c r="A40" s="100"/>
      <c r="B40" s="101"/>
      <c r="C40" s="102"/>
      <c r="D40" s="80"/>
      <c r="E40" s="81"/>
    </row>
    <row r="41" spans="1:5" ht="19.899999999999999" customHeight="1">
      <c r="A41" s="83" t="s">
        <v>277</v>
      </c>
      <c r="B41" s="83"/>
      <c r="C41" s="83"/>
      <c r="D41" s="82" t="s">
        <v>270</v>
      </c>
      <c r="E41" s="82"/>
    </row>
    <row r="42" spans="1:5" ht="19.899999999999999" customHeight="1">
      <c r="A42" s="83"/>
      <c r="B42" s="83"/>
      <c r="C42" s="83"/>
      <c r="D42" s="82"/>
      <c r="E42" s="82"/>
    </row>
    <row r="43" spans="1:5" ht="19.899999999999999" customHeight="1">
      <c r="A43" s="83"/>
      <c r="B43" s="83"/>
      <c r="C43" s="83"/>
      <c r="D43" s="82"/>
      <c r="E43" s="82"/>
    </row>
    <row r="44" spans="1:5" ht="19.899999999999999" customHeight="1">
      <c r="A44" s="83"/>
      <c r="B44" s="83"/>
      <c r="C44" s="83"/>
      <c r="D44" s="82"/>
      <c r="E44" s="82"/>
    </row>
    <row r="45" spans="1:5" ht="19.899999999999999" customHeight="1">
      <c r="A45" s="83"/>
      <c r="B45" s="83"/>
      <c r="C45" s="83"/>
      <c r="D45" s="82"/>
      <c r="E45" s="82"/>
    </row>
    <row r="46" spans="1:5" ht="19.899999999999999" customHeight="1">
      <c r="A46" s="83"/>
      <c r="B46" s="83"/>
      <c r="C46" s="83"/>
      <c r="D46" s="82"/>
      <c r="E46" s="82"/>
    </row>
    <row r="47" spans="1:5" ht="19.899999999999999" customHeight="1">
      <c r="A47" s="83"/>
      <c r="B47" s="83"/>
      <c r="C47" s="83"/>
      <c r="D47" s="82"/>
      <c r="E47" s="82"/>
    </row>
    <row r="48" spans="1:5" ht="19.899999999999999" customHeight="1">
      <c r="A48" s="83"/>
      <c r="B48" s="83"/>
      <c r="C48" s="83"/>
      <c r="D48" s="82"/>
      <c r="E48" s="82"/>
    </row>
    <row r="49" spans="1:5" ht="19.899999999999999" customHeight="1">
      <c r="A49" s="83"/>
      <c r="B49" s="83"/>
      <c r="C49" s="83"/>
      <c r="D49" s="82"/>
      <c r="E49" s="82"/>
    </row>
    <row r="50" spans="1:5" ht="19.899999999999999" customHeight="1">
      <c r="A50" s="83"/>
      <c r="B50" s="83"/>
      <c r="C50" s="83"/>
      <c r="D50" s="82"/>
      <c r="E50" s="82"/>
    </row>
    <row r="51" spans="1:5" ht="19.899999999999999" customHeight="1">
      <c r="A51" s="83"/>
      <c r="B51" s="83"/>
      <c r="C51" s="83"/>
      <c r="D51" s="82"/>
      <c r="E51" s="82"/>
    </row>
    <row r="52" spans="1:5" ht="19.899999999999999" customHeight="1">
      <c r="A52" s="83"/>
      <c r="B52" s="83"/>
      <c r="C52" s="83"/>
      <c r="D52" s="82"/>
      <c r="E52" s="82"/>
    </row>
    <row r="53" spans="1:5" ht="19.899999999999999" customHeight="1">
      <c r="A53" s="83"/>
      <c r="B53" s="83"/>
      <c r="C53" s="83"/>
      <c r="D53" s="82"/>
      <c r="E53" s="82"/>
    </row>
    <row r="54" spans="1:5" ht="19.899999999999999" customHeight="1">
      <c r="A54" s="83"/>
      <c r="B54" s="83"/>
      <c r="C54" s="83"/>
      <c r="D54" s="82"/>
      <c r="E54" s="82"/>
    </row>
    <row r="55" spans="1:5" ht="19.899999999999999" customHeight="1">
      <c r="A55" s="83"/>
      <c r="B55" s="83"/>
      <c r="C55" s="83"/>
      <c r="D55" s="82"/>
      <c r="E55" s="82"/>
    </row>
    <row r="56" spans="1:5" ht="19.899999999999999" customHeight="1">
      <c r="A56" s="83"/>
      <c r="B56" s="83"/>
      <c r="C56" s="83"/>
      <c r="D56" s="82"/>
      <c r="E56" s="82"/>
    </row>
    <row r="57" spans="1:5" ht="18.75">
      <c r="A57" s="73" t="s">
        <v>278</v>
      </c>
      <c r="B57" s="74"/>
      <c r="C57" s="74"/>
      <c r="D57" s="74"/>
      <c r="E57" s="75"/>
    </row>
    <row r="58" spans="1:5" ht="19.899999999999999" customHeight="1">
      <c r="A58" s="21"/>
      <c r="B58" s="21"/>
      <c r="C58" s="21"/>
      <c r="D58" s="21"/>
      <c r="E58" s="21"/>
    </row>
    <row r="59" spans="1:5" ht="19.899999999999999" customHeight="1">
      <c r="A59" s="21"/>
      <c r="B59" s="21"/>
      <c r="C59" s="21"/>
      <c r="D59" s="21"/>
      <c r="E59" s="21"/>
    </row>
    <row r="60" spans="1:5" ht="19.899999999999999" customHeight="1">
      <c r="A60" s="104" t="s">
        <v>279</v>
      </c>
      <c r="B60" s="104"/>
      <c r="C60" s="104"/>
      <c r="D60" s="104"/>
      <c r="E60" s="104"/>
    </row>
    <row r="61" spans="1:5" ht="19.899999999999999" customHeight="1">
      <c r="A61" s="103" t="s">
        <v>280</v>
      </c>
      <c r="B61" s="103"/>
      <c r="C61" s="103"/>
      <c r="D61" s="82" t="s">
        <v>281</v>
      </c>
      <c r="E61" s="82"/>
    </row>
    <row r="62" spans="1:5" ht="19.899999999999999" customHeight="1">
      <c r="A62" s="105" t="s">
        <v>282</v>
      </c>
      <c r="B62" s="105"/>
      <c r="C62" s="105"/>
      <c r="D62" s="82" t="s">
        <v>267</v>
      </c>
      <c r="E62" s="82"/>
    </row>
    <row r="63" spans="1:5" ht="19.899999999999999" customHeight="1">
      <c r="A63" s="105" t="s">
        <v>283</v>
      </c>
      <c r="B63" s="105"/>
      <c r="C63" s="105"/>
      <c r="D63" s="82" t="s">
        <v>268</v>
      </c>
      <c r="E63" s="82"/>
    </row>
    <row r="64" spans="1:5" ht="19.899999999999999" customHeight="1">
      <c r="A64" s="106" t="s">
        <v>284</v>
      </c>
      <c r="B64" s="106"/>
      <c r="C64" s="106"/>
      <c r="D64" s="82" t="s">
        <v>269</v>
      </c>
      <c r="E64" s="82"/>
    </row>
    <row r="65" spans="1:5" ht="19.899999999999999" customHeight="1">
      <c r="A65" s="105" t="s">
        <v>285</v>
      </c>
      <c r="B65" s="105"/>
      <c r="C65" s="105"/>
      <c r="D65" s="82"/>
      <c r="E65" s="82"/>
    </row>
    <row r="66" spans="1:5" ht="19.899999999999999" customHeight="1">
      <c r="A66" s="105"/>
      <c r="B66" s="105"/>
      <c r="C66" s="105"/>
      <c r="D66" s="82"/>
      <c r="E66" s="82"/>
    </row>
    <row r="67" spans="1:5" ht="19.899999999999999" customHeight="1">
      <c r="A67" s="105" t="s">
        <v>286</v>
      </c>
      <c r="B67" s="105"/>
      <c r="C67" s="105"/>
      <c r="D67" s="82"/>
      <c r="E67" s="82"/>
    </row>
    <row r="68" spans="1:5" ht="19.899999999999999" customHeight="1">
      <c r="A68" s="105"/>
      <c r="B68" s="105"/>
      <c r="C68" s="105"/>
      <c r="D68" s="82"/>
      <c r="E68" s="82"/>
    </row>
    <row r="69" spans="1:5" ht="19.899999999999999" customHeight="1">
      <c r="A69" s="105"/>
      <c r="B69" s="105"/>
      <c r="C69" s="105"/>
      <c r="D69" s="82"/>
      <c r="E69" s="82"/>
    </row>
    <row r="70" spans="1:5" ht="19.899999999999999" customHeight="1">
      <c r="A70" s="105"/>
      <c r="B70" s="105"/>
      <c r="C70" s="105"/>
      <c r="D70" s="82"/>
      <c r="E70" s="82"/>
    </row>
    <row r="71" spans="1:5" ht="19.899999999999999" customHeight="1">
      <c r="A71" s="105" t="s">
        <v>287</v>
      </c>
      <c r="B71" s="105"/>
      <c r="C71" s="105"/>
      <c r="D71" s="82" t="s">
        <v>270</v>
      </c>
      <c r="E71" s="82"/>
    </row>
    <row r="72" spans="1:5" ht="19.899999999999999" customHeight="1">
      <c r="A72" s="105" t="s">
        <v>288</v>
      </c>
      <c r="B72" s="105"/>
      <c r="C72" s="105"/>
      <c r="D72" s="82"/>
      <c r="E72" s="82"/>
    </row>
    <row r="73" spans="1:5" ht="19.899999999999999" customHeight="1">
      <c r="A73" s="105" t="s">
        <v>289</v>
      </c>
      <c r="B73" s="105"/>
      <c r="C73" s="105"/>
      <c r="D73" s="82"/>
      <c r="E73" s="82"/>
    </row>
    <row r="74" spans="1:5" ht="19.899999999999999" customHeight="1">
      <c r="A74" s="105"/>
      <c r="B74" s="105"/>
      <c r="C74" s="105"/>
      <c r="D74" s="82"/>
      <c r="E74" s="82"/>
    </row>
    <row r="75" spans="1:5" ht="19.899999999999999" customHeight="1">
      <c r="A75" s="105"/>
      <c r="B75" s="105"/>
      <c r="C75" s="105"/>
      <c r="D75" s="82"/>
      <c r="E75" s="82"/>
    </row>
    <row r="76" spans="1:5" ht="19.899999999999999" customHeight="1">
      <c r="A76" s="105"/>
      <c r="B76" s="105"/>
      <c r="C76" s="105"/>
      <c r="D76" s="82"/>
      <c r="E76" s="82"/>
    </row>
    <row r="77" spans="1:5" ht="19.899999999999999" customHeight="1">
      <c r="A77" s="105" t="s">
        <v>290</v>
      </c>
      <c r="B77" s="105"/>
      <c r="C77" s="105"/>
      <c r="D77" s="82"/>
      <c r="E77" s="82"/>
    </row>
    <row r="78" spans="1:5" ht="19.899999999999999" customHeight="1">
      <c r="A78" s="88" t="s">
        <v>291</v>
      </c>
      <c r="B78" s="88"/>
      <c r="C78" s="88"/>
      <c r="D78" s="21"/>
      <c r="E78" s="21"/>
    </row>
    <row r="79" spans="1:5" ht="19.899999999999999" customHeight="1">
      <c r="A79" s="88"/>
      <c r="B79" s="88"/>
      <c r="C79" s="88"/>
      <c r="D79" s="21"/>
      <c r="E79" s="21"/>
    </row>
    <row r="80" spans="1:5" ht="19.899999999999999" customHeight="1">
      <c r="A80" s="88"/>
      <c r="B80" s="88"/>
      <c r="C80" s="88"/>
      <c r="D80" s="21"/>
      <c r="E80" s="21"/>
    </row>
    <row r="81" spans="1:5" ht="19.899999999999999" customHeight="1">
      <c r="A81" s="88"/>
      <c r="B81" s="88"/>
      <c r="C81" s="88"/>
      <c r="D81" s="21"/>
      <c r="E81" s="21"/>
    </row>
    <row r="82" spans="1:5" ht="19.899999999999999" customHeight="1">
      <c r="A82" s="27"/>
      <c r="B82" s="19"/>
      <c r="C82" s="19"/>
    </row>
    <row r="83" spans="1:5" ht="13.9" customHeight="1">
      <c r="A83" s="27"/>
      <c r="B83" s="19"/>
      <c r="C83" s="19"/>
    </row>
    <row r="84" spans="1:5" ht="13.9" customHeight="1"/>
    <row r="85" spans="1:5" ht="13.9" customHeight="1"/>
    <row r="86" spans="1:5" ht="13.9" customHeight="1"/>
  </sheetData>
  <mergeCells count="43">
    <mergeCell ref="D71:E77"/>
    <mergeCell ref="A67:C70"/>
    <mergeCell ref="A78:C81"/>
    <mergeCell ref="D62:E62"/>
    <mergeCell ref="D63:E63"/>
    <mergeCell ref="D64:E70"/>
    <mergeCell ref="A71:C71"/>
    <mergeCell ref="A72:C72"/>
    <mergeCell ref="A77:C77"/>
    <mergeCell ref="A73:C76"/>
    <mergeCell ref="A65:C66"/>
    <mergeCell ref="A62:C62"/>
    <mergeCell ref="A61:C61"/>
    <mergeCell ref="A60:E60"/>
    <mergeCell ref="D61:E61"/>
    <mergeCell ref="A63:C63"/>
    <mergeCell ref="A64:C64"/>
    <mergeCell ref="D2:D4"/>
    <mergeCell ref="E2:E4"/>
    <mergeCell ref="F2:F4"/>
    <mergeCell ref="A2:A4"/>
    <mergeCell ref="D41:E56"/>
    <mergeCell ref="A25:C40"/>
    <mergeCell ref="B12:C12"/>
    <mergeCell ref="D12:F12"/>
    <mergeCell ref="B13:C13"/>
    <mergeCell ref="B14:C14"/>
    <mergeCell ref="B15:C15"/>
    <mergeCell ref="A57:E57"/>
    <mergeCell ref="D25:E40"/>
    <mergeCell ref="D24:E24"/>
    <mergeCell ref="A41:C56"/>
    <mergeCell ref="A11:F11"/>
    <mergeCell ref="A19:C19"/>
    <mergeCell ref="A24:C24"/>
    <mergeCell ref="A18:E18"/>
    <mergeCell ref="B16:C16"/>
    <mergeCell ref="A20:C23"/>
    <mergeCell ref="D20:E23"/>
    <mergeCell ref="D13:F13"/>
    <mergeCell ref="D14:F14"/>
    <mergeCell ref="D15:F15"/>
    <mergeCell ref="D16:F16"/>
  </mergeCells>
  <phoneticPr fontId="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F19C-1E55-4E05-8E6C-5724EEDC6358}">
  <dimension ref="A1:O37"/>
  <sheetViews>
    <sheetView tabSelected="1" workbookViewId="0">
      <selection activeCell="L2" sqref="L2:L6"/>
    </sheetView>
  </sheetViews>
  <sheetFormatPr defaultRowHeight="15"/>
  <cols>
    <col min="1" max="2" width="10.7109375" customWidth="1"/>
    <col min="3" max="3" width="4.7109375" customWidth="1"/>
    <col min="4" max="7" width="10.7109375" customWidth="1"/>
    <col min="8" max="8" width="4.7109375" customWidth="1"/>
    <col min="9" max="12" width="10.7109375" customWidth="1"/>
    <col min="13" max="13" width="4.7109375" customWidth="1"/>
    <col min="14" max="15" width="10.7109375" customWidth="1"/>
  </cols>
  <sheetData>
    <row r="1" spans="1:15">
      <c r="A1" s="107" t="s">
        <v>292</v>
      </c>
      <c r="B1" s="107"/>
      <c r="C1" s="107"/>
      <c r="D1" s="38" t="s">
        <v>42</v>
      </c>
      <c r="E1" s="29"/>
      <c r="F1" s="108" t="s">
        <v>293</v>
      </c>
      <c r="G1" s="108"/>
      <c r="H1" s="108"/>
      <c r="I1" s="39" t="s">
        <v>294</v>
      </c>
      <c r="J1" s="29"/>
      <c r="K1" s="109" t="s">
        <v>295</v>
      </c>
      <c r="L1" s="109"/>
      <c r="M1" s="109"/>
      <c r="N1" s="109"/>
      <c r="O1" s="109"/>
    </row>
    <row r="2" spans="1:15" ht="18">
      <c r="A2" s="38" t="s">
        <v>34</v>
      </c>
      <c r="B2" s="38">
        <f>IF('Summary of shell design'!C11="None","None",(1.06-0.463*INPUT!$C$4*SQRT(INPUT!$C$5*INPUT!$C$2/INPUT!$C$8)/INPUT!$C$5)*(2.6*INPUT!$C$5*INPUT!$C$4*INPUT!$C$2/INPUT!$C$8)+INPUT!$C$3)</f>
        <v>0.92316630298156055</v>
      </c>
      <c r="C2" s="38" t="s">
        <v>7</v>
      </c>
      <c r="D2" s="38">
        <f>IF('Summary of shell design'!C11="None","None",'Summary of shell design'!C1*12/(INPUT!$C$18*B2)^0.5)</f>
        <v>2.7927346236321107</v>
      </c>
      <c r="E2" s="29"/>
      <c r="F2" s="39" t="s">
        <v>37</v>
      </c>
      <c r="G2" s="39">
        <f>IF('Summary of shell design'!C11="None","None",IF((1.06-0.463*INPUT!$C$4*SQRT(INPUT!$C$5/INPUT!$C$9)/INPUT!$C$5)*(2.6*INPUT!$C$5*INPUT!$C$4/INPUT!$C$9)&gt;'1-Foot Method'!G2,'1-Foot Method'!G2,(1.06-0.463*INPUT!$C$4*SQRT(INPUT!$C$5/INPUT!$C$9)/INPUT!$C$5)*(2.6*INPUT!$C$5*INPUT!$C$4/INPUT!$C$9)))</f>
        <v>0.92316630298156055</v>
      </c>
      <c r="H2" s="39" t="s">
        <v>7</v>
      </c>
      <c r="I2" s="39">
        <f>IF('Summary of shell design'!C11="None","None",'Summary of shell design'!C1*12/(INPUT!$C$18*G2)^0.5)</f>
        <v>2.7927346236321107</v>
      </c>
      <c r="J2" s="29"/>
      <c r="K2" s="29"/>
      <c r="L2" s="56">
        <f>IF(B12="None","None",MAX(B12,G12))</f>
        <v>0.92316630298156055</v>
      </c>
      <c r="M2" s="56" t="s">
        <v>7</v>
      </c>
      <c r="N2" s="29">
        <f>IF(INPUT!$C$4&lt;=10.5, 3/16, IF(INPUT!$C$4&lt;120, 1/4, IF(INPUT!$C$4&lt;=200, 5/16, 3/8)))</f>
        <v>0.375</v>
      </c>
      <c r="O2" s="29"/>
    </row>
    <row r="3" spans="1:15" ht="18">
      <c r="A3" s="38" t="s">
        <v>296</v>
      </c>
      <c r="B3" s="38">
        <f>IF('Summary of shell design'!C12="None","None",IF(D2&lt;=1.375,B2,IF(D2&gt;=2.625,B29,B29+(B2-B29)*(2.1-'Summary of shell design'!C1*12/(1.25*(INPUT!$C$18*B2)^0.5)))))</f>
        <v>0.69885949906841749</v>
      </c>
      <c r="C3" s="38" t="s">
        <v>7</v>
      </c>
      <c r="D3" s="29"/>
      <c r="E3" s="29"/>
      <c r="F3" s="39" t="s">
        <v>297</v>
      </c>
      <c r="G3" s="39">
        <f>IF('Summary of shell design'!C12="None","None",IF(I2&lt;=1.375,G2,IF(I2&gt;=2.625,G29,G29+(G2-G29)*(2.1-'Summary of shell design'!C1*12/(1.25*(INPUT!$C$18*G2)^0.5)))))</f>
        <v>0.69885947251454139</v>
      </c>
      <c r="H3" s="39" t="s">
        <v>7</v>
      </c>
      <c r="I3" s="29"/>
      <c r="J3" s="29"/>
      <c r="K3" s="29"/>
      <c r="L3" s="56">
        <f t="shared" ref="L3:L11" si="0">IF(B13="None","None",MAX(B13,G13))</f>
        <v>0.69885949906841749</v>
      </c>
      <c r="M3" s="56" t="s">
        <v>7</v>
      </c>
      <c r="N3" s="29">
        <f>IF(INPUT!$C$4&lt;50, 3/16, IF(INPUT!$C$4&lt;120, 1/4, IF(INPUT!$C$4&lt;=200, 5/16, 3/8)))</f>
        <v>0.375</v>
      </c>
      <c r="O3" s="29"/>
    </row>
    <row r="4" spans="1:15" ht="18">
      <c r="A4" s="38" t="s">
        <v>298</v>
      </c>
      <c r="B4" s="38">
        <f>IF('Summary of shell design'!C13="None","None",B30)</f>
        <v>0.51793892021498311</v>
      </c>
      <c r="C4" s="38" t="s">
        <v>7</v>
      </c>
      <c r="D4" s="29"/>
      <c r="E4" s="29"/>
      <c r="F4" s="39" t="s">
        <v>299</v>
      </c>
      <c r="G4" s="39">
        <f>IF('Summary of shell design'!C13="None","None",G30)</f>
        <v>0.51793890622750116</v>
      </c>
      <c r="H4" s="39" t="s">
        <v>7</v>
      </c>
      <c r="I4" s="29"/>
      <c r="J4" s="29"/>
      <c r="K4" s="29"/>
      <c r="L4" s="56">
        <f t="shared" si="0"/>
        <v>0.51793892021498311</v>
      </c>
      <c r="M4" s="56" t="s">
        <v>7</v>
      </c>
      <c r="N4" s="29">
        <f>IF(INPUT!$C$4&lt;50, 3/16, IF(INPUT!$C$4&lt;120, 1/4, IF(INPUT!$C$4&lt;=200, 5/16, 3/8)))</f>
        <v>0.375</v>
      </c>
      <c r="O4" s="29"/>
    </row>
    <row r="5" spans="1:15" ht="18">
      <c r="A5" s="38" t="s">
        <v>300</v>
      </c>
      <c r="B5" s="38">
        <f>IF('Summary of shell design'!C14="None","None",B31)</f>
        <v>0.33507425180523864</v>
      </c>
      <c r="C5" s="38" t="s">
        <v>7</v>
      </c>
      <c r="D5" s="29"/>
      <c r="E5" s="29"/>
      <c r="F5" s="39" t="s">
        <v>301</v>
      </c>
      <c r="G5" s="39">
        <f>IF('Summary of shell design'!C14="None","None",G31)</f>
        <v>0.33507425181788808</v>
      </c>
      <c r="H5" s="39" t="s">
        <v>7</v>
      </c>
      <c r="I5" s="29"/>
      <c r="J5" s="29"/>
      <c r="K5" s="29"/>
      <c r="L5" s="56">
        <f t="shared" si="0"/>
        <v>0.375</v>
      </c>
      <c r="M5" s="56" t="s">
        <v>7</v>
      </c>
      <c r="N5" s="29">
        <f>IF(INPUT!$C$4&lt;50, 3/16, IF(INPUT!$C$4&lt;120, 1/4, IF(INPUT!$C$4&lt;=200, 5/16, 3/8)))</f>
        <v>0.375</v>
      </c>
      <c r="O5" s="29"/>
    </row>
    <row r="6" spans="1:15" ht="18">
      <c r="A6" s="38" t="s">
        <v>302</v>
      </c>
      <c r="B6" s="38">
        <f>IF('Summary of shell design'!C15="None","None",B32)</f>
        <v>0.15805241490367986</v>
      </c>
      <c r="C6" s="38" t="s">
        <v>7</v>
      </c>
      <c r="D6" s="29"/>
      <c r="E6" s="29"/>
      <c r="F6" s="39" t="s">
        <v>303</v>
      </c>
      <c r="G6" s="39">
        <f>IF('Summary of shell design'!C15="None","None",G32)</f>
        <v>0.15805241467120659</v>
      </c>
      <c r="H6" s="39" t="s">
        <v>7</v>
      </c>
      <c r="I6" s="29"/>
      <c r="J6" s="29"/>
      <c r="K6" s="29"/>
      <c r="L6" s="56">
        <f t="shared" si="0"/>
        <v>0.375</v>
      </c>
      <c r="M6" s="56" t="s">
        <v>7</v>
      </c>
      <c r="N6" s="29">
        <f>IF(INPUT!$C$4&lt;50, 3/16, IF(INPUT!$C$4&lt;120, 1/4, IF(INPUT!$C$4&lt;=200, 5/16, 3/8)))</f>
        <v>0.375</v>
      </c>
      <c r="O6" s="29"/>
    </row>
    <row r="7" spans="1:15" ht="18">
      <c r="A7" s="38" t="s">
        <v>304</v>
      </c>
      <c r="B7" s="38" t="str">
        <f>IF('Summary of shell design'!C16="None","None",B33)</f>
        <v>None</v>
      </c>
      <c r="C7" s="38" t="s">
        <v>7</v>
      </c>
      <c r="D7" s="29"/>
      <c r="E7" s="29"/>
      <c r="F7" s="39" t="s">
        <v>305</v>
      </c>
      <c r="G7" s="39" t="str">
        <f>IF('Summary of shell design'!C16="None","None",G33)</f>
        <v>None</v>
      </c>
      <c r="H7" s="39" t="s">
        <v>7</v>
      </c>
      <c r="I7" s="29"/>
      <c r="J7" s="29"/>
      <c r="K7" s="29"/>
      <c r="L7" s="56" t="str">
        <f t="shared" si="0"/>
        <v>None</v>
      </c>
      <c r="M7" s="56" t="s">
        <v>7</v>
      </c>
      <c r="N7" s="29">
        <f>IF(INPUT!$C$4&lt;50, 3/16, IF(INPUT!$C$4&lt;120, 1/4, IF(INPUT!$C$4&lt;=200, 5/16, 3/8)))</f>
        <v>0.375</v>
      </c>
      <c r="O7" s="29"/>
    </row>
    <row r="8" spans="1:15" ht="18">
      <c r="A8" s="38" t="s">
        <v>306</v>
      </c>
      <c r="B8" s="38" t="str">
        <f>IF('Summary of shell design'!C17="None","None",B34)</f>
        <v>None</v>
      </c>
      <c r="C8" s="38" t="s">
        <v>7</v>
      </c>
      <c r="D8" s="29"/>
      <c r="E8" s="29"/>
      <c r="F8" s="39" t="s">
        <v>307</v>
      </c>
      <c r="G8" s="39" t="str">
        <f>IF('Summary of shell design'!C17="None","None",G34)</f>
        <v>None</v>
      </c>
      <c r="H8" s="39" t="s">
        <v>7</v>
      </c>
      <c r="I8" s="29"/>
      <c r="J8" s="29"/>
      <c r="K8" s="29"/>
      <c r="L8" s="56" t="str">
        <f t="shared" si="0"/>
        <v>None</v>
      </c>
      <c r="M8" s="56" t="s">
        <v>7</v>
      </c>
      <c r="N8" s="29">
        <f>IF(INPUT!$C$4&lt;50, 3/16, IF(INPUT!$C$4&lt;120, 1/4, IF(INPUT!$C$4&lt;=200, 5/16, 3/8)))</f>
        <v>0.375</v>
      </c>
      <c r="O8" s="29"/>
    </row>
    <row r="9" spans="1:15" ht="18">
      <c r="A9" s="38" t="s">
        <v>308</v>
      </c>
      <c r="B9" s="38" t="str">
        <f>IF('Summary of shell design'!C18="None","None",B35)</f>
        <v>None</v>
      </c>
      <c r="C9" s="38" t="s">
        <v>7</v>
      </c>
      <c r="D9" s="29"/>
      <c r="E9" s="29"/>
      <c r="F9" s="39" t="s">
        <v>309</v>
      </c>
      <c r="G9" s="39" t="str">
        <f>IF('Summary of shell design'!C18="None","None",G35)</f>
        <v>None</v>
      </c>
      <c r="H9" s="39" t="s">
        <v>7</v>
      </c>
      <c r="I9" s="29"/>
      <c r="J9" s="29"/>
      <c r="K9" s="29"/>
      <c r="L9" s="56" t="str">
        <f t="shared" si="0"/>
        <v>None</v>
      </c>
      <c r="M9" s="56" t="s">
        <v>7</v>
      </c>
      <c r="N9" s="29">
        <f>IF(INPUT!$C$4&lt;50, 3/16, IF(INPUT!$C$4&lt;120, 1/4, IF(INPUT!$C$4&lt;=200, 5/16, 3/8)))</f>
        <v>0.375</v>
      </c>
      <c r="O9" s="29"/>
    </row>
    <row r="10" spans="1:15" ht="18">
      <c r="A10" s="38" t="s">
        <v>310</v>
      </c>
      <c r="B10" s="38" t="str">
        <f>IF('Summary of shell design'!C19="None","None",B36)</f>
        <v>None</v>
      </c>
      <c r="C10" s="38" t="s">
        <v>7</v>
      </c>
      <c r="D10" s="29"/>
      <c r="E10" s="29"/>
      <c r="F10" s="39" t="s">
        <v>311</v>
      </c>
      <c r="G10" s="39" t="str">
        <f>IF('Summary of shell design'!C19="None","None",G36)</f>
        <v>None</v>
      </c>
      <c r="H10" s="39" t="s">
        <v>7</v>
      </c>
      <c r="I10" s="29"/>
      <c r="J10" s="29"/>
      <c r="K10" s="29"/>
      <c r="L10" s="56" t="str">
        <f t="shared" si="0"/>
        <v>None</v>
      </c>
      <c r="M10" s="56" t="s">
        <v>7</v>
      </c>
      <c r="N10" s="29">
        <f>IF(INPUT!$C$4&lt;50, 3/16, IF(INPUT!$C$4&lt;120, 1/4, IF(INPUT!$C$4&lt;=200, 5/16, 3/8)))</f>
        <v>0.375</v>
      </c>
      <c r="O10" s="29"/>
    </row>
    <row r="11" spans="1:15" ht="18">
      <c r="A11" s="38" t="s">
        <v>312</v>
      </c>
      <c r="B11" s="38" t="str">
        <f>IF('Summary of shell design'!C20="None","None",B37)</f>
        <v>None</v>
      </c>
      <c r="C11" s="38" t="s">
        <v>7</v>
      </c>
      <c r="D11" s="29"/>
      <c r="E11" s="29"/>
      <c r="F11" s="39" t="s">
        <v>313</v>
      </c>
      <c r="G11" s="39" t="str">
        <f>IF('Summary of shell design'!C20="None","None",G37)</f>
        <v>None</v>
      </c>
      <c r="H11" s="39" t="s">
        <v>7</v>
      </c>
      <c r="I11" s="29"/>
      <c r="J11" s="29"/>
      <c r="K11" s="29"/>
      <c r="L11" s="56" t="str">
        <f t="shared" si="0"/>
        <v>None</v>
      </c>
      <c r="M11" s="56" t="s">
        <v>7</v>
      </c>
      <c r="N11" s="29">
        <f>IF(INPUT!$C$4&lt;50, 3/16, IF(INPUT!$C$4&lt;120, 1/4, IF(INPUT!$C$4&lt;=200, 5/16, 3/8)))</f>
        <v>0.375</v>
      </c>
      <c r="O11" s="29"/>
    </row>
    <row r="12" spans="1:15">
      <c r="A12" s="38" t="s">
        <v>314</v>
      </c>
      <c r="B12" s="38">
        <f>IF(B2="None","None",MAX(B2,N2))</f>
        <v>0.92316630298156055</v>
      </c>
      <c r="C12" s="38" t="s">
        <v>7</v>
      </c>
      <c r="D12" s="29"/>
      <c r="E12" s="29"/>
      <c r="F12" s="39" t="s">
        <v>315</v>
      </c>
      <c r="G12" s="39">
        <f>IF(G2="None","None",MAX(G2,N2))</f>
        <v>0.92316630298156055</v>
      </c>
      <c r="H12" s="39" t="s">
        <v>7</v>
      </c>
      <c r="I12" s="29"/>
      <c r="J12" s="29"/>
      <c r="K12" s="29"/>
      <c r="L12" s="29"/>
      <c r="M12" s="29"/>
      <c r="N12" s="29"/>
      <c r="O12" s="29"/>
    </row>
    <row r="13" spans="1:15">
      <c r="A13" s="38" t="s">
        <v>316</v>
      </c>
      <c r="B13" s="38">
        <f t="shared" ref="B13:B21" si="1">IF(B3="None","None",MAX(B3,N3))</f>
        <v>0.69885949906841749</v>
      </c>
      <c r="C13" s="38" t="s">
        <v>7</v>
      </c>
      <c r="D13" s="29"/>
      <c r="E13" s="29"/>
      <c r="F13" s="39" t="s">
        <v>317</v>
      </c>
      <c r="G13" s="39">
        <f t="shared" ref="G13:G21" si="2">IF(G3="None","None",MAX(G3,N3))</f>
        <v>0.69885947251454139</v>
      </c>
      <c r="H13" s="39" t="s">
        <v>7</v>
      </c>
      <c r="I13" s="29"/>
      <c r="J13" s="29"/>
      <c r="K13" s="29" t="s">
        <v>318</v>
      </c>
      <c r="L13" s="29">
        <f>MIN(L2:L11)</f>
        <v>0.375</v>
      </c>
      <c r="M13" s="29" t="s">
        <v>7</v>
      </c>
      <c r="N13" s="29"/>
      <c r="O13" s="29"/>
    </row>
    <row r="14" spans="1:15">
      <c r="A14" s="38" t="s">
        <v>319</v>
      </c>
      <c r="B14" s="38">
        <f t="shared" si="1"/>
        <v>0.51793892021498311</v>
      </c>
      <c r="C14" s="38" t="s">
        <v>7</v>
      </c>
      <c r="D14" s="29"/>
      <c r="E14" s="29"/>
      <c r="F14" s="39" t="s">
        <v>320</v>
      </c>
      <c r="G14" s="39">
        <f t="shared" si="2"/>
        <v>0.51793890622750116</v>
      </c>
      <c r="H14" s="39" t="s">
        <v>7</v>
      </c>
      <c r="I14" s="29"/>
      <c r="J14" s="29"/>
      <c r="K14" s="29"/>
      <c r="L14" s="29"/>
      <c r="M14" s="29"/>
      <c r="N14" s="29"/>
      <c r="O14" s="29"/>
    </row>
    <row r="15" spans="1:15">
      <c r="A15" s="38" t="s">
        <v>321</v>
      </c>
      <c r="B15" s="38">
        <f t="shared" si="1"/>
        <v>0.375</v>
      </c>
      <c r="C15" s="38" t="s">
        <v>7</v>
      </c>
      <c r="D15" s="29"/>
      <c r="E15" s="29"/>
      <c r="F15" s="39" t="s">
        <v>322</v>
      </c>
      <c r="G15" s="39">
        <f t="shared" si="2"/>
        <v>0.375</v>
      </c>
      <c r="H15" s="39" t="s">
        <v>7</v>
      </c>
      <c r="I15" s="29"/>
      <c r="J15" s="29"/>
      <c r="K15" s="29"/>
      <c r="L15" s="29"/>
      <c r="M15" s="29"/>
      <c r="N15" s="29"/>
      <c r="O15" s="29"/>
    </row>
    <row r="16" spans="1:15">
      <c r="A16" s="38" t="s">
        <v>323</v>
      </c>
      <c r="B16" s="38">
        <f t="shared" si="1"/>
        <v>0.375</v>
      </c>
      <c r="C16" s="38" t="s">
        <v>7</v>
      </c>
      <c r="D16" s="29"/>
      <c r="E16" s="29"/>
      <c r="F16" s="39" t="s">
        <v>324</v>
      </c>
      <c r="G16" s="39">
        <f t="shared" si="2"/>
        <v>0.375</v>
      </c>
      <c r="H16" s="39" t="s">
        <v>7</v>
      </c>
      <c r="I16" s="29"/>
      <c r="J16" s="29"/>
      <c r="K16" s="29"/>
      <c r="L16" s="29"/>
      <c r="M16" s="29"/>
      <c r="N16" s="29"/>
      <c r="O16" s="29"/>
    </row>
    <row r="17" spans="1:15">
      <c r="A17" s="38" t="s">
        <v>325</v>
      </c>
      <c r="B17" s="38" t="str">
        <f t="shared" si="1"/>
        <v>None</v>
      </c>
      <c r="C17" s="38" t="s">
        <v>7</v>
      </c>
      <c r="D17" s="29"/>
      <c r="E17" s="29"/>
      <c r="F17" s="39" t="s">
        <v>326</v>
      </c>
      <c r="G17" s="39" t="str">
        <f t="shared" si="2"/>
        <v>None</v>
      </c>
      <c r="H17" s="39" t="s">
        <v>7</v>
      </c>
      <c r="I17" s="29"/>
      <c r="J17" s="29"/>
      <c r="K17" s="29"/>
      <c r="L17" s="29"/>
      <c r="M17" s="29"/>
      <c r="N17" s="29"/>
      <c r="O17" s="29"/>
    </row>
    <row r="18" spans="1:15">
      <c r="A18" s="38" t="s">
        <v>327</v>
      </c>
      <c r="B18" s="38" t="str">
        <f t="shared" si="1"/>
        <v>None</v>
      </c>
      <c r="C18" s="38" t="s">
        <v>7</v>
      </c>
      <c r="D18" s="29"/>
      <c r="E18" s="29"/>
      <c r="F18" s="39" t="s">
        <v>328</v>
      </c>
      <c r="G18" s="39" t="str">
        <f t="shared" si="2"/>
        <v>None</v>
      </c>
      <c r="H18" s="39" t="s">
        <v>7</v>
      </c>
      <c r="I18" s="29"/>
      <c r="J18" s="29"/>
      <c r="K18" s="29"/>
      <c r="L18" s="29"/>
      <c r="M18" s="29"/>
      <c r="N18" s="29"/>
      <c r="O18" s="29"/>
    </row>
    <row r="19" spans="1:15">
      <c r="A19" s="38" t="s">
        <v>329</v>
      </c>
      <c r="B19" s="38" t="str">
        <f t="shared" si="1"/>
        <v>None</v>
      </c>
      <c r="C19" s="38" t="s">
        <v>7</v>
      </c>
      <c r="D19" s="29"/>
      <c r="E19" s="29"/>
      <c r="F19" s="39" t="s">
        <v>330</v>
      </c>
      <c r="G19" s="39" t="str">
        <f t="shared" si="2"/>
        <v>None</v>
      </c>
      <c r="H19" s="39" t="s">
        <v>7</v>
      </c>
      <c r="I19" s="29"/>
      <c r="J19" s="29"/>
      <c r="K19" s="29"/>
      <c r="L19" s="29"/>
      <c r="M19" s="29"/>
      <c r="N19" s="29"/>
      <c r="O19" s="29"/>
    </row>
    <row r="20" spans="1:15">
      <c r="A20" s="38" t="s">
        <v>331</v>
      </c>
      <c r="B20" s="38" t="str">
        <f t="shared" si="1"/>
        <v>None</v>
      </c>
      <c r="C20" s="38" t="s">
        <v>7</v>
      </c>
      <c r="D20" s="29"/>
      <c r="E20" s="29"/>
      <c r="F20" s="39" t="s">
        <v>332</v>
      </c>
      <c r="G20" s="39" t="str">
        <f t="shared" si="2"/>
        <v>None</v>
      </c>
      <c r="H20" s="39" t="s">
        <v>7</v>
      </c>
      <c r="I20" s="29"/>
      <c r="J20" s="29"/>
      <c r="K20" s="29"/>
      <c r="L20" s="29"/>
      <c r="M20" s="29"/>
      <c r="N20" s="29"/>
      <c r="O20" s="29"/>
    </row>
    <row r="21" spans="1:15">
      <c r="A21" s="38" t="s">
        <v>333</v>
      </c>
      <c r="B21" s="38" t="str">
        <f t="shared" si="1"/>
        <v>None</v>
      </c>
      <c r="C21" s="38" t="s">
        <v>7</v>
      </c>
      <c r="D21" s="29"/>
      <c r="E21" s="29"/>
      <c r="F21" s="39" t="s">
        <v>334</v>
      </c>
      <c r="G21" s="39" t="str">
        <f t="shared" si="2"/>
        <v>None</v>
      </c>
      <c r="H21" s="39" t="s">
        <v>7</v>
      </c>
      <c r="I21" s="29"/>
      <c r="J21" s="29"/>
      <c r="K21" s="29"/>
      <c r="L21" s="29"/>
      <c r="M21" s="29"/>
      <c r="N21" s="29"/>
      <c r="O21" s="29"/>
    </row>
    <row r="22" spans="1:15">
      <c r="A22" s="38"/>
      <c r="B22" s="38"/>
      <c r="C22" s="38"/>
      <c r="D22" s="29"/>
      <c r="E22" s="29"/>
      <c r="F22" s="39"/>
      <c r="G22" s="39"/>
      <c r="H22" s="39"/>
      <c r="I22" s="29"/>
      <c r="J22" s="29"/>
      <c r="K22" s="29"/>
      <c r="L22" s="29"/>
      <c r="M22" s="29"/>
      <c r="N22" s="29"/>
      <c r="O22" s="29"/>
    </row>
    <row r="23" spans="1:15">
      <c r="A23" s="38" t="s">
        <v>318</v>
      </c>
      <c r="B23" s="38">
        <f>IF(B12="None","None",MIN(B12:B21))</f>
        <v>0.375</v>
      </c>
      <c r="C23" s="38" t="s">
        <v>7</v>
      </c>
      <c r="D23" s="29"/>
      <c r="E23" s="29"/>
      <c r="F23" s="39" t="s">
        <v>318</v>
      </c>
      <c r="G23" s="39">
        <f>IF(G12="None","None",MIN(G12:G21))</f>
        <v>0.375</v>
      </c>
      <c r="H23" s="39" t="s">
        <v>7</v>
      </c>
      <c r="I23" s="29"/>
      <c r="J23" s="29"/>
      <c r="K23" s="29"/>
      <c r="L23" s="29"/>
      <c r="M23" s="29"/>
      <c r="N23" s="29"/>
      <c r="O23" s="29"/>
    </row>
    <row r="24" spans="1:15">
      <c r="A24" s="29"/>
      <c r="B24" s="29"/>
      <c r="C24" s="29"/>
      <c r="D24" s="29"/>
      <c r="E24" s="29"/>
      <c r="F24" s="29"/>
      <c r="G24" s="29"/>
      <c r="H24" s="29"/>
      <c r="I24" s="29"/>
      <c r="J24" s="29"/>
      <c r="K24" s="29"/>
      <c r="L24" s="29"/>
      <c r="M24" s="29"/>
      <c r="N24" s="29"/>
      <c r="O24" s="29"/>
    </row>
    <row r="25" spans="1:15">
      <c r="A25" s="29"/>
      <c r="B25" s="29"/>
      <c r="C25" s="29"/>
      <c r="D25" s="29"/>
      <c r="E25" s="29"/>
      <c r="F25" s="29"/>
      <c r="G25" s="29"/>
      <c r="H25" s="29"/>
      <c r="I25" s="29"/>
      <c r="J25" s="29"/>
      <c r="K25" s="29"/>
      <c r="L25" s="29"/>
      <c r="M25" s="29"/>
      <c r="N25" s="29"/>
      <c r="O25" s="29"/>
    </row>
    <row r="29" spans="1:15" ht="18">
      <c r="A29" s="17" t="s">
        <v>335</v>
      </c>
      <c r="B29" s="17">
        <f>IF('Summary of shell design'!C12="None","None",dx!H80)</f>
        <v>0.69885949906841749</v>
      </c>
      <c r="F29" s="18" t="s">
        <v>336</v>
      </c>
      <c r="G29" s="18">
        <f>IF('Summary of shell design'!C12="None","None",tx!H135)</f>
        <v>0.69885947251454139</v>
      </c>
    </row>
    <row r="30" spans="1:15">
      <c r="A30" s="17"/>
      <c r="B30" s="17">
        <f>IF('Summary of shell design'!C13="None","None",dx!H81)</f>
        <v>0.51793892021498311</v>
      </c>
      <c r="F30" s="18"/>
      <c r="G30" s="18">
        <f>IF('Summary of shell design'!C13="None","None",tx!H136)</f>
        <v>0.51793890622750116</v>
      </c>
    </row>
    <row r="31" spans="1:15">
      <c r="A31" s="17"/>
      <c r="B31" s="17">
        <f>IF('Summary of shell design'!C14="None","None",dx!H82)</f>
        <v>0.33507425180523864</v>
      </c>
      <c r="F31" s="18"/>
      <c r="G31" s="18">
        <f>IF('Summary of shell design'!C14="None","None",tx!H137)</f>
        <v>0.33507425181788808</v>
      </c>
    </row>
    <row r="32" spans="1:15">
      <c r="A32" s="17"/>
      <c r="B32" s="17">
        <f>IF('Summary of shell design'!C15="None","None",dx!H83)</f>
        <v>0.15805241490367986</v>
      </c>
      <c r="F32" s="18"/>
      <c r="G32" s="18">
        <f>IF('Summary of shell design'!C15="None","None",tx!H138)</f>
        <v>0.15805241467120659</v>
      </c>
    </row>
    <row r="33" spans="1:7">
      <c r="A33" s="17"/>
      <c r="B33" s="17" t="str">
        <f>IF('Summary of shell design'!C16="None","None",dx!H84)</f>
        <v>None</v>
      </c>
      <c r="F33" s="18"/>
      <c r="G33" s="18" t="str">
        <f>IF('Summary of shell design'!C16="None","None",tx!H139)</f>
        <v>None</v>
      </c>
    </row>
    <row r="34" spans="1:7">
      <c r="A34" s="17"/>
      <c r="B34" s="17" t="str">
        <f>IF('Summary of shell design'!C17="None","None",dx!H85)</f>
        <v>None</v>
      </c>
      <c r="F34" s="18"/>
      <c r="G34" s="18" t="str">
        <f>IF('Summary of shell design'!C17="None","None",tx!H140)</f>
        <v>None</v>
      </c>
    </row>
    <row r="35" spans="1:7">
      <c r="A35" s="17"/>
      <c r="B35" s="17" t="str">
        <f>IF('Summary of shell design'!C18="None","None",dx!H86)</f>
        <v>None</v>
      </c>
      <c r="F35" s="18"/>
      <c r="G35" s="18" t="str">
        <f>IF('Summary of shell design'!C18="None","None",tx!H141)</f>
        <v>None</v>
      </c>
    </row>
    <row r="36" spans="1:7">
      <c r="A36" s="17"/>
      <c r="B36" s="17" t="str">
        <f>IF('Summary of shell design'!C19="None","None",dx!H87)</f>
        <v>None</v>
      </c>
      <c r="F36" s="18"/>
      <c r="G36" s="18" t="str">
        <f>IF('Summary of shell design'!C19="None","None",tx!H142)</f>
        <v>None</v>
      </c>
    </row>
    <row r="37" spans="1:7">
      <c r="A37" s="17"/>
      <c r="B37" s="17" t="str">
        <f>IF('Summary of shell design'!C20="None","None",dx!H88)</f>
        <v>None</v>
      </c>
      <c r="F37" s="18"/>
      <c r="G37" s="18" t="str">
        <f>IF('Summary of shell design'!C20="None","None",tx!H143)</f>
        <v>None</v>
      </c>
    </row>
  </sheetData>
  <mergeCells count="3">
    <mergeCell ref="A1:C1"/>
    <mergeCell ref="F1:H1"/>
    <mergeCell ref="K1:O1"/>
  </mergeCells>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44538-A580-4D37-910F-7E76180145B2}">
  <dimension ref="A1:D30"/>
  <sheetViews>
    <sheetView topLeftCell="A10" workbookViewId="0">
      <selection activeCell="G30" sqref="G30"/>
    </sheetView>
  </sheetViews>
  <sheetFormatPr defaultRowHeight="15"/>
  <cols>
    <col min="2" max="2" width="58.140625" customWidth="1"/>
  </cols>
  <sheetData>
    <row r="1" spans="1:4" ht="18">
      <c r="A1" s="1" t="s">
        <v>337</v>
      </c>
      <c r="B1" s="1" t="s">
        <v>338</v>
      </c>
      <c r="C1" s="1">
        <f>INPUT!$C$6-(INPUT!$C$7-1)*INPUT!$C$10</f>
        <v>8</v>
      </c>
      <c r="D1" s="1" t="s">
        <v>10</v>
      </c>
    </row>
    <row r="2" spans="1:4" ht="18">
      <c r="A2" s="1" t="s">
        <v>339</v>
      </c>
      <c r="B2" s="1" t="s">
        <v>340</v>
      </c>
      <c r="C2" s="1">
        <f>IF(INPUT!$C$7&gt;1,INT(INPUT!$C$6/INPUT!$C$7),"None")</f>
        <v>8</v>
      </c>
      <c r="D2" s="1" t="s">
        <v>10</v>
      </c>
    </row>
    <row r="3" spans="1:4" ht="18">
      <c r="A3" s="1" t="s">
        <v>341</v>
      </c>
      <c r="B3" s="1" t="s">
        <v>342</v>
      </c>
      <c r="C3" s="1">
        <f>IF(INPUT!$C$7&gt;2,INT(INPUT!$C$6/INPUT!$C$7),"None")</f>
        <v>8</v>
      </c>
      <c r="D3" s="1" t="s">
        <v>10</v>
      </c>
    </row>
    <row r="4" spans="1:4" ht="18">
      <c r="A4" s="1" t="s">
        <v>343</v>
      </c>
      <c r="B4" s="1" t="s">
        <v>344</v>
      </c>
      <c r="C4" s="1">
        <f>IF(INPUT!$C$7&gt;3,INT(INPUT!$C$6/INPUT!$C$7),"None")</f>
        <v>8</v>
      </c>
      <c r="D4" s="1" t="s">
        <v>10</v>
      </c>
    </row>
    <row r="5" spans="1:4" ht="18">
      <c r="A5" s="1" t="s">
        <v>345</v>
      </c>
      <c r="B5" s="1" t="s">
        <v>346</v>
      </c>
      <c r="C5" s="1">
        <f>IF(INPUT!$C$7&gt;4,INT(INPUT!$C$6/INPUT!$C$7),"None")</f>
        <v>8</v>
      </c>
      <c r="D5" s="1" t="s">
        <v>10</v>
      </c>
    </row>
    <row r="6" spans="1:4" ht="18">
      <c r="A6" s="1" t="s">
        <v>347</v>
      </c>
      <c r="B6" s="1" t="s">
        <v>348</v>
      </c>
      <c r="C6" s="1" t="str">
        <f>IF(INPUT!$C$7&gt;5,INT(INPUT!$C$6/INPUT!$C$7),"None")</f>
        <v>None</v>
      </c>
      <c r="D6" s="1" t="s">
        <v>10</v>
      </c>
    </row>
    <row r="7" spans="1:4" ht="18">
      <c r="A7" s="1" t="s">
        <v>349</v>
      </c>
      <c r="B7" s="1" t="s">
        <v>350</v>
      </c>
      <c r="C7" s="1" t="str">
        <f>IF(INPUT!$C$7&gt;6,INT(INPUT!$C$6/INPUT!$C$7),"None")</f>
        <v>None</v>
      </c>
      <c r="D7" s="1" t="s">
        <v>10</v>
      </c>
    </row>
    <row r="8" spans="1:4" ht="18">
      <c r="A8" s="1" t="s">
        <v>351</v>
      </c>
      <c r="B8" s="1" t="s">
        <v>352</v>
      </c>
      <c r="C8" s="1" t="str">
        <f>IF(INPUT!$C$7&gt;7,INT(INPUT!$C$6/INPUT!$C$7),"None")</f>
        <v>None</v>
      </c>
      <c r="D8" s="1" t="s">
        <v>10</v>
      </c>
    </row>
    <row r="9" spans="1:4" ht="18">
      <c r="A9" s="1" t="s">
        <v>353</v>
      </c>
      <c r="B9" s="1" t="s">
        <v>354</v>
      </c>
      <c r="C9" s="1" t="str">
        <f>IF(INPUT!$C$7&gt;8,INT(INPUT!$C$6/INPUT!$C$7),"None")</f>
        <v>None</v>
      </c>
      <c r="D9" s="1" t="s">
        <v>10</v>
      </c>
    </row>
    <row r="10" spans="1:4" ht="18">
      <c r="A10" s="1" t="s">
        <v>355</v>
      </c>
      <c r="B10" s="1" t="s">
        <v>356</v>
      </c>
      <c r="C10" s="1" t="str">
        <f>IF(INPUT!$C$7&gt;9,INT(INPUT!$C$6/INPUT!$C$7),"None")</f>
        <v>None</v>
      </c>
      <c r="D10" s="1" t="s">
        <v>10</v>
      </c>
    </row>
    <row r="11" spans="1:4" ht="18">
      <c r="A11" s="1" t="s">
        <v>357</v>
      </c>
      <c r="B11" s="1" t="s">
        <v>358</v>
      </c>
      <c r="C11" s="1">
        <f>INPUT!C6</f>
        <v>40</v>
      </c>
      <c r="D11" s="1" t="s">
        <v>10</v>
      </c>
    </row>
    <row r="12" spans="1:4" ht="18">
      <c r="A12" s="1" t="s">
        <v>359</v>
      </c>
      <c r="B12" s="1" t="s">
        <v>360</v>
      </c>
      <c r="C12" s="1">
        <f>IF(INPUT!$C$7&gt;1,C11-C1,"None")</f>
        <v>32</v>
      </c>
      <c r="D12" s="1" t="s">
        <v>10</v>
      </c>
    </row>
    <row r="13" spans="1:4" ht="18">
      <c r="A13" s="1" t="s">
        <v>361</v>
      </c>
      <c r="B13" s="1" t="s">
        <v>362</v>
      </c>
      <c r="C13" s="1">
        <f>IF(INPUT!$C$7&gt;2,C12-C2,"None")</f>
        <v>24</v>
      </c>
      <c r="D13" s="1" t="s">
        <v>10</v>
      </c>
    </row>
    <row r="14" spans="1:4" ht="18">
      <c r="A14" s="1" t="s">
        <v>363</v>
      </c>
      <c r="B14" s="1" t="s">
        <v>364</v>
      </c>
      <c r="C14" s="1">
        <f>IF(INPUT!$C$7&gt;3,C13-C3,"None")</f>
        <v>16</v>
      </c>
      <c r="D14" s="1" t="s">
        <v>10</v>
      </c>
    </row>
    <row r="15" spans="1:4" ht="18">
      <c r="A15" s="1" t="s">
        <v>365</v>
      </c>
      <c r="B15" s="1" t="s">
        <v>366</v>
      </c>
      <c r="C15" s="1">
        <f>IF(INPUT!$C$7&gt;4,C14-C4,"None")</f>
        <v>8</v>
      </c>
      <c r="D15" s="1" t="s">
        <v>10</v>
      </c>
    </row>
    <row r="16" spans="1:4" ht="18">
      <c r="A16" s="1" t="s">
        <v>367</v>
      </c>
      <c r="B16" s="1" t="s">
        <v>368</v>
      </c>
      <c r="C16" s="1" t="str">
        <f>IF(INPUT!$C$7&gt;5,C15-C5,"None")</f>
        <v>None</v>
      </c>
      <c r="D16" s="1" t="s">
        <v>10</v>
      </c>
    </row>
    <row r="17" spans="1:4" ht="18">
      <c r="A17" s="1" t="s">
        <v>369</v>
      </c>
      <c r="B17" s="1" t="s">
        <v>370</v>
      </c>
      <c r="C17" s="1" t="str">
        <f>IF(INPUT!$C$7&gt;6,C16-C6,"None")</f>
        <v>None</v>
      </c>
      <c r="D17" s="1" t="s">
        <v>10</v>
      </c>
    </row>
    <row r="18" spans="1:4" ht="18">
      <c r="A18" s="1" t="s">
        <v>371</v>
      </c>
      <c r="B18" s="1" t="s">
        <v>372</v>
      </c>
      <c r="C18" s="1" t="str">
        <f>IF(INPUT!$C$7&gt;7,C17-C7,"None")</f>
        <v>None</v>
      </c>
      <c r="D18" s="1" t="s">
        <v>10</v>
      </c>
    </row>
    <row r="19" spans="1:4" ht="18">
      <c r="A19" s="1" t="s">
        <v>373</v>
      </c>
      <c r="B19" s="1" t="s">
        <v>374</v>
      </c>
      <c r="C19" s="1" t="str">
        <f>IF(INPUT!$C$7&gt;8,C18-C8,"None")</f>
        <v>None</v>
      </c>
      <c r="D19" s="1" t="s">
        <v>10</v>
      </c>
    </row>
    <row r="20" spans="1:4" ht="18">
      <c r="A20" s="1" t="s">
        <v>375</v>
      </c>
      <c r="B20" s="1" t="s">
        <v>376</v>
      </c>
      <c r="C20" s="1" t="str">
        <f>IF(INPUT!$C$7&gt;9,C19-C9,"None")</f>
        <v>None</v>
      </c>
      <c r="D20" s="1" t="s">
        <v>10</v>
      </c>
    </row>
    <row r="21" spans="1:4" ht="18">
      <c r="A21" s="1" t="s">
        <v>377</v>
      </c>
      <c r="B21" s="1" t="s">
        <v>378</v>
      </c>
      <c r="C21" s="1">
        <f>'VDP Method'!L2</f>
        <v>0.92316630298156055</v>
      </c>
      <c r="D21" s="1" t="s">
        <v>7</v>
      </c>
    </row>
    <row r="22" spans="1:4" ht="18">
      <c r="A22" s="1" t="s">
        <v>379</v>
      </c>
      <c r="B22" s="1" t="s">
        <v>380</v>
      </c>
      <c r="C22" s="1">
        <f>'VDP Method'!L3</f>
        <v>0.69885949906841749</v>
      </c>
      <c r="D22" s="1" t="s">
        <v>7</v>
      </c>
    </row>
    <row r="23" spans="1:4" ht="18">
      <c r="A23" s="1" t="s">
        <v>381</v>
      </c>
      <c r="B23" s="1" t="s">
        <v>382</v>
      </c>
      <c r="C23" s="1">
        <f>'VDP Method'!L4</f>
        <v>0.51793892021498311</v>
      </c>
      <c r="D23" s="1" t="s">
        <v>7</v>
      </c>
    </row>
    <row r="24" spans="1:4" ht="18">
      <c r="A24" s="1" t="s">
        <v>383</v>
      </c>
      <c r="B24" s="1" t="s">
        <v>384</v>
      </c>
      <c r="C24" s="1">
        <f>'VDP Method'!L5</f>
        <v>0.375</v>
      </c>
      <c r="D24" s="1" t="s">
        <v>7</v>
      </c>
    </row>
    <row r="25" spans="1:4" ht="18">
      <c r="A25" s="1" t="s">
        <v>385</v>
      </c>
      <c r="B25" s="1" t="s">
        <v>386</v>
      </c>
      <c r="C25" s="1">
        <f>'VDP Method'!L6</f>
        <v>0.375</v>
      </c>
      <c r="D25" s="1" t="s">
        <v>7</v>
      </c>
    </row>
    <row r="26" spans="1:4" ht="18">
      <c r="A26" s="1" t="s">
        <v>387</v>
      </c>
      <c r="B26" s="1" t="s">
        <v>388</v>
      </c>
      <c r="C26" s="1" t="str">
        <f>'VDP Method'!L7</f>
        <v>None</v>
      </c>
      <c r="D26" s="1" t="s">
        <v>7</v>
      </c>
    </row>
    <row r="27" spans="1:4" ht="18">
      <c r="A27" s="1" t="s">
        <v>389</v>
      </c>
      <c r="B27" s="1" t="s">
        <v>390</v>
      </c>
      <c r="C27" s="1" t="str">
        <f>'VDP Method'!L8</f>
        <v>None</v>
      </c>
      <c r="D27" s="1" t="s">
        <v>7</v>
      </c>
    </row>
    <row r="28" spans="1:4" ht="18">
      <c r="A28" s="1" t="s">
        <v>391</v>
      </c>
      <c r="B28" s="1" t="s">
        <v>392</v>
      </c>
      <c r="C28" s="1" t="str">
        <f>'VDP Method'!L9</f>
        <v>None</v>
      </c>
      <c r="D28" s="1" t="s">
        <v>7</v>
      </c>
    </row>
    <row r="29" spans="1:4" ht="18">
      <c r="A29" s="1" t="s">
        <v>393</v>
      </c>
      <c r="B29" s="1" t="s">
        <v>394</v>
      </c>
      <c r="C29" s="1" t="str">
        <f>'VDP Method'!L10</f>
        <v>None</v>
      </c>
      <c r="D29" s="1" t="s">
        <v>7</v>
      </c>
    </row>
    <row r="30" spans="1:4" ht="18">
      <c r="A30" s="1" t="s">
        <v>395</v>
      </c>
      <c r="B30" s="1" t="s">
        <v>396</v>
      </c>
      <c r="C30" s="1" t="str">
        <f>'VDP Method'!L11</f>
        <v>None</v>
      </c>
      <c r="D30" s="1" t="s">
        <v>7</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058D7-EF08-4E52-AB29-A0E26E19AF95}">
  <dimension ref="A1:O23"/>
  <sheetViews>
    <sheetView workbookViewId="0">
      <selection activeCell="K2" sqref="K2:K6"/>
    </sheetView>
  </sheetViews>
  <sheetFormatPr defaultRowHeight="15"/>
  <cols>
    <col min="1" max="2" width="10.7109375" customWidth="1"/>
    <col min="3" max="3" width="4.7109375" customWidth="1"/>
    <col min="4" max="7" width="10.7109375" customWidth="1"/>
    <col min="8" max="8" width="4.7109375" customWidth="1"/>
    <col min="9" max="11" width="10.7109375" customWidth="1"/>
    <col min="12" max="12" width="4.7109375" customWidth="1"/>
  </cols>
  <sheetData>
    <row r="1" spans="1:15">
      <c r="A1" s="107" t="s">
        <v>292</v>
      </c>
      <c r="B1" s="107"/>
      <c r="C1" s="107"/>
      <c r="D1" s="29"/>
      <c r="E1" s="29"/>
      <c r="F1" s="108" t="s">
        <v>293</v>
      </c>
      <c r="G1" s="108"/>
      <c r="H1" s="108"/>
      <c r="I1" s="29"/>
      <c r="J1" s="109" t="s">
        <v>295</v>
      </c>
      <c r="K1" s="109"/>
      <c r="L1" s="109"/>
      <c r="M1" s="109"/>
      <c r="N1" s="109"/>
      <c r="O1" s="29"/>
    </row>
    <row r="2" spans="1:15" ht="18">
      <c r="A2" s="38" t="s">
        <v>397</v>
      </c>
      <c r="B2" s="38">
        <f>IF('Summary of shell design'!C11="None","None",2.6*INPUT!$C$4*('Summary of shell design'!C11-1)*INPUT!$C$2/INPUT!$C$8+INPUT!$C$3)</f>
        <v>0.94050704347826086</v>
      </c>
      <c r="C2" s="38" t="s">
        <v>7</v>
      </c>
      <c r="D2" s="29"/>
      <c r="E2" s="29"/>
      <c r="F2" s="39" t="s">
        <v>95</v>
      </c>
      <c r="G2" s="39">
        <f>IF('Summary of shell design'!C11="None","None",2.6*INPUT!$C$4*('Summary of shell design'!C11-1)/INPUT!$C$9)</f>
        <v>0.94050704347826086</v>
      </c>
      <c r="H2" s="39" t="s">
        <v>7</v>
      </c>
      <c r="I2" s="29"/>
      <c r="J2" s="29"/>
      <c r="K2" s="40">
        <f>IF(B12="None","None",MAX(B12,G12))</f>
        <v>0.94050704347826086</v>
      </c>
      <c r="L2" s="40" t="s">
        <v>7</v>
      </c>
      <c r="M2" s="29">
        <f>IF(INPUT!$C$4&lt;=10.5, 3/16, IF(INPUT!$C$4&lt;120, 1/4, IF(INPUT!$C$4&lt;=200, 5/16, 3/8)))</f>
        <v>0.375</v>
      </c>
      <c r="N2" s="29"/>
      <c r="O2" s="29"/>
    </row>
    <row r="3" spans="1:15" ht="18">
      <c r="A3" s="38" t="s">
        <v>398</v>
      </c>
      <c r="B3" s="38">
        <f>IF('Summary of shell design'!C12="None","None",2.6*INPUT!$C$4*('Summary of shell design'!C12-1)*INPUT!$C$2/INPUT!$C$8+INPUT!$C$3)</f>
        <v>0.74758252173913053</v>
      </c>
      <c r="C3" s="38" t="s">
        <v>7</v>
      </c>
      <c r="D3" s="29"/>
      <c r="E3" s="29"/>
      <c r="F3" s="39" t="s">
        <v>96</v>
      </c>
      <c r="G3" s="39">
        <f>IF('Summary of shell design'!C12="None","None",2.6*INPUT!$C$4*('Summary of shell design'!C12-1)/INPUT!$C$9)</f>
        <v>0.74758252173913053</v>
      </c>
      <c r="H3" s="39" t="s">
        <v>7</v>
      </c>
      <c r="I3" s="29"/>
      <c r="J3" s="29"/>
      <c r="K3" s="40">
        <f t="shared" ref="K3:K11" si="0">IF(B13="None","None",MAX(B13,G13))</f>
        <v>0.74758252173913053</v>
      </c>
      <c r="L3" s="40" t="s">
        <v>7</v>
      </c>
      <c r="M3" s="29">
        <f>IF(INPUT!$C$4&lt;50, 3/16, IF(INPUT!$C$4&lt;120, 1/4, IF(INPUT!$C$4&lt;=200, 5/16, 3/8)))</f>
        <v>0.375</v>
      </c>
      <c r="N3" s="29"/>
      <c r="O3" s="29"/>
    </row>
    <row r="4" spans="1:15" ht="18">
      <c r="A4" s="38" t="s">
        <v>399</v>
      </c>
      <c r="B4" s="38">
        <f>IF('Summary of shell design'!C13="None","None",2.6*INPUT!$C$4*('Summary of shell design'!C13-1)*INPUT!$C$2/INPUT!$C$8+INPUT!$C$3)</f>
        <v>0.55465799999999998</v>
      </c>
      <c r="C4" s="38" t="s">
        <v>7</v>
      </c>
      <c r="D4" s="29"/>
      <c r="E4" s="29"/>
      <c r="F4" s="39" t="s">
        <v>97</v>
      </c>
      <c r="G4" s="39">
        <f>IF('Summary of shell design'!C13="None","None",2.6*INPUT!$C$4*('Summary of shell design'!C13-1)/INPUT!$C$9)</f>
        <v>0.55465799999999998</v>
      </c>
      <c r="H4" s="39" t="s">
        <v>7</v>
      </c>
      <c r="I4" s="29"/>
      <c r="J4" s="29"/>
      <c r="K4" s="40">
        <f t="shared" si="0"/>
        <v>0.55465799999999998</v>
      </c>
      <c r="L4" s="40" t="s">
        <v>7</v>
      </c>
      <c r="M4" s="29">
        <f>IF(INPUT!$C$4&lt;50, 3/16, IF(INPUT!$C$4&lt;120, 1/4, IF(INPUT!$C$4&lt;=200, 5/16, 3/8)))</f>
        <v>0.375</v>
      </c>
      <c r="N4" s="29"/>
      <c r="O4" s="29"/>
    </row>
    <row r="5" spans="1:15" ht="18">
      <c r="A5" s="38" t="s">
        <v>400</v>
      </c>
      <c r="B5" s="38">
        <f>IF('Summary of shell design'!C14="None","None",2.6*INPUT!$C$4*('Summary of shell design'!C14-1)*INPUT!$C$2/INPUT!$C$8+INPUT!$C$3)</f>
        <v>0.3617334782608696</v>
      </c>
      <c r="C5" s="38" t="s">
        <v>7</v>
      </c>
      <c r="D5" s="29"/>
      <c r="E5" s="29"/>
      <c r="F5" s="39" t="s">
        <v>98</v>
      </c>
      <c r="G5" s="39">
        <f>IF('Summary of shell design'!C14="None","None",2.6*INPUT!$C$4*('Summary of shell design'!C14-1)/INPUT!$C$9)</f>
        <v>0.3617334782608696</v>
      </c>
      <c r="H5" s="39" t="s">
        <v>7</v>
      </c>
      <c r="I5" s="29"/>
      <c r="J5" s="29"/>
      <c r="K5" s="40">
        <f t="shared" si="0"/>
        <v>0.375</v>
      </c>
      <c r="L5" s="40" t="s">
        <v>7</v>
      </c>
      <c r="M5" s="29">
        <f>IF(INPUT!$C$4&lt;50, 3/16, IF(INPUT!$C$4&lt;120, 1/4, IF(INPUT!$C$4&lt;=200, 5/16, 3/8)))</f>
        <v>0.375</v>
      </c>
      <c r="N5" s="29"/>
      <c r="O5" s="29"/>
    </row>
    <row r="6" spans="1:15" ht="18">
      <c r="A6" s="38" t="s">
        <v>401</v>
      </c>
      <c r="B6" s="38">
        <f>IF('Summary of shell design'!C15="None","None",2.6*INPUT!$C$4*('Summary of shell design'!C15-1)*INPUT!$C$2/INPUT!$C$8+INPUT!$C$3)</f>
        <v>0.16880895652173913</v>
      </c>
      <c r="C6" s="38" t="s">
        <v>7</v>
      </c>
      <c r="D6" s="29"/>
      <c r="E6" s="29"/>
      <c r="F6" s="39" t="s">
        <v>99</v>
      </c>
      <c r="G6" s="39">
        <f>IF('Summary of shell design'!C15="None","None",2.6*INPUT!$C$4*('Summary of shell design'!C15-1)/INPUT!$C$9)</f>
        <v>0.16880895652173913</v>
      </c>
      <c r="H6" s="39" t="s">
        <v>7</v>
      </c>
      <c r="I6" s="29"/>
      <c r="J6" s="29"/>
      <c r="K6" s="40">
        <f t="shared" si="0"/>
        <v>0.375</v>
      </c>
      <c r="L6" s="40" t="s">
        <v>7</v>
      </c>
      <c r="M6" s="29">
        <f>IF(INPUT!$C$4&lt;50, 3/16, IF(INPUT!$C$4&lt;120, 1/4, IF(INPUT!$C$4&lt;=200, 5/16, 3/8)))</f>
        <v>0.375</v>
      </c>
      <c r="N6" s="29"/>
      <c r="O6" s="29"/>
    </row>
    <row r="7" spans="1:15" ht="18">
      <c r="A7" s="38" t="s">
        <v>402</v>
      </c>
      <c r="B7" s="38" t="str">
        <f>IF('Summary of shell design'!C16="None","None",2.6*INPUT!$C$4*('Summary of shell design'!C16-1)*INPUT!$C$2/INPUT!$C$8+INPUT!$C$3)</f>
        <v>None</v>
      </c>
      <c r="C7" s="38" t="s">
        <v>7</v>
      </c>
      <c r="D7" s="29"/>
      <c r="E7" s="29"/>
      <c r="F7" s="39" t="s">
        <v>100</v>
      </c>
      <c r="G7" s="39" t="str">
        <f>IF('Summary of shell design'!C16="None","None",2.6*INPUT!$C$4*('Summary of shell design'!C16-1)/INPUT!$C$9)</f>
        <v>None</v>
      </c>
      <c r="H7" s="39" t="s">
        <v>7</v>
      </c>
      <c r="I7" s="29"/>
      <c r="J7" s="29"/>
      <c r="K7" s="40" t="str">
        <f t="shared" si="0"/>
        <v>None</v>
      </c>
      <c r="L7" s="40" t="s">
        <v>7</v>
      </c>
      <c r="M7" s="29">
        <f>IF(INPUT!$C$4&lt;50, 3/16, IF(INPUT!$C$4&lt;120, 1/4, IF(INPUT!$C$4&lt;=200, 5/16, 3/8)))</f>
        <v>0.375</v>
      </c>
      <c r="N7" s="29"/>
      <c r="O7" s="29"/>
    </row>
    <row r="8" spans="1:15" ht="18">
      <c r="A8" s="38" t="s">
        <v>403</v>
      </c>
      <c r="B8" s="38" t="str">
        <f>IF('Summary of shell design'!C17="None","None",2.6*INPUT!$C$4*('Summary of shell design'!C17-1)*INPUT!$C$2/INPUT!$C$8+INPUT!$C$3)</f>
        <v>None</v>
      </c>
      <c r="C8" s="38" t="s">
        <v>7</v>
      </c>
      <c r="D8" s="29"/>
      <c r="E8" s="29"/>
      <c r="F8" s="39" t="s">
        <v>101</v>
      </c>
      <c r="G8" s="39" t="str">
        <f>IF('Summary of shell design'!C17="None","None",2.6*INPUT!$C$4*('Summary of shell design'!C17-1)/INPUT!$C$9)</f>
        <v>None</v>
      </c>
      <c r="H8" s="39" t="s">
        <v>7</v>
      </c>
      <c r="I8" s="29"/>
      <c r="J8" s="29"/>
      <c r="K8" s="40" t="str">
        <f t="shared" si="0"/>
        <v>None</v>
      </c>
      <c r="L8" s="40" t="s">
        <v>7</v>
      </c>
      <c r="M8" s="29">
        <f>IF(INPUT!$C$4&lt;50, 3/16, IF(INPUT!$C$4&lt;120, 1/4, IF(INPUT!$C$4&lt;=200, 5/16, 3/8)))</f>
        <v>0.375</v>
      </c>
      <c r="N8" s="29"/>
      <c r="O8" s="29"/>
    </row>
    <row r="9" spans="1:15" ht="18">
      <c r="A9" s="38" t="s">
        <v>404</v>
      </c>
      <c r="B9" s="38" t="str">
        <f>IF('Summary of shell design'!C18="None","None",2.6*INPUT!$C$4*('Summary of shell design'!C18-1)*INPUT!$C$2/INPUT!$C$8+INPUT!$C$3)</f>
        <v>None</v>
      </c>
      <c r="C9" s="38" t="s">
        <v>7</v>
      </c>
      <c r="D9" s="29"/>
      <c r="E9" s="29"/>
      <c r="F9" s="39" t="s">
        <v>102</v>
      </c>
      <c r="G9" s="39" t="str">
        <f>IF('Summary of shell design'!C18="None","None",2.6*INPUT!$C$4*('Summary of shell design'!C18-1)/INPUT!$C$9)</f>
        <v>None</v>
      </c>
      <c r="H9" s="39" t="s">
        <v>7</v>
      </c>
      <c r="I9" s="29"/>
      <c r="J9" s="29"/>
      <c r="K9" s="40" t="str">
        <f t="shared" si="0"/>
        <v>None</v>
      </c>
      <c r="L9" s="40" t="s">
        <v>7</v>
      </c>
      <c r="M9" s="29">
        <f>IF(INPUT!$C$4&lt;50, 3/16, IF(INPUT!$C$4&lt;120, 1/4, IF(INPUT!$C$4&lt;=200, 5/16, 3/8)))</f>
        <v>0.375</v>
      </c>
      <c r="N9" s="29"/>
      <c r="O9" s="29"/>
    </row>
    <row r="10" spans="1:15" ht="18">
      <c r="A10" s="38" t="s">
        <v>405</v>
      </c>
      <c r="B10" s="38" t="str">
        <f>IF('Summary of shell design'!C19="None","None",2.6*INPUT!$C$4*('Summary of shell design'!C19-1)*INPUT!$C$2/INPUT!$C$8+INPUT!$C$3)</f>
        <v>None</v>
      </c>
      <c r="C10" s="38" t="s">
        <v>7</v>
      </c>
      <c r="D10" s="29"/>
      <c r="E10" s="29"/>
      <c r="F10" s="39" t="s">
        <v>103</v>
      </c>
      <c r="G10" s="39" t="str">
        <f>IF('Summary of shell design'!C19="None","None",2.6*INPUT!$C$4*('Summary of shell design'!C19-1)/INPUT!$C$9)</f>
        <v>None</v>
      </c>
      <c r="H10" s="39" t="s">
        <v>7</v>
      </c>
      <c r="I10" s="29"/>
      <c r="J10" s="29"/>
      <c r="K10" s="40" t="str">
        <f t="shared" si="0"/>
        <v>None</v>
      </c>
      <c r="L10" s="40" t="s">
        <v>7</v>
      </c>
      <c r="M10" s="29">
        <f>IF(INPUT!$C$4&lt;50, 3/16, IF(INPUT!$C$4&lt;120, 1/4, IF(INPUT!$C$4&lt;=200, 5/16, 3/8)))</f>
        <v>0.375</v>
      </c>
      <c r="N10" s="29"/>
      <c r="O10" s="29"/>
    </row>
    <row r="11" spans="1:15" ht="18">
      <c r="A11" s="38" t="s">
        <v>406</v>
      </c>
      <c r="B11" s="38" t="str">
        <f>IF('Summary of shell design'!C20="None","None",2.6*INPUT!$C$4*('Summary of shell design'!C20-1)*INPUT!$C$2/INPUT!$C$8+INPUT!$C$3)</f>
        <v>None</v>
      </c>
      <c r="C11" s="38" t="s">
        <v>7</v>
      </c>
      <c r="D11" s="29"/>
      <c r="E11" s="29"/>
      <c r="F11" s="39" t="s">
        <v>104</v>
      </c>
      <c r="G11" s="39" t="str">
        <f>IF('Summary of shell design'!C20="None","None",2.6*INPUT!$C$4*('Summary of shell design'!C20-1)/INPUT!$C$9)</f>
        <v>None</v>
      </c>
      <c r="H11" s="39" t="s">
        <v>7</v>
      </c>
      <c r="I11" s="29"/>
      <c r="J11" s="29"/>
      <c r="K11" s="40" t="str">
        <f t="shared" si="0"/>
        <v>None</v>
      </c>
      <c r="L11" s="40" t="s">
        <v>7</v>
      </c>
      <c r="M11" s="29">
        <f>IF(INPUT!$C$4&lt;50, 3/16, IF(INPUT!$C$4&lt;120, 1/4, IF(INPUT!$C$4&lt;=200, 5/16, 3/8)))</f>
        <v>0.375</v>
      </c>
      <c r="N11" s="29"/>
      <c r="O11" s="29"/>
    </row>
    <row r="12" spans="1:15">
      <c r="A12" s="38" t="s">
        <v>407</v>
      </c>
      <c r="B12" s="38">
        <f>IF(B2="None","None",MAX(B2,M2))</f>
        <v>0.94050704347826086</v>
      </c>
      <c r="C12" s="38" t="s">
        <v>7</v>
      </c>
      <c r="D12" s="29"/>
      <c r="E12" s="29"/>
      <c r="F12" s="39" t="s">
        <v>408</v>
      </c>
      <c r="G12" s="39">
        <f>IF(G2="None","None",MAX(G2,M2))</f>
        <v>0.94050704347826086</v>
      </c>
      <c r="H12" s="39" t="s">
        <v>7</v>
      </c>
      <c r="I12" s="29"/>
      <c r="J12" s="29"/>
      <c r="K12" s="29"/>
      <c r="L12" s="29"/>
      <c r="M12" s="29"/>
      <c r="N12" s="29"/>
      <c r="O12" s="29"/>
    </row>
    <row r="13" spans="1:15">
      <c r="A13" s="38" t="s">
        <v>409</v>
      </c>
      <c r="B13" s="38">
        <f t="shared" ref="B13:B21" si="1">IF(B3="None","None",MAX(B3,M3))</f>
        <v>0.74758252173913053</v>
      </c>
      <c r="C13" s="38" t="s">
        <v>7</v>
      </c>
      <c r="D13" s="29"/>
      <c r="E13" s="29"/>
      <c r="F13" s="39" t="s">
        <v>410</v>
      </c>
      <c r="G13" s="39">
        <f t="shared" ref="G13:G21" si="2">IF(G3="None","None",MAX(G3,M3))</f>
        <v>0.74758252173913053</v>
      </c>
      <c r="H13" s="39" t="s">
        <v>7</v>
      </c>
      <c r="I13" s="29"/>
      <c r="J13" s="29" t="s">
        <v>318</v>
      </c>
      <c r="K13" s="29">
        <f>MIN(K2:K11)</f>
        <v>0.375</v>
      </c>
      <c r="L13" s="29" t="s">
        <v>7</v>
      </c>
      <c r="M13" s="29"/>
      <c r="N13" s="29"/>
      <c r="O13" s="29"/>
    </row>
    <row r="14" spans="1:15">
      <c r="A14" s="38" t="s">
        <v>411</v>
      </c>
      <c r="B14" s="38">
        <f t="shared" si="1"/>
        <v>0.55465799999999998</v>
      </c>
      <c r="C14" s="38" t="s">
        <v>7</v>
      </c>
      <c r="D14" s="29"/>
      <c r="E14" s="29"/>
      <c r="F14" s="39" t="s">
        <v>412</v>
      </c>
      <c r="G14" s="39">
        <f t="shared" si="2"/>
        <v>0.55465799999999998</v>
      </c>
      <c r="H14" s="39" t="s">
        <v>7</v>
      </c>
      <c r="I14" s="29"/>
      <c r="J14" s="29"/>
      <c r="K14" s="29"/>
      <c r="L14" s="29"/>
      <c r="M14" s="29"/>
      <c r="N14" s="29"/>
      <c r="O14" s="29"/>
    </row>
    <row r="15" spans="1:15">
      <c r="A15" s="38" t="s">
        <v>413</v>
      </c>
      <c r="B15" s="38">
        <f t="shared" si="1"/>
        <v>0.375</v>
      </c>
      <c r="C15" s="38" t="s">
        <v>7</v>
      </c>
      <c r="D15" s="29"/>
      <c r="E15" s="29"/>
      <c r="F15" s="39" t="s">
        <v>414</v>
      </c>
      <c r="G15" s="39">
        <f t="shared" si="2"/>
        <v>0.375</v>
      </c>
      <c r="H15" s="39" t="s">
        <v>7</v>
      </c>
      <c r="I15" s="29"/>
      <c r="J15" s="29"/>
      <c r="K15" s="29"/>
      <c r="L15" s="29"/>
      <c r="M15" s="29"/>
      <c r="N15" s="29"/>
      <c r="O15" s="29"/>
    </row>
    <row r="16" spans="1:15">
      <c r="A16" s="38" t="s">
        <v>415</v>
      </c>
      <c r="B16" s="38">
        <f t="shared" si="1"/>
        <v>0.375</v>
      </c>
      <c r="C16" s="38" t="s">
        <v>7</v>
      </c>
      <c r="D16" s="29"/>
      <c r="E16" s="29"/>
      <c r="F16" s="39" t="s">
        <v>416</v>
      </c>
      <c r="G16" s="39">
        <f t="shared" si="2"/>
        <v>0.375</v>
      </c>
      <c r="H16" s="39" t="s">
        <v>7</v>
      </c>
      <c r="I16" s="29"/>
      <c r="J16" s="29"/>
      <c r="K16" s="29"/>
      <c r="L16" s="29"/>
      <c r="M16" s="29"/>
      <c r="N16" s="29"/>
      <c r="O16" s="29"/>
    </row>
    <row r="17" spans="1:15">
      <c r="A17" s="38" t="s">
        <v>417</v>
      </c>
      <c r="B17" s="38" t="str">
        <f t="shared" si="1"/>
        <v>None</v>
      </c>
      <c r="C17" s="38" t="s">
        <v>7</v>
      </c>
      <c r="D17" s="29"/>
      <c r="E17" s="29"/>
      <c r="F17" s="39" t="s">
        <v>418</v>
      </c>
      <c r="G17" s="39" t="str">
        <f t="shared" si="2"/>
        <v>None</v>
      </c>
      <c r="H17" s="39" t="s">
        <v>7</v>
      </c>
      <c r="I17" s="29"/>
      <c r="J17" s="29"/>
      <c r="K17" s="29"/>
      <c r="L17" s="29"/>
      <c r="M17" s="29"/>
      <c r="N17" s="29"/>
      <c r="O17" s="29"/>
    </row>
    <row r="18" spans="1:15">
      <c r="A18" s="38" t="s">
        <v>419</v>
      </c>
      <c r="B18" s="38" t="str">
        <f t="shared" si="1"/>
        <v>None</v>
      </c>
      <c r="C18" s="38" t="s">
        <v>7</v>
      </c>
      <c r="D18" s="29"/>
      <c r="E18" s="29"/>
      <c r="F18" s="39" t="s">
        <v>420</v>
      </c>
      <c r="G18" s="39" t="str">
        <f t="shared" si="2"/>
        <v>None</v>
      </c>
      <c r="H18" s="39" t="s">
        <v>7</v>
      </c>
      <c r="I18" s="29"/>
      <c r="J18" s="29"/>
      <c r="K18" s="29"/>
      <c r="L18" s="29"/>
      <c r="M18" s="29"/>
      <c r="N18" s="29"/>
      <c r="O18" s="29"/>
    </row>
    <row r="19" spans="1:15">
      <c r="A19" s="38" t="s">
        <v>421</v>
      </c>
      <c r="B19" s="38" t="str">
        <f t="shared" si="1"/>
        <v>None</v>
      </c>
      <c r="C19" s="38" t="s">
        <v>7</v>
      </c>
      <c r="D19" s="29"/>
      <c r="E19" s="29"/>
      <c r="F19" s="39" t="s">
        <v>422</v>
      </c>
      <c r="G19" s="39" t="str">
        <f t="shared" si="2"/>
        <v>None</v>
      </c>
      <c r="H19" s="39" t="s">
        <v>7</v>
      </c>
      <c r="I19" s="29"/>
      <c r="J19" s="29"/>
      <c r="K19" s="29"/>
      <c r="L19" s="29"/>
      <c r="M19" s="29"/>
      <c r="N19" s="29"/>
      <c r="O19" s="29"/>
    </row>
    <row r="20" spans="1:15">
      <c r="A20" s="38" t="s">
        <v>423</v>
      </c>
      <c r="B20" s="38" t="str">
        <f t="shared" si="1"/>
        <v>None</v>
      </c>
      <c r="C20" s="38" t="s">
        <v>7</v>
      </c>
      <c r="D20" s="29"/>
      <c r="E20" s="29"/>
      <c r="F20" s="39" t="s">
        <v>424</v>
      </c>
      <c r="G20" s="39" t="str">
        <f t="shared" si="2"/>
        <v>None</v>
      </c>
      <c r="H20" s="39" t="s">
        <v>7</v>
      </c>
      <c r="I20" s="29"/>
      <c r="J20" s="29"/>
      <c r="K20" s="29"/>
      <c r="L20" s="29"/>
      <c r="M20" s="29"/>
      <c r="N20" s="29"/>
      <c r="O20" s="29"/>
    </row>
    <row r="21" spans="1:15">
      <c r="A21" s="38" t="s">
        <v>425</v>
      </c>
      <c r="B21" s="38" t="str">
        <f t="shared" si="1"/>
        <v>None</v>
      </c>
      <c r="C21" s="38" t="s">
        <v>7</v>
      </c>
      <c r="D21" s="29"/>
      <c r="E21" s="29"/>
      <c r="F21" s="39" t="s">
        <v>426</v>
      </c>
      <c r="G21" s="39" t="str">
        <f t="shared" si="2"/>
        <v>None</v>
      </c>
      <c r="H21" s="39" t="s">
        <v>7</v>
      </c>
      <c r="I21" s="29"/>
      <c r="J21" s="29"/>
      <c r="K21" s="29"/>
      <c r="L21" s="29"/>
      <c r="M21" s="29"/>
      <c r="N21" s="29"/>
      <c r="O21" s="29"/>
    </row>
    <row r="22" spans="1:15">
      <c r="A22" s="38"/>
      <c r="B22" s="38"/>
      <c r="C22" s="38"/>
      <c r="D22" s="29"/>
      <c r="E22" s="29"/>
      <c r="F22" s="39"/>
      <c r="G22" s="39"/>
      <c r="H22" s="39"/>
      <c r="I22" s="29"/>
      <c r="J22" s="29"/>
      <c r="K22" s="29"/>
      <c r="L22" s="29"/>
      <c r="M22" s="29"/>
      <c r="N22" s="29"/>
      <c r="O22" s="29"/>
    </row>
    <row r="23" spans="1:15">
      <c r="A23" s="38" t="s">
        <v>318</v>
      </c>
      <c r="B23" s="38">
        <f>IF(B12="None","None",MIN(B12:B21))</f>
        <v>0.375</v>
      </c>
      <c r="C23" s="38" t="s">
        <v>7</v>
      </c>
      <c r="D23" s="29"/>
      <c r="E23" s="29"/>
      <c r="F23" s="39" t="s">
        <v>318</v>
      </c>
      <c r="G23" s="39">
        <f>IF(G12="None","None",MIN(G12:G21))</f>
        <v>0.375</v>
      </c>
      <c r="H23" s="39" t="s">
        <v>7</v>
      </c>
      <c r="I23" s="29"/>
      <c r="J23" s="29"/>
      <c r="K23" s="29"/>
      <c r="L23" s="29"/>
      <c r="M23" s="29"/>
      <c r="N23" s="29"/>
      <c r="O23" s="29"/>
    </row>
  </sheetData>
  <mergeCells count="3">
    <mergeCell ref="A1:C1"/>
    <mergeCell ref="F1:H1"/>
    <mergeCell ref="J1:N1"/>
  </mergeCells>
  <phoneticPr fontId="4"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DAE37-F043-45C7-9D34-790C1E14FE53}">
  <dimension ref="D6:L57"/>
  <sheetViews>
    <sheetView topLeftCell="A16" workbookViewId="0">
      <selection activeCell="F11" sqref="F11:J11"/>
    </sheetView>
  </sheetViews>
  <sheetFormatPr defaultRowHeight="15"/>
  <sheetData>
    <row r="6" spans="4:12">
      <c r="D6" s="9" t="s">
        <v>427</v>
      </c>
      <c r="E6" s="8"/>
      <c r="F6" s="8"/>
      <c r="G6" s="8"/>
      <c r="H6" s="8"/>
      <c r="I6" s="8"/>
      <c r="J6" s="8"/>
    </row>
    <row r="7" spans="4:12">
      <c r="D7" s="10" t="s">
        <v>428</v>
      </c>
      <c r="E7" s="8"/>
      <c r="F7" s="8"/>
      <c r="G7" s="8"/>
      <c r="H7" s="8"/>
      <c r="I7" s="8"/>
      <c r="J7" s="8"/>
    </row>
    <row r="8" spans="4:12">
      <c r="D8" s="11"/>
      <c r="E8" s="8"/>
      <c r="F8" s="8"/>
      <c r="G8" s="8"/>
      <c r="H8" s="8"/>
      <c r="I8" s="8"/>
      <c r="J8" s="8"/>
    </row>
    <row r="9" spans="4:12" ht="13.9" customHeight="1">
      <c r="D9" s="125" t="s">
        <v>429</v>
      </c>
      <c r="E9" s="126"/>
      <c r="F9" s="12" t="s">
        <v>430</v>
      </c>
      <c r="G9" s="12" t="s">
        <v>431</v>
      </c>
      <c r="H9" s="12" t="s">
        <v>432</v>
      </c>
      <c r="I9" s="12" t="s">
        <v>433</v>
      </c>
      <c r="J9" s="12" t="s">
        <v>434</v>
      </c>
    </row>
    <row r="10" spans="4:12">
      <c r="D10" s="125"/>
      <c r="E10" s="126"/>
      <c r="F10" s="112" t="s">
        <v>435</v>
      </c>
      <c r="G10" s="113"/>
      <c r="H10" s="113"/>
      <c r="I10" s="113"/>
      <c r="J10" s="114"/>
    </row>
    <row r="11" spans="4:12">
      <c r="D11" s="113"/>
      <c r="E11" s="114"/>
      <c r="F11" s="13" t="s">
        <v>436</v>
      </c>
      <c r="G11" s="13" t="s">
        <v>437</v>
      </c>
      <c r="H11" s="13" t="s">
        <v>438</v>
      </c>
      <c r="I11" s="13" t="s">
        <v>439</v>
      </c>
      <c r="J11" s="13" t="s">
        <v>440</v>
      </c>
    </row>
    <row r="12" spans="4:12">
      <c r="D12" s="115" t="s">
        <v>441</v>
      </c>
      <c r="E12" s="116"/>
      <c r="F12" s="116"/>
      <c r="G12" s="116"/>
      <c r="H12" s="116"/>
      <c r="I12" s="116"/>
      <c r="J12" s="117"/>
    </row>
    <row r="13" spans="4:12">
      <c r="D13" s="118" t="s">
        <v>442</v>
      </c>
      <c r="E13" s="119"/>
      <c r="F13" s="14">
        <v>0.41</v>
      </c>
      <c r="G13" s="14">
        <v>0.42</v>
      </c>
      <c r="H13" s="15" t="s">
        <v>443</v>
      </c>
      <c r="I13" s="15" t="s">
        <v>443</v>
      </c>
      <c r="J13" s="15" t="s">
        <v>443</v>
      </c>
      <c r="L13" s="16" t="s">
        <v>217</v>
      </c>
    </row>
    <row r="14" spans="4:12">
      <c r="D14" s="118" t="s">
        <v>444</v>
      </c>
      <c r="E14" s="119"/>
      <c r="F14" s="14">
        <v>0.51</v>
      </c>
      <c r="G14" s="14">
        <v>0.52</v>
      </c>
      <c r="H14" s="15" t="s">
        <v>443</v>
      </c>
      <c r="I14" s="15" t="s">
        <v>443</v>
      </c>
      <c r="J14" s="15" t="s">
        <v>443</v>
      </c>
      <c r="L14" s="16" t="s">
        <v>236</v>
      </c>
    </row>
    <row r="15" spans="4:12">
      <c r="D15" s="110" t="s">
        <v>445</v>
      </c>
      <c r="E15" s="111"/>
      <c r="F15" s="14">
        <v>0.89</v>
      </c>
      <c r="G15" s="14">
        <v>0.91</v>
      </c>
      <c r="H15" s="15" t="s">
        <v>443</v>
      </c>
      <c r="I15" s="15" t="s">
        <v>443</v>
      </c>
      <c r="J15" s="15" t="s">
        <v>443</v>
      </c>
      <c r="L15" s="16" t="s">
        <v>238</v>
      </c>
    </row>
    <row r="16" spans="4:12">
      <c r="D16" s="115" t="s">
        <v>446</v>
      </c>
      <c r="E16" s="116"/>
      <c r="F16" s="116"/>
      <c r="G16" s="116"/>
      <c r="H16" s="116"/>
      <c r="I16" s="116"/>
      <c r="J16" s="117"/>
      <c r="L16" s="16" t="s">
        <v>239</v>
      </c>
    </row>
    <row r="17" spans="4:12">
      <c r="D17" s="118" t="s">
        <v>442</v>
      </c>
      <c r="E17" s="119"/>
      <c r="F17" s="14">
        <v>1.61</v>
      </c>
      <c r="G17" s="14">
        <v>1.72</v>
      </c>
      <c r="H17" s="15" t="s">
        <v>443</v>
      </c>
      <c r="I17" s="15" t="s">
        <v>443</v>
      </c>
      <c r="J17" s="15" t="s">
        <v>443</v>
      </c>
      <c r="L17" s="16" t="s">
        <v>242</v>
      </c>
    </row>
    <row r="18" spans="4:12">
      <c r="D18" s="118" t="s">
        <v>444</v>
      </c>
      <c r="E18" s="119"/>
      <c r="F18" s="14">
        <v>1.89</v>
      </c>
      <c r="G18" s="14">
        <v>2.04</v>
      </c>
      <c r="H18" s="15" t="s">
        <v>443</v>
      </c>
      <c r="I18" s="15" t="s">
        <v>443</v>
      </c>
      <c r="J18" s="15" t="s">
        <v>443</v>
      </c>
    </row>
    <row r="19" spans="4:12">
      <c r="D19" s="110" t="s">
        <v>447</v>
      </c>
      <c r="E19" s="111"/>
      <c r="F19" s="14">
        <v>2.3199999999999998</v>
      </c>
      <c r="G19" s="14">
        <v>2.48</v>
      </c>
      <c r="H19" s="15" t="s">
        <v>443</v>
      </c>
      <c r="I19" s="15" t="s">
        <v>443</v>
      </c>
      <c r="J19" s="15" t="s">
        <v>443</v>
      </c>
    </row>
    <row r="20" spans="4:12">
      <c r="D20" s="110" t="s">
        <v>445</v>
      </c>
      <c r="E20" s="111"/>
      <c r="F20" s="14">
        <v>2.78</v>
      </c>
      <c r="G20" s="14">
        <v>3.35</v>
      </c>
      <c r="H20" s="15" t="s">
        <v>443</v>
      </c>
      <c r="I20" s="15" t="s">
        <v>443</v>
      </c>
      <c r="J20" s="15" t="s">
        <v>443</v>
      </c>
    </row>
    <row r="21" spans="4:12">
      <c r="D21" s="110" t="s">
        <v>448</v>
      </c>
      <c r="E21" s="111"/>
      <c r="F21" s="14">
        <v>3.64</v>
      </c>
      <c r="G21" s="14">
        <v>4.41</v>
      </c>
      <c r="H21" s="15" t="s">
        <v>443</v>
      </c>
      <c r="I21" s="15" t="s">
        <v>443</v>
      </c>
      <c r="J21" s="15" t="s">
        <v>443</v>
      </c>
    </row>
    <row r="22" spans="4:12">
      <c r="D22" s="110" t="s">
        <v>449</v>
      </c>
      <c r="E22" s="111"/>
      <c r="F22" s="14">
        <v>4.17</v>
      </c>
      <c r="G22" s="14">
        <v>5.82</v>
      </c>
      <c r="H22" s="15" t="s">
        <v>443</v>
      </c>
      <c r="I22" s="15" t="s">
        <v>443</v>
      </c>
      <c r="J22" s="15" t="s">
        <v>443</v>
      </c>
    </row>
    <row r="23" spans="4:12">
      <c r="D23" s="115" t="s">
        <v>450</v>
      </c>
      <c r="E23" s="116"/>
      <c r="F23" s="116"/>
      <c r="G23" s="116"/>
      <c r="H23" s="116"/>
      <c r="I23" s="116"/>
      <c r="J23" s="117"/>
    </row>
    <row r="24" spans="4:12">
      <c r="D24" s="118" t="s">
        <v>442</v>
      </c>
      <c r="E24" s="119"/>
      <c r="F24" s="14">
        <v>1.68</v>
      </c>
      <c r="G24" s="14">
        <v>1.79</v>
      </c>
      <c r="H24" s="14">
        <v>1.87</v>
      </c>
      <c r="I24" s="14">
        <v>1.93</v>
      </c>
      <c r="J24" s="14">
        <v>2</v>
      </c>
    </row>
    <row r="25" spans="4:12">
      <c r="D25" s="118" t="s">
        <v>444</v>
      </c>
      <c r="E25" s="119"/>
      <c r="F25" s="14">
        <v>1.98</v>
      </c>
      <c r="G25" s="14">
        <v>2.13</v>
      </c>
      <c r="H25" s="14">
        <v>2.23</v>
      </c>
      <c r="I25" s="14">
        <v>2.3199999999999998</v>
      </c>
      <c r="J25" s="14">
        <v>2.4</v>
      </c>
    </row>
    <row r="26" spans="4:12">
      <c r="D26" s="110" t="s">
        <v>451</v>
      </c>
      <c r="E26" s="111"/>
      <c r="F26" s="14">
        <v>3.5</v>
      </c>
      <c r="G26" s="14">
        <v>3.73</v>
      </c>
      <c r="H26" s="14">
        <v>3.89</v>
      </c>
      <c r="I26" s="14">
        <v>4</v>
      </c>
      <c r="J26" s="14">
        <v>4.0999999999999996</v>
      </c>
    </row>
    <row r="27" spans="4:12">
      <c r="D27" s="110" t="s">
        <v>452</v>
      </c>
      <c r="E27" s="111"/>
      <c r="F27" s="14">
        <v>4.1399999999999997</v>
      </c>
      <c r="G27" s="14">
        <v>4.45</v>
      </c>
      <c r="H27" s="14">
        <v>4.66</v>
      </c>
      <c r="I27" s="14">
        <v>4.82</v>
      </c>
      <c r="J27" s="14">
        <v>4.95</v>
      </c>
    </row>
    <row r="28" spans="4:12">
      <c r="D28" s="110" t="s">
        <v>453</v>
      </c>
      <c r="E28" s="111"/>
      <c r="F28" s="14">
        <v>5.53</v>
      </c>
      <c r="G28" s="14">
        <v>5.96</v>
      </c>
      <c r="H28" s="14">
        <v>6.25</v>
      </c>
      <c r="I28" s="14">
        <v>6.47</v>
      </c>
      <c r="J28" s="14">
        <v>6.64</v>
      </c>
    </row>
    <row r="29" spans="4:12">
      <c r="D29" s="118" t="s">
        <v>454</v>
      </c>
      <c r="E29" s="119"/>
      <c r="F29" s="14">
        <v>6.13</v>
      </c>
      <c r="G29" s="14">
        <v>6.6</v>
      </c>
      <c r="H29" s="14">
        <v>6.92</v>
      </c>
      <c r="I29" s="14">
        <v>7.16</v>
      </c>
      <c r="J29" s="14">
        <v>7.35</v>
      </c>
    </row>
    <row r="30" spans="4:12">
      <c r="D30" s="118" t="s">
        <v>455</v>
      </c>
      <c r="E30" s="119"/>
      <c r="F30" s="14">
        <v>7.02</v>
      </c>
      <c r="G30" s="14">
        <v>7.61</v>
      </c>
      <c r="H30" s="14">
        <v>8.0299999999999994</v>
      </c>
      <c r="I30" s="14">
        <v>8.33</v>
      </c>
      <c r="J30" s="14">
        <v>8.58</v>
      </c>
    </row>
    <row r="31" spans="4:12">
      <c r="D31" s="110" t="s">
        <v>456</v>
      </c>
      <c r="E31" s="111"/>
      <c r="F31" s="14">
        <v>9.02</v>
      </c>
      <c r="G31" s="14">
        <v>10.56</v>
      </c>
      <c r="H31" s="14">
        <v>11.15</v>
      </c>
      <c r="I31" s="14">
        <v>11.59</v>
      </c>
      <c r="J31" s="14">
        <v>11.93</v>
      </c>
    </row>
    <row r="32" spans="4:12">
      <c r="D32" s="115" t="s">
        <v>457</v>
      </c>
      <c r="E32" s="116"/>
      <c r="F32" s="116"/>
      <c r="G32" s="116"/>
      <c r="H32" s="116"/>
      <c r="I32" s="116"/>
      <c r="J32" s="117"/>
    </row>
    <row r="33" spans="4:10">
      <c r="D33" s="110" t="s">
        <v>452</v>
      </c>
      <c r="E33" s="111"/>
      <c r="F33" s="14">
        <v>11.27</v>
      </c>
      <c r="G33" s="14">
        <v>11.78</v>
      </c>
      <c r="H33" s="14">
        <v>12.2</v>
      </c>
      <c r="I33" s="14">
        <v>12.53</v>
      </c>
      <c r="J33" s="14">
        <v>12.81</v>
      </c>
    </row>
    <row r="34" spans="4:10">
      <c r="D34" s="110" t="s">
        <v>458</v>
      </c>
      <c r="E34" s="111"/>
      <c r="F34" s="14">
        <v>13.06</v>
      </c>
      <c r="G34" s="14">
        <v>13.67</v>
      </c>
      <c r="H34" s="14">
        <v>14.18</v>
      </c>
      <c r="I34" s="14">
        <v>14.6</v>
      </c>
      <c r="J34" s="14">
        <v>14.95</v>
      </c>
    </row>
    <row r="35" spans="4:10">
      <c r="D35" s="110" t="s">
        <v>453</v>
      </c>
      <c r="E35" s="111"/>
      <c r="F35" s="14">
        <v>15.48</v>
      </c>
      <c r="G35" s="14">
        <v>16.23</v>
      </c>
      <c r="H35" s="14">
        <v>16.84</v>
      </c>
      <c r="I35" s="14">
        <v>17.34</v>
      </c>
      <c r="J35" s="14">
        <v>17.739999999999998</v>
      </c>
    </row>
    <row r="36" spans="4:10">
      <c r="D36" s="110" t="s">
        <v>459</v>
      </c>
      <c r="E36" s="111"/>
      <c r="F36" s="14">
        <v>18</v>
      </c>
      <c r="G36" s="14">
        <v>18.89</v>
      </c>
      <c r="H36" s="14">
        <v>19.64</v>
      </c>
      <c r="I36" s="14">
        <v>20.260000000000002</v>
      </c>
      <c r="J36" s="14">
        <v>20.77</v>
      </c>
    </row>
    <row r="37" spans="4:10">
      <c r="D37" s="118" t="s">
        <v>454</v>
      </c>
      <c r="E37" s="119"/>
      <c r="F37" s="14">
        <v>16.95</v>
      </c>
      <c r="G37" s="14">
        <v>17.7</v>
      </c>
      <c r="H37" s="14">
        <v>18.309999999999999</v>
      </c>
      <c r="I37" s="14">
        <v>18.82</v>
      </c>
      <c r="J37" s="14">
        <v>19.23</v>
      </c>
    </row>
    <row r="38" spans="4:10">
      <c r="D38" s="118" t="s">
        <v>455</v>
      </c>
      <c r="E38" s="119"/>
      <c r="F38" s="14">
        <v>19.75</v>
      </c>
      <c r="G38" s="14">
        <v>20.63</v>
      </c>
      <c r="H38" s="14">
        <v>21.39</v>
      </c>
      <c r="I38" s="14">
        <v>22.01</v>
      </c>
      <c r="J38" s="14">
        <v>22.54</v>
      </c>
    </row>
    <row r="39" spans="4:10">
      <c r="D39" s="110" t="s">
        <v>456</v>
      </c>
      <c r="E39" s="111"/>
      <c r="F39" s="14">
        <v>27.74</v>
      </c>
      <c r="G39" s="14">
        <v>28.92</v>
      </c>
      <c r="H39" s="14">
        <v>29.95</v>
      </c>
      <c r="I39" s="14">
        <v>30.82</v>
      </c>
      <c r="J39" s="14">
        <v>31.55</v>
      </c>
    </row>
    <row r="40" spans="4:10">
      <c r="D40" s="115" t="s">
        <v>460</v>
      </c>
      <c r="E40" s="116"/>
      <c r="F40" s="116"/>
      <c r="G40" s="116"/>
      <c r="H40" s="116"/>
      <c r="I40" s="116"/>
      <c r="J40" s="117"/>
    </row>
    <row r="41" spans="4:10">
      <c r="D41" s="120" t="s">
        <v>461</v>
      </c>
      <c r="E41" s="121"/>
      <c r="F41" s="15" t="s">
        <v>443</v>
      </c>
      <c r="G41" s="14">
        <v>23.29</v>
      </c>
      <c r="H41" s="14">
        <v>24.63</v>
      </c>
      <c r="I41" s="14">
        <v>25.61</v>
      </c>
      <c r="J41" s="14">
        <v>26.34</v>
      </c>
    </row>
    <row r="42" spans="4:10">
      <c r="D42" s="120" t="s">
        <v>462</v>
      </c>
      <c r="E42" s="121"/>
      <c r="F42" s="15" t="s">
        <v>443</v>
      </c>
      <c r="G42" s="14">
        <v>29.27</v>
      </c>
      <c r="H42" s="14">
        <v>31.07</v>
      </c>
      <c r="I42" s="14">
        <v>32.36</v>
      </c>
      <c r="J42" s="14">
        <v>33.33</v>
      </c>
    </row>
    <row r="43" spans="4:10">
      <c r="D43" s="120" t="s">
        <v>463</v>
      </c>
      <c r="E43" s="121"/>
      <c r="F43" s="15" t="s">
        <v>443</v>
      </c>
      <c r="G43" s="14">
        <v>35.49</v>
      </c>
      <c r="H43" s="14">
        <v>37.880000000000003</v>
      </c>
      <c r="I43" s="14">
        <v>39.53</v>
      </c>
      <c r="J43" s="14">
        <v>40.78</v>
      </c>
    </row>
    <row r="44" spans="4:10">
      <c r="D44" s="120" t="s">
        <v>464</v>
      </c>
      <c r="E44" s="121"/>
      <c r="F44" s="15" t="s">
        <v>443</v>
      </c>
      <c r="G44" s="14">
        <v>42.06</v>
      </c>
      <c r="H44" s="14">
        <v>45.07</v>
      </c>
      <c r="I44" s="14">
        <v>47.1</v>
      </c>
      <c r="J44" s="14">
        <v>48.67</v>
      </c>
    </row>
    <row r="45" spans="4:10">
      <c r="D45" s="120" t="s">
        <v>465</v>
      </c>
      <c r="E45" s="121"/>
      <c r="F45" s="15" t="s">
        <v>443</v>
      </c>
      <c r="G45" s="14">
        <v>48.97</v>
      </c>
      <c r="H45" s="14">
        <v>52.62</v>
      </c>
      <c r="I45" s="14">
        <v>55.07</v>
      </c>
      <c r="J45" s="14">
        <v>56.99</v>
      </c>
    </row>
    <row r="46" spans="4:10">
      <c r="D46" s="120" t="s">
        <v>466</v>
      </c>
      <c r="E46" s="121"/>
      <c r="F46" s="15" t="s">
        <v>443</v>
      </c>
      <c r="G46" s="14">
        <v>56.21</v>
      </c>
      <c r="H46" s="14">
        <v>60.52</v>
      </c>
      <c r="I46" s="14">
        <v>63.43</v>
      </c>
      <c r="J46" s="14">
        <v>65.73</v>
      </c>
    </row>
    <row r="47" spans="4:10">
      <c r="D47" s="120" t="s">
        <v>467</v>
      </c>
      <c r="E47" s="121"/>
      <c r="F47" s="15" t="s">
        <v>443</v>
      </c>
      <c r="G47" s="14">
        <v>63.8</v>
      </c>
      <c r="H47" s="14">
        <v>68.78</v>
      </c>
      <c r="I47" s="14">
        <v>72.180000000000007</v>
      </c>
      <c r="J47" s="14">
        <v>74.89</v>
      </c>
    </row>
    <row r="48" spans="4:10">
      <c r="D48" s="120" t="s">
        <v>468</v>
      </c>
      <c r="E48" s="121"/>
      <c r="F48" s="15" t="s">
        <v>443</v>
      </c>
      <c r="G48" s="14">
        <v>71.72</v>
      </c>
      <c r="H48" s="14">
        <v>77.39</v>
      </c>
      <c r="I48" s="14">
        <v>81.3</v>
      </c>
      <c r="J48" s="14">
        <v>84.45</v>
      </c>
    </row>
    <row r="49" spans="4:10">
      <c r="D49" s="120" t="s">
        <v>469</v>
      </c>
      <c r="E49" s="121"/>
      <c r="F49" s="15" t="s">
        <v>443</v>
      </c>
      <c r="G49" s="14">
        <v>79.989999999999995</v>
      </c>
      <c r="H49" s="14">
        <v>86.35</v>
      </c>
      <c r="I49" s="14">
        <v>90.79</v>
      </c>
      <c r="J49" s="14">
        <v>94.41</v>
      </c>
    </row>
    <row r="50" spans="4:10">
      <c r="D50" s="120" t="s">
        <v>470</v>
      </c>
      <c r="E50" s="121"/>
      <c r="F50" s="15" t="s">
        <v>443</v>
      </c>
      <c r="G50" s="14">
        <v>88.58</v>
      </c>
      <c r="H50" s="14">
        <v>95.66</v>
      </c>
      <c r="I50" s="14">
        <v>100.65</v>
      </c>
      <c r="J50" s="14">
        <v>104.77</v>
      </c>
    </row>
    <row r="51" spans="4:10">
      <c r="D51" s="120" t="s">
        <v>471</v>
      </c>
      <c r="E51" s="121"/>
      <c r="F51" s="15" t="s">
        <v>443</v>
      </c>
      <c r="G51" s="14">
        <v>97.52</v>
      </c>
      <c r="H51" s="14">
        <v>105.31</v>
      </c>
      <c r="I51" s="14">
        <v>110.88</v>
      </c>
      <c r="J51" s="14">
        <v>115.52</v>
      </c>
    </row>
    <row r="52" spans="4:10">
      <c r="D52" s="120" t="s">
        <v>472</v>
      </c>
      <c r="E52" s="121"/>
      <c r="F52" s="15" t="s">
        <v>443</v>
      </c>
      <c r="G52" s="14">
        <v>106.78</v>
      </c>
      <c r="H52" s="14">
        <v>115.3</v>
      </c>
      <c r="I52" s="14">
        <v>121.47</v>
      </c>
      <c r="J52" s="14">
        <v>126.66</v>
      </c>
    </row>
    <row r="53" spans="4:10">
      <c r="D53" s="120" t="s">
        <v>473</v>
      </c>
      <c r="E53" s="121"/>
      <c r="F53" s="15" t="s">
        <v>443</v>
      </c>
      <c r="G53" s="14">
        <v>116.39</v>
      </c>
      <c r="H53" s="14">
        <v>125.64</v>
      </c>
      <c r="I53" s="14">
        <v>132.41999999999999</v>
      </c>
      <c r="J53" s="14">
        <v>138.16999999999999</v>
      </c>
    </row>
    <row r="54" spans="4:10">
      <c r="D54" s="120" t="s">
        <v>474</v>
      </c>
      <c r="E54" s="121"/>
      <c r="F54" s="15" t="s">
        <v>443</v>
      </c>
      <c r="G54" s="14">
        <v>126.33</v>
      </c>
      <c r="H54" s="14">
        <v>136.32</v>
      </c>
      <c r="I54" s="14">
        <v>143.72999999999999</v>
      </c>
      <c r="J54" s="14">
        <v>150.07</v>
      </c>
    </row>
    <row r="55" spans="4:10">
      <c r="D55" s="120" t="s">
        <v>475</v>
      </c>
      <c r="E55" s="121"/>
      <c r="F55" s="15" t="s">
        <v>443</v>
      </c>
      <c r="G55" s="14">
        <v>136.6</v>
      </c>
      <c r="H55" s="14">
        <v>147.35</v>
      </c>
      <c r="I55" s="14">
        <v>155.4</v>
      </c>
      <c r="J55" s="14">
        <v>162.34</v>
      </c>
    </row>
    <row r="56" spans="4:10">
      <c r="D56" s="120" t="s">
        <v>476</v>
      </c>
      <c r="E56" s="121"/>
      <c r="F56" s="15" t="s">
        <v>443</v>
      </c>
      <c r="G56" s="14">
        <v>147.21</v>
      </c>
      <c r="H56" s="14">
        <v>158.71</v>
      </c>
      <c r="I56" s="14">
        <v>167.42</v>
      </c>
      <c r="J56" s="14">
        <v>174.99</v>
      </c>
    </row>
    <row r="57" spans="4:10" ht="25.9" customHeight="1">
      <c r="D57" s="122" t="s">
        <v>477</v>
      </c>
      <c r="E57" s="123"/>
      <c r="F57" s="123"/>
      <c r="G57" s="123"/>
      <c r="H57" s="123"/>
      <c r="I57" s="123"/>
      <c r="J57" s="124"/>
    </row>
  </sheetData>
  <mergeCells count="48">
    <mergeCell ref="D57:J57"/>
    <mergeCell ref="D9:E11"/>
    <mergeCell ref="D51:E51"/>
    <mergeCell ref="D52:E52"/>
    <mergeCell ref="D53:E53"/>
    <mergeCell ref="D54:E54"/>
    <mergeCell ref="D55:E55"/>
    <mergeCell ref="D56:E56"/>
    <mergeCell ref="D45:E45"/>
    <mergeCell ref="D46:E46"/>
    <mergeCell ref="D47:E47"/>
    <mergeCell ref="D48:E48"/>
    <mergeCell ref="D49:E49"/>
    <mergeCell ref="D50:E50"/>
    <mergeCell ref="D39:E39"/>
    <mergeCell ref="D40:J40"/>
    <mergeCell ref="D41:E41"/>
    <mergeCell ref="D42:E42"/>
    <mergeCell ref="D43:E43"/>
    <mergeCell ref="D44:E44"/>
    <mergeCell ref="D33:E33"/>
    <mergeCell ref="D34:E34"/>
    <mergeCell ref="D35:E35"/>
    <mergeCell ref="D36:E36"/>
    <mergeCell ref="D37:E37"/>
    <mergeCell ref="D38:E38"/>
    <mergeCell ref="D32:J32"/>
    <mergeCell ref="D21:E21"/>
    <mergeCell ref="D22:E22"/>
    <mergeCell ref="D23:J23"/>
    <mergeCell ref="D24:E24"/>
    <mergeCell ref="D25:E25"/>
    <mergeCell ref="D26:E26"/>
    <mergeCell ref="D27:E27"/>
    <mergeCell ref="D28:E28"/>
    <mergeCell ref="D29:E29"/>
    <mergeCell ref="D30:E30"/>
    <mergeCell ref="D31:E31"/>
    <mergeCell ref="D20:E20"/>
    <mergeCell ref="F10:J10"/>
    <mergeCell ref="D12:J12"/>
    <mergeCell ref="D13:E13"/>
    <mergeCell ref="D14:E14"/>
    <mergeCell ref="D15:E15"/>
    <mergeCell ref="D16:J16"/>
    <mergeCell ref="D17:E17"/>
    <mergeCell ref="D18:E18"/>
    <mergeCell ref="D19:E19"/>
  </mergeCells>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6A73-B2C9-49D1-8E74-E18E02142D1E}">
  <dimension ref="C1:J50"/>
  <sheetViews>
    <sheetView topLeftCell="C1" workbookViewId="0">
      <selection activeCell="C19" sqref="A19:XFD19"/>
    </sheetView>
  </sheetViews>
  <sheetFormatPr defaultRowHeight="15"/>
  <cols>
    <col min="3" max="3" width="26.85546875" customWidth="1"/>
    <col min="4" max="4" width="23.42578125" customWidth="1"/>
    <col min="5" max="5" width="22.42578125" customWidth="1"/>
    <col min="6" max="6" width="27.42578125" customWidth="1"/>
    <col min="7" max="7" width="25.42578125" customWidth="1"/>
    <col min="8" max="8" width="27" customWidth="1"/>
    <col min="9" max="9" width="28.42578125" customWidth="1"/>
    <col min="10" max="10" width="18.42578125" customWidth="1"/>
    <col min="11" max="11" width="14.85546875" customWidth="1"/>
  </cols>
  <sheetData>
    <row r="1" spans="3:10">
      <c r="D1" s="4" t="s">
        <v>478</v>
      </c>
    </row>
    <row r="2" spans="3:10">
      <c r="D2" s="4" t="s">
        <v>479</v>
      </c>
    </row>
    <row r="3" spans="3:10">
      <c r="D3" s="4" t="s">
        <v>480</v>
      </c>
    </row>
    <row r="4" spans="3:10">
      <c r="D4" s="4" t="s">
        <v>481</v>
      </c>
    </row>
    <row r="5" spans="3:10">
      <c r="D5" s="4" t="s">
        <v>482</v>
      </c>
    </row>
    <row r="7" spans="3:10">
      <c r="D7" t="s">
        <v>483</v>
      </c>
      <c r="E7" t="s">
        <v>484</v>
      </c>
      <c r="F7" t="s">
        <v>485</v>
      </c>
      <c r="G7" t="s">
        <v>486</v>
      </c>
      <c r="H7" t="s">
        <v>487</v>
      </c>
      <c r="I7" t="s">
        <v>488</v>
      </c>
      <c r="J7" t="s">
        <v>489</v>
      </c>
    </row>
    <row r="8" spans="3:10" ht="13.9" customHeight="1">
      <c r="C8" s="4" t="s">
        <v>478</v>
      </c>
      <c r="D8" t="s">
        <v>490</v>
      </c>
      <c r="E8" s="2" t="s">
        <v>491</v>
      </c>
      <c r="G8" s="2">
        <v>30000</v>
      </c>
      <c r="H8" s="2">
        <v>55000</v>
      </c>
      <c r="I8" s="2">
        <v>20000</v>
      </c>
      <c r="J8" s="2">
        <v>22500</v>
      </c>
    </row>
    <row r="9" spans="3:10">
      <c r="C9" s="4"/>
      <c r="D9" t="s">
        <v>492</v>
      </c>
      <c r="E9" s="2" t="s">
        <v>493</v>
      </c>
      <c r="G9" s="2">
        <v>30000</v>
      </c>
      <c r="H9" s="2">
        <v>55000</v>
      </c>
      <c r="I9" s="2">
        <v>20000</v>
      </c>
      <c r="J9" s="2">
        <v>22500</v>
      </c>
    </row>
    <row r="10" spans="3:10">
      <c r="C10" s="4"/>
      <c r="D10" t="s">
        <v>494</v>
      </c>
      <c r="E10" s="2" t="s">
        <v>495</v>
      </c>
      <c r="G10" s="2">
        <v>34000</v>
      </c>
      <c r="H10" s="2">
        <v>58000</v>
      </c>
      <c r="I10" s="2">
        <v>22700</v>
      </c>
      <c r="J10" s="2">
        <v>24900</v>
      </c>
    </row>
    <row r="11" spans="3:10" ht="13.9" customHeight="1">
      <c r="C11" s="4"/>
      <c r="D11" t="s">
        <v>496</v>
      </c>
      <c r="E11" s="2" t="s">
        <v>497</v>
      </c>
      <c r="G11" s="2">
        <v>36000</v>
      </c>
      <c r="H11" s="2">
        <v>58000</v>
      </c>
      <c r="I11" s="2">
        <v>23200</v>
      </c>
      <c r="J11" s="2">
        <v>24900</v>
      </c>
    </row>
    <row r="12" spans="3:10">
      <c r="C12" s="4"/>
      <c r="D12" t="s">
        <v>494</v>
      </c>
      <c r="E12" s="2" t="s">
        <v>498</v>
      </c>
      <c r="G12" s="2">
        <v>51000</v>
      </c>
      <c r="H12" s="2" t="s">
        <v>499</v>
      </c>
      <c r="I12" s="2">
        <v>28400</v>
      </c>
      <c r="J12" s="2">
        <v>30400</v>
      </c>
    </row>
    <row r="13" spans="3:10">
      <c r="C13" s="4"/>
      <c r="D13" t="s">
        <v>500</v>
      </c>
      <c r="E13" s="2" t="s">
        <v>501</v>
      </c>
      <c r="G13" s="2">
        <v>32000</v>
      </c>
      <c r="H13" s="2">
        <v>58000</v>
      </c>
      <c r="I13" s="2">
        <v>21300</v>
      </c>
      <c r="J13" s="2">
        <v>24000</v>
      </c>
    </row>
    <row r="14" spans="3:10">
      <c r="C14" s="4"/>
      <c r="D14" t="s">
        <v>502</v>
      </c>
      <c r="E14" s="2" t="s">
        <v>503</v>
      </c>
      <c r="G14" s="2">
        <v>35000</v>
      </c>
      <c r="H14" s="2">
        <v>65000</v>
      </c>
      <c r="I14" s="2">
        <v>23300</v>
      </c>
      <c r="J14" s="2">
        <v>26300</v>
      </c>
    </row>
    <row r="15" spans="3:10">
      <c r="C15" s="4"/>
      <c r="D15" t="s">
        <v>502</v>
      </c>
      <c r="E15" s="2" t="s">
        <v>504</v>
      </c>
      <c r="G15" s="2">
        <v>42000</v>
      </c>
      <c r="H15" s="2" t="s">
        <v>505</v>
      </c>
      <c r="I15" s="2">
        <v>28000</v>
      </c>
      <c r="J15" s="2">
        <v>30000</v>
      </c>
    </row>
    <row r="16" spans="3:10">
      <c r="C16" s="4"/>
      <c r="D16" t="s">
        <v>506</v>
      </c>
      <c r="E16" s="2" t="s">
        <v>507</v>
      </c>
      <c r="G16" s="2">
        <v>30000</v>
      </c>
      <c r="H16" s="2">
        <v>55000</v>
      </c>
      <c r="I16" s="2">
        <v>20000</v>
      </c>
      <c r="J16" s="2">
        <v>22500</v>
      </c>
    </row>
    <row r="17" spans="3:10" ht="13.9" customHeight="1">
      <c r="C17" s="4"/>
      <c r="D17" t="s">
        <v>508</v>
      </c>
      <c r="E17" s="2" t="s">
        <v>509</v>
      </c>
      <c r="G17" s="2">
        <v>32000</v>
      </c>
      <c r="H17" s="2">
        <v>60000</v>
      </c>
      <c r="I17" s="2">
        <v>21300</v>
      </c>
      <c r="J17" s="2">
        <v>24000</v>
      </c>
    </row>
    <row r="18" spans="3:10" ht="13.9" customHeight="1">
      <c r="C18" s="4"/>
      <c r="D18" t="s">
        <v>508</v>
      </c>
      <c r="E18" s="2" t="s">
        <v>510</v>
      </c>
      <c r="G18" s="2">
        <v>35000</v>
      </c>
      <c r="H18" s="2">
        <v>65000</v>
      </c>
      <c r="I18" s="2">
        <v>23300</v>
      </c>
      <c r="J18" s="2">
        <v>26300</v>
      </c>
    </row>
    <row r="19" spans="3:10">
      <c r="C19" s="4"/>
      <c r="D19" t="s">
        <v>508</v>
      </c>
      <c r="E19" s="2" t="s">
        <v>511</v>
      </c>
      <c r="G19" s="2">
        <v>38000</v>
      </c>
      <c r="H19" s="2">
        <v>70000</v>
      </c>
      <c r="I19" s="2">
        <v>25300</v>
      </c>
      <c r="J19" s="2">
        <v>28500</v>
      </c>
    </row>
    <row r="20" spans="3:10">
      <c r="C20" s="4"/>
      <c r="D20" t="s">
        <v>512</v>
      </c>
      <c r="E20" s="2" t="s">
        <v>513</v>
      </c>
      <c r="G20" s="2">
        <v>40000</v>
      </c>
      <c r="H20" s="2">
        <v>65000</v>
      </c>
      <c r="I20" s="2">
        <v>26000</v>
      </c>
      <c r="J20" s="2">
        <v>27900</v>
      </c>
    </row>
    <row r="21" spans="3:10">
      <c r="C21" s="4"/>
      <c r="D21" t="s">
        <v>514</v>
      </c>
      <c r="E21" s="2" t="s">
        <v>515</v>
      </c>
      <c r="G21" s="2">
        <v>43000</v>
      </c>
      <c r="H21" s="3" t="s">
        <v>516</v>
      </c>
      <c r="I21" s="2">
        <v>28000</v>
      </c>
      <c r="J21" s="2">
        <v>30000</v>
      </c>
    </row>
    <row r="22" spans="3:10" ht="19.5">
      <c r="C22" s="4"/>
      <c r="D22" t="s">
        <v>517</v>
      </c>
      <c r="E22" s="6" t="s">
        <v>518</v>
      </c>
      <c r="F22" s="2" t="s">
        <v>519</v>
      </c>
      <c r="G22" s="2">
        <v>50000</v>
      </c>
      <c r="H22" s="2" t="s">
        <v>520</v>
      </c>
      <c r="I22" s="2">
        <v>28000</v>
      </c>
      <c r="J22" s="2">
        <v>30000</v>
      </c>
    </row>
    <row r="23" spans="3:10" ht="18">
      <c r="C23" s="4"/>
      <c r="D23" t="s">
        <v>521</v>
      </c>
      <c r="E23" s="2" t="s">
        <v>522</v>
      </c>
      <c r="F23" s="2" t="s">
        <v>523</v>
      </c>
      <c r="G23" s="2">
        <v>45000</v>
      </c>
      <c r="H23" s="2" t="s">
        <v>524</v>
      </c>
      <c r="I23" s="2">
        <v>26000</v>
      </c>
      <c r="J23" s="2">
        <v>27900</v>
      </c>
    </row>
    <row r="24" spans="3:10" ht="19.5">
      <c r="C24" s="4"/>
      <c r="D24" t="s">
        <v>525</v>
      </c>
      <c r="E24" s="2" t="s">
        <v>526</v>
      </c>
      <c r="F24" s="2" t="s">
        <v>519</v>
      </c>
      <c r="G24" s="2">
        <v>60000</v>
      </c>
      <c r="H24" s="2" t="s">
        <v>527</v>
      </c>
      <c r="I24" s="2">
        <v>32000</v>
      </c>
      <c r="J24" s="2">
        <v>34300</v>
      </c>
    </row>
    <row r="25" spans="3:10" ht="18">
      <c r="C25" s="4"/>
      <c r="D25" t="s">
        <v>528</v>
      </c>
      <c r="E25" s="2" t="s">
        <v>529</v>
      </c>
      <c r="F25" s="2" t="s">
        <v>523</v>
      </c>
      <c r="G25" s="2">
        <v>55000</v>
      </c>
      <c r="H25" s="2" t="s">
        <v>530</v>
      </c>
      <c r="I25" s="2">
        <v>30000</v>
      </c>
      <c r="J25" s="2">
        <v>32100</v>
      </c>
    </row>
    <row r="26" spans="3:10" ht="19.5">
      <c r="C26" s="4"/>
      <c r="D26" t="s">
        <v>531</v>
      </c>
      <c r="E26" s="2" t="s">
        <v>532</v>
      </c>
      <c r="F26" s="2" t="s">
        <v>519</v>
      </c>
      <c r="G26" s="2">
        <v>50000</v>
      </c>
      <c r="H26" s="2" t="s">
        <v>520</v>
      </c>
      <c r="I26" s="2">
        <v>28000</v>
      </c>
      <c r="J26" s="2">
        <v>30000</v>
      </c>
    </row>
    <row r="27" spans="3:10" ht="18">
      <c r="C27" s="4"/>
      <c r="D27" t="s">
        <v>533</v>
      </c>
      <c r="E27" s="2" t="s">
        <v>534</v>
      </c>
      <c r="F27" s="2" t="s">
        <v>523</v>
      </c>
      <c r="G27" s="2">
        <v>46000</v>
      </c>
      <c r="H27" s="2" t="s">
        <v>524</v>
      </c>
      <c r="I27" s="2">
        <v>26000</v>
      </c>
      <c r="J27" s="2">
        <v>27900</v>
      </c>
    </row>
    <row r="28" spans="3:10">
      <c r="C28" s="4"/>
      <c r="D28" t="s">
        <v>535</v>
      </c>
      <c r="E28" s="2" t="s">
        <v>536</v>
      </c>
      <c r="G28" s="2">
        <v>50000</v>
      </c>
      <c r="H28" s="2" t="s">
        <v>505</v>
      </c>
      <c r="I28" s="2">
        <v>28000</v>
      </c>
      <c r="J28" s="2">
        <v>30000</v>
      </c>
    </row>
    <row r="29" spans="3:10">
      <c r="C29" s="4"/>
      <c r="D29" t="s">
        <v>537</v>
      </c>
      <c r="E29" s="2" t="s">
        <v>538</v>
      </c>
      <c r="G29" s="2">
        <v>50000</v>
      </c>
      <c r="H29" s="2" t="s">
        <v>505</v>
      </c>
      <c r="I29" s="2">
        <v>28000</v>
      </c>
      <c r="J29" s="2">
        <v>30000</v>
      </c>
    </row>
    <row r="30" spans="3:10">
      <c r="C30" s="4"/>
      <c r="D30" t="s">
        <v>537</v>
      </c>
      <c r="E30" s="2" t="s">
        <v>539</v>
      </c>
      <c r="G30" s="2">
        <v>60000</v>
      </c>
      <c r="H30" s="2" t="s">
        <v>540</v>
      </c>
      <c r="I30" s="2">
        <v>32000</v>
      </c>
      <c r="J30" s="2">
        <v>34300</v>
      </c>
    </row>
    <row r="31" spans="3:10">
      <c r="C31" s="4" t="s">
        <v>479</v>
      </c>
      <c r="D31" t="s">
        <v>541</v>
      </c>
      <c r="E31" s="2" t="s">
        <v>542</v>
      </c>
      <c r="G31" s="2">
        <v>38000</v>
      </c>
      <c r="H31" s="2">
        <v>60000</v>
      </c>
      <c r="I31" s="2">
        <v>24000</v>
      </c>
      <c r="J31" s="2">
        <v>25700</v>
      </c>
    </row>
    <row r="32" spans="3:10">
      <c r="C32" s="4"/>
      <c r="D32" t="s">
        <v>541</v>
      </c>
      <c r="E32" s="2" t="s">
        <v>543</v>
      </c>
      <c r="G32" s="2">
        <v>38000</v>
      </c>
      <c r="H32" s="2">
        <v>60000</v>
      </c>
      <c r="I32" s="2">
        <v>24000</v>
      </c>
      <c r="J32" s="2">
        <v>25700</v>
      </c>
    </row>
    <row r="33" spans="3:10">
      <c r="C33" s="4"/>
      <c r="D33" t="s">
        <v>541</v>
      </c>
      <c r="E33" s="2" t="s">
        <v>544</v>
      </c>
      <c r="G33" s="2">
        <v>44000</v>
      </c>
      <c r="H33" s="2">
        <v>64000</v>
      </c>
      <c r="I33" s="2">
        <v>25600</v>
      </c>
      <c r="J33" s="2">
        <v>27400</v>
      </c>
    </row>
    <row r="34" spans="3:10">
      <c r="C34" s="4"/>
      <c r="D34" t="s">
        <v>541</v>
      </c>
      <c r="E34" s="2" t="s">
        <v>545</v>
      </c>
      <c r="G34" s="2">
        <v>44000</v>
      </c>
      <c r="H34" s="2">
        <v>64000</v>
      </c>
      <c r="I34" s="2">
        <v>25600</v>
      </c>
      <c r="J34" s="2">
        <v>27400</v>
      </c>
    </row>
    <row r="35" spans="3:10">
      <c r="C35" s="4"/>
      <c r="D35" t="s">
        <v>541</v>
      </c>
      <c r="E35" s="2" t="s">
        <v>546</v>
      </c>
      <c r="G35" s="2">
        <v>50000</v>
      </c>
      <c r="H35" s="2">
        <v>65000</v>
      </c>
      <c r="I35" s="2">
        <v>26000</v>
      </c>
      <c r="J35" s="2">
        <v>27900</v>
      </c>
    </row>
    <row r="36" spans="3:10" ht="19.5">
      <c r="C36" s="4"/>
      <c r="D36" t="s">
        <v>541</v>
      </c>
      <c r="E36" s="2" t="s">
        <v>547</v>
      </c>
      <c r="F36" s="2" t="s">
        <v>519</v>
      </c>
      <c r="G36" s="2">
        <v>50000</v>
      </c>
      <c r="H36" s="2" t="s">
        <v>548</v>
      </c>
      <c r="I36" s="2">
        <v>6000</v>
      </c>
      <c r="J36" s="2">
        <v>27900</v>
      </c>
    </row>
    <row r="37" spans="3:10" ht="18">
      <c r="C37" s="4"/>
      <c r="E37" s="2" t="s">
        <v>549</v>
      </c>
      <c r="F37" s="2" t="s">
        <v>523</v>
      </c>
      <c r="G37" s="2">
        <v>46000</v>
      </c>
      <c r="H37" s="2" t="s">
        <v>550</v>
      </c>
      <c r="I37" s="2">
        <v>26000</v>
      </c>
      <c r="J37" s="2">
        <v>27900</v>
      </c>
    </row>
    <row r="38" spans="3:10">
      <c r="C38" s="4" t="s">
        <v>480</v>
      </c>
      <c r="E38" s="2">
        <v>235</v>
      </c>
      <c r="G38" s="2">
        <v>34000</v>
      </c>
      <c r="H38" s="2">
        <v>52600</v>
      </c>
      <c r="I38" s="2">
        <v>20000</v>
      </c>
      <c r="J38" s="2">
        <v>22500</v>
      </c>
    </row>
    <row r="39" spans="3:10">
      <c r="C39" s="4"/>
      <c r="E39" s="2">
        <v>250</v>
      </c>
      <c r="G39" s="2">
        <v>36000</v>
      </c>
      <c r="H39" s="2">
        <v>58300</v>
      </c>
      <c r="I39" s="2">
        <v>22700</v>
      </c>
      <c r="J39" s="2">
        <v>25000</v>
      </c>
    </row>
    <row r="40" spans="3:10">
      <c r="C40" s="4"/>
      <c r="E40" s="2">
        <v>275</v>
      </c>
      <c r="G40" s="2">
        <v>40000</v>
      </c>
      <c r="H40" s="2">
        <v>62600</v>
      </c>
      <c r="I40" s="2">
        <v>24000</v>
      </c>
      <c r="J40" s="2">
        <v>26800</v>
      </c>
    </row>
    <row r="41" spans="3:10" ht="17.25">
      <c r="C41" s="4" t="s">
        <v>481</v>
      </c>
      <c r="D41" t="s">
        <v>551</v>
      </c>
      <c r="E41" s="2" t="s">
        <v>552</v>
      </c>
      <c r="F41" s="2" t="s">
        <v>553</v>
      </c>
      <c r="G41" s="2">
        <v>39900</v>
      </c>
      <c r="H41" s="2">
        <v>59500</v>
      </c>
      <c r="I41" s="2">
        <v>23800</v>
      </c>
      <c r="J41" s="2">
        <v>25500</v>
      </c>
    </row>
    <row r="42" spans="3:10" ht="18">
      <c r="C42" s="4"/>
      <c r="E42" s="2" t="s">
        <v>554</v>
      </c>
      <c r="F42" s="5" t="s">
        <v>555</v>
      </c>
      <c r="G42" s="2">
        <v>38400</v>
      </c>
      <c r="H42" s="2">
        <v>59500</v>
      </c>
      <c r="I42" s="2">
        <v>23800</v>
      </c>
      <c r="J42" s="2">
        <v>25500</v>
      </c>
    </row>
    <row r="43" spans="3:10" ht="17.25">
      <c r="C43" s="4"/>
      <c r="E43" s="2" t="s">
        <v>556</v>
      </c>
      <c r="F43" s="2" t="s">
        <v>553</v>
      </c>
      <c r="G43" s="2">
        <v>51500</v>
      </c>
      <c r="H43" s="2" t="s">
        <v>557</v>
      </c>
      <c r="I43" s="2">
        <v>27200</v>
      </c>
      <c r="J43" s="2">
        <v>29200</v>
      </c>
    </row>
    <row r="44" spans="3:10" ht="18">
      <c r="C44" s="4"/>
      <c r="E44" s="2" t="s">
        <v>558</v>
      </c>
      <c r="F44" s="5" t="s">
        <v>555</v>
      </c>
      <c r="G44" s="2">
        <v>50000</v>
      </c>
      <c r="H44" s="2" t="s">
        <v>557</v>
      </c>
      <c r="I44" s="2">
        <v>27200</v>
      </c>
      <c r="J44" s="2">
        <v>29200</v>
      </c>
    </row>
    <row r="45" spans="3:10" ht="18">
      <c r="C45" s="4"/>
      <c r="E45" s="2" t="s">
        <v>559</v>
      </c>
      <c r="F45" s="2" t="s">
        <v>560</v>
      </c>
      <c r="G45" s="2">
        <v>48600</v>
      </c>
      <c r="H45" s="2" t="s">
        <v>557</v>
      </c>
      <c r="I45" s="2">
        <v>27200</v>
      </c>
      <c r="J45" s="2">
        <v>29200</v>
      </c>
    </row>
    <row r="46" spans="3:10" ht="17.25">
      <c r="C46" s="4" t="s">
        <v>482</v>
      </c>
      <c r="D46" t="s">
        <v>561</v>
      </c>
      <c r="E46" s="2" t="s">
        <v>562</v>
      </c>
      <c r="F46" s="2" t="s">
        <v>553</v>
      </c>
      <c r="G46" s="2">
        <v>39900</v>
      </c>
      <c r="H46" s="2">
        <v>59500</v>
      </c>
      <c r="I46" s="2">
        <v>23800</v>
      </c>
      <c r="J46" s="2">
        <v>25500</v>
      </c>
    </row>
    <row r="47" spans="3:10" ht="18">
      <c r="C47" s="4"/>
      <c r="E47" s="2" t="s">
        <v>563</v>
      </c>
      <c r="F47" s="5" t="s">
        <v>555</v>
      </c>
      <c r="G47" s="2">
        <v>38400</v>
      </c>
      <c r="H47" s="2">
        <v>59500</v>
      </c>
      <c r="I47" s="2">
        <v>23800</v>
      </c>
      <c r="J47" s="2">
        <v>25500</v>
      </c>
    </row>
    <row r="48" spans="3:10" ht="17.25">
      <c r="C48" s="4"/>
      <c r="E48" s="2" t="s">
        <v>564</v>
      </c>
      <c r="F48" s="2" t="s">
        <v>553</v>
      </c>
      <c r="G48" s="2">
        <v>51500</v>
      </c>
      <c r="H48" s="2" t="s">
        <v>557</v>
      </c>
      <c r="I48" s="2">
        <v>27200</v>
      </c>
      <c r="J48" s="2">
        <v>29200</v>
      </c>
    </row>
    <row r="49" spans="3:10" ht="18">
      <c r="C49" s="4"/>
      <c r="E49" s="2" t="s">
        <v>565</v>
      </c>
      <c r="F49" s="5" t="s">
        <v>555</v>
      </c>
      <c r="G49" s="2">
        <v>50000</v>
      </c>
      <c r="H49" s="2" t="s">
        <v>557</v>
      </c>
      <c r="I49" s="2">
        <v>27200</v>
      </c>
      <c r="J49" s="2">
        <v>29200</v>
      </c>
    </row>
    <row r="50" spans="3:10" ht="18">
      <c r="C50" s="4"/>
      <c r="E50" s="2" t="s">
        <v>566</v>
      </c>
      <c r="F50" s="2" t="s">
        <v>560</v>
      </c>
      <c r="G50" s="2">
        <v>48600</v>
      </c>
      <c r="H50" s="2" t="s">
        <v>557</v>
      </c>
      <c r="I50" s="2">
        <v>27200</v>
      </c>
      <c r="J50" s="2">
        <v>29200</v>
      </c>
    </row>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36DBC-306F-4536-B7F8-CD1A72594B67}">
  <dimension ref="A1:I88"/>
  <sheetViews>
    <sheetView topLeftCell="A78" workbookViewId="0">
      <selection activeCell="J80" sqref="J80"/>
    </sheetView>
  </sheetViews>
  <sheetFormatPr defaultRowHeight="15"/>
  <cols>
    <col min="2" max="2" width="11.42578125" customWidth="1"/>
  </cols>
  <sheetData>
    <row r="1" spans="1:9" ht="18">
      <c r="A1" s="29"/>
      <c r="B1" s="29"/>
      <c r="C1" s="29" t="s">
        <v>89</v>
      </c>
      <c r="D1" s="29" t="s">
        <v>90</v>
      </c>
      <c r="E1" s="29" t="s">
        <v>91</v>
      </c>
      <c r="F1" s="29" t="s">
        <v>92</v>
      </c>
      <c r="G1" s="29" t="s">
        <v>93</v>
      </c>
      <c r="H1" s="29" t="s">
        <v>567</v>
      </c>
      <c r="I1" s="29"/>
    </row>
    <row r="2" spans="1:9" ht="18">
      <c r="A2" s="41" t="s">
        <v>397</v>
      </c>
      <c r="B2" s="29">
        <f>'1-Foot Method'!B2</f>
        <v>0.94050704347826086</v>
      </c>
      <c r="C2" s="29"/>
      <c r="D2" s="29"/>
      <c r="E2" s="29"/>
      <c r="F2" s="29"/>
      <c r="G2" s="29"/>
      <c r="H2" s="29"/>
      <c r="I2" s="29"/>
    </row>
    <row r="3" spans="1:9" ht="18">
      <c r="A3" s="41" t="s">
        <v>398</v>
      </c>
      <c r="B3" s="29">
        <f>'1-Foot Method'!B3</f>
        <v>0.74758252173913053</v>
      </c>
      <c r="C3" s="29">
        <f>'VDP Method'!B2/dx!B3</f>
        <v>1.2348687618243972</v>
      </c>
      <c r="D3" s="29">
        <f t="shared" ref="D3" si="0">C3^0.5*(C3-1)/(1+C3^1.5)</f>
        <v>0.1100212009047464</v>
      </c>
      <c r="E3" s="29">
        <f>0.61*(INPUT!$C$18*B3)^0.5+3.84*dx!D3*'Summary of shell design'!C12</f>
        <v>32.388931409372212</v>
      </c>
      <c r="F3" s="29">
        <f>12*D3*'Summary of shell design'!C12</f>
        <v>42.248141147422615</v>
      </c>
      <c r="G3" s="29">
        <f>1.22*(INPUT!$C$18*B3)^0.5</f>
        <v>37.739052484393945</v>
      </c>
      <c r="H3" s="29">
        <f>2.6*INPUT!$C$4*('Summary of shell design'!C12-MIN(E3,F3,G3)/12)*INPUT!$C$2/INPUT!$C$8+INPUT!$C$3</f>
        <v>0.70660830464616098</v>
      </c>
      <c r="I3" s="29"/>
    </row>
    <row r="4" spans="1:9" ht="18">
      <c r="A4" s="41" t="s">
        <v>399</v>
      </c>
      <c r="B4" s="29">
        <f>'1-Foot Method'!B4</f>
        <v>0.55465799999999998</v>
      </c>
      <c r="C4" s="29">
        <f>'VDP Method'!B3/dx!B4</f>
        <v>1.2599827264159491</v>
      </c>
      <c r="D4" s="29">
        <f t="shared" ref="D4:D11" si="1">C4^0.5*(C4-1)/(1+C4^1.5)</f>
        <v>0.12087386905768384</v>
      </c>
      <c r="E4" s="29">
        <f>0.61*(INPUT!$C$18*B4)^0.5+3.84*dx!D4*'Summary of shell design'!C13</f>
        <v>27.393129932935771</v>
      </c>
      <c r="F4" s="29">
        <f>12*D4*'Summary of shell design'!C13</f>
        <v>34.811674288612949</v>
      </c>
      <c r="G4" s="29">
        <f>1.22*(INPUT!$C$18*B4)^0.5</f>
        <v>32.506788321159256</v>
      </c>
      <c r="H4" s="29">
        <f>2.6*INPUT!$C$4*('Summary of shell design'!C13-MIN(E4,F4,G4)/12)*INPUT!$C$2/INPUT!$C$8+INPUT!$C$3</f>
        <v>0.5237234976002092</v>
      </c>
      <c r="I4" s="29"/>
    </row>
    <row r="5" spans="1:9" ht="18">
      <c r="A5" s="41" t="s">
        <v>400</v>
      </c>
      <c r="B5" s="29">
        <f>'1-Foot Method'!B5</f>
        <v>0.3617334782608696</v>
      </c>
      <c r="C5" s="29">
        <f>'VDP Method'!B4/dx!B5</f>
        <v>1.4318246757394779</v>
      </c>
      <c r="D5" s="29">
        <f t="shared" si="1"/>
        <v>0.19043804313542048</v>
      </c>
      <c r="E5" s="29">
        <f>0.61*(INPUT!$C$18*B5)^0.5+3.84*dx!D5*'Summary of shell design'!C14</f>
        <v>24.826313264851144</v>
      </c>
      <c r="F5" s="29">
        <f>12*D5*'Summary of shell design'!C14</f>
        <v>36.564104282000734</v>
      </c>
      <c r="G5" s="29">
        <f>1.22*(INPUT!$C$18*B5)^0.5</f>
        <v>26.251599789221824</v>
      </c>
      <c r="H5" s="29">
        <f>2.6*INPUT!$C$4*('Summary of shell design'!C14-MIN(E5,F5,G5)/12)*INPUT!$C$2/INPUT!$C$8+INPUT!$C$3</f>
        <v>0.33595732875776885</v>
      </c>
      <c r="I5" s="29"/>
    </row>
    <row r="6" spans="1:9" ht="18">
      <c r="A6" s="41" t="s">
        <v>401</v>
      </c>
      <c r="B6" s="29">
        <f>'1-Foot Method'!B6</f>
        <v>0.16880895652173913</v>
      </c>
      <c r="C6" s="29">
        <f>'VDP Method'!B5/dx!B6</f>
        <v>1.9849317163576445</v>
      </c>
      <c r="D6" s="29">
        <f t="shared" si="1"/>
        <v>0.36550464582839826</v>
      </c>
      <c r="E6" s="29">
        <f>0.61*(INPUT!$C$18*B6)^0.5+3.84*dx!D6*'Summary of shell design'!C15</f>
        <v>20.194931072109441</v>
      </c>
      <c r="F6" s="29">
        <f>12*D6*'Summary of shell design'!C15</f>
        <v>35.088445999526229</v>
      </c>
      <c r="G6" s="29">
        <f>1.22*(INPUT!$C$18*B6)^0.5</f>
        <v>17.933256704522094</v>
      </c>
      <c r="H6" s="29">
        <f>2.6*INPUT!$C$4*('Summary of shell design'!C15-MIN(E6,F6,G6)/12)*INPUT!$C$2/INPUT!$C$8+INPUT!$C$3</f>
        <v>0.15688530327095357</v>
      </c>
      <c r="I6" s="29"/>
    </row>
    <row r="7" spans="1:9" ht="18">
      <c r="A7" s="41" t="s">
        <v>402</v>
      </c>
      <c r="B7" s="29" t="str">
        <f>'1-Foot Method'!B7</f>
        <v>None</v>
      </c>
      <c r="C7" s="29" t="e">
        <f>'VDP Method'!B6/dx!B7</f>
        <v>#VALUE!</v>
      </c>
      <c r="D7" s="29" t="e">
        <f t="shared" si="1"/>
        <v>#VALUE!</v>
      </c>
      <c r="E7" s="29" t="e">
        <f>0.61*(INPUT!$C$18*B7)^0.5+3.84*dx!D7*'Summary of shell design'!C16</f>
        <v>#VALUE!</v>
      </c>
      <c r="F7" s="29" t="e">
        <f>12*D7*'Summary of shell design'!C16</f>
        <v>#VALUE!</v>
      </c>
      <c r="G7" s="29" t="e">
        <f>1.22*(INPUT!$C$18*B7)^0.5</f>
        <v>#VALUE!</v>
      </c>
      <c r="H7" s="29" t="e">
        <f>2.6*INPUT!$C$4*('Summary of shell design'!C16-MIN(E7,F7,G7)/12)*INPUT!$C$2/INPUT!$C$8+INPUT!$C$3</f>
        <v>#VALUE!</v>
      </c>
      <c r="I7" s="29"/>
    </row>
    <row r="8" spans="1:9" ht="18">
      <c r="A8" s="41" t="s">
        <v>403</v>
      </c>
      <c r="B8" s="29" t="str">
        <f>'1-Foot Method'!B8</f>
        <v>None</v>
      </c>
      <c r="C8" s="29" t="e">
        <f>'VDP Method'!B7/dx!B8</f>
        <v>#VALUE!</v>
      </c>
      <c r="D8" s="29" t="e">
        <f t="shared" si="1"/>
        <v>#VALUE!</v>
      </c>
      <c r="E8" s="29" t="e">
        <f>0.61*(INPUT!$C$18*B8)^0.5+3.84*dx!D8*'Summary of shell design'!C17</f>
        <v>#VALUE!</v>
      </c>
      <c r="F8" s="29" t="e">
        <f>12*D8*'Summary of shell design'!C17</f>
        <v>#VALUE!</v>
      </c>
      <c r="G8" s="29" t="e">
        <f>1.22*(INPUT!$C$18*B8)^0.5</f>
        <v>#VALUE!</v>
      </c>
      <c r="H8" s="29" t="e">
        <f>2.6*INPUT!$C$4*('Summary of shell design'!C17-MIN(E8,F8,G8)/12)*INPUT!$C$2/INPUT!$C$8+INPUT!$C$3</f>
        <v>#VALUE!</v>
      </c>
      <c r="I8" s="29"/>
    </row>
    <row r="9" spans="1:9" ht="18">
      <c r="A9" s="41" t="s">
        <v>404</v>
      </c>
      <c r="B9" s="29" t="str">
        <f>'1-Foot Method'!B9</f>
        <v>None</v>
      </c>
      <c r="C9" s="29" t="e">
        <f>'VDP Method'!B8/dx!B9</f>
        <v>#VALUE!</v>
      </c>
      <c r="D9" s="29" t="e">
        <f t="shared" si="1"/>
        <v>#VALUE!</v>
      </c>
      <c r="E9" s="29" t="e">
        <f>0.61*(INPUT!$C$18*B9)^0.5+3.84*dx!D9*'Summary of shell design'!C18</f>
        <v>#VALUE!</v>
      </c>
      <c r="F9" s="29" t="e">
        <f>12*D9*'Summary of shell design'!C18</f>
        <v>#VALUE!</v>
      </c>
      <c r="G9" s="29" t="e">
        <f>1.22*(INPUT!$C$18*B9)^0.5</f>
        <v>#VALUE!</v>
      </c>
      <c r="H9" s="29" t="e">
        <f>2.6*INPUT!$C$4*('Summary of shell design'!C18-MIN(E9,F9,G9)/12)*INPUT!$C$2/INPUT!$C$8+INPUT!$C$3</f>
        <v>#VALUE!</v>
      </c>
      <c r="I9" s="29"/>
    </row>
    <row r="10" spans="1:9" ht="18">
      <c r="A10" s="41" t="s">
        <v>405</v>
      </c>
      <c r="B10" s="29" t="str">
        <f>'1-Foot Method'!B10</f>
        <v>None</v>
      </c>
      <c r="C10" s="29" t="e">
        <f>'VDP Method'!B9/dx!B10</f>
        <v>#VALUE!</v>
      </c>
      <c r="D10" s="29" t="e">
        <f t="shared" si="1"/>
        <v>#VALUE!</v>
      </c>
      <c r="E10" s="29" t="e">
        <f>0.61*(INPUT!$C$18*B10)^0.5+3.84*dx!D10*'Summary of shell design'!C19</f>
        <v>#VALUE!</v>
      </c>
      <c r="F10" s="29" t="e">
        <f>12*D10*'Summary of shell design'!C19</f>
        <v>#VALUE!</v>
      </c>
      <c r="G10" s="29" t="e">
        <f>1.22*(INPUT!$C$18*B10)^0.5</f>
        <v>#VALUE!</v>
      </c>
      <c r="H10" s="29" t="e">
        <f>2.6*INPUT!$C$4*('Summary of shell design'!C19-MIN(E10,F10,G10)/12)*INPUT!$C$2/INPUT!$C$8+INPUT!$C$3</f>
        <v>#VALUE!</v>
      </c>
      <c r="I10" s="29"/>
    </row>
    <row r="11" spans="1:9" ht="18">
      <c r="A11" s="41" t="s">
        <v>406</v>
      </c>
      <c r="B11" s="29" t="str">
        <f>'1-Foot Method'!B11</f>
        <v>None</v>
      </c>
      <c r="C11" s="29" t="e">
        <f>'VDP Method'!B10/dx!B11</f>
        <v>#VALUE!</v>
      </c>
      <c r="D11" s="29" t="e">
        <f t="shared" si="1"/>
        <v>#VALUE!</v>
      </c>
      <c r="E11" s="29" t="e">
        <f>0.61*(INPUT!$C$18*B11)^0.5+3.84*dx!D11*'Summary of shell design'!C20</f>
        <v>#VALUE!</v>
      </c>
      <c r="F11" s="29" t="e">
        <f>12*D11*'Summary of shell design'!C20</f>
        <v>#VALUE!</v>
      </c>
      <c r="G11" s="29" t="e">
        <f>1.22*(INPUT!$C$18*B11)^0.5</f>
        <v>#VALUE!</v>
      </c>
      <c r="H11" s="29" t="e">
        <f>2.6*INPUT!$C$4*('Summary of shell design'!C20-MIN(E11,F11,G11)/12)*INPUT!$C$2/INPUT!$C$8+INPUT!$C$3</f>
        <v>#VALUE!</v>
      </c>
      <c r="I11" s="29"/>
    </row>
    <row r="12" spans="1:9" ht="18">
      <c r="A12" s="29"/>
      <c r="B12" s="29"/>
      <c r="C12" s="29" t="s">
        <v>105</v>
      </c>
      <c r="D12" s="29" t="s">
        <v>106</v>
      </c>
      <c r="E12" s="29" t="s">
        <v>91</v>
      </c>
      <c r="F12" s="29" t="s">
        <v>92</v>
      </c>
      <c r="G12" s="29" t="s">
        <v>93</v>
      </c>
      <c r="H12" s="29" t="s">
        <v>567</v>
      </c>
      <c r="I12" s="29"/>
    </row>
    <row r="13" spans="1:9">
      <c r="A13" s="29"/>
      <c r="B13" s="29"/>
      <c r="C13" s="29"/>
      <c r="D13" s="29"/>
      <c r="E13" s="29"/>
      <c r="F13" s="29"/>
      <c r="G13" s="29"/>
      <c r="H13" s="29"/>
      <c r="I13" s="29"/>
    </row>
    <row r="14" spans="1:9">
      <c r="A14" s="29"/>
      <c r="B14" s="29"/>
      <c r="C14" s="29">
        <f>'VDP Method'!B2/H3</f>
        <v>1.3064753087551702</v>
      </c>
      <c r="D14" s="29">
        <f t="shared" ref="D14" si="2">C14^0.5*(C14-1)/(1+C14^1.5)</f>
        <v>0.14049753859744879</v>
      </c>
      <c r="E14" s="29">
        <f>0.61*(INPUT!$C$18*H3)^0.5+3.84*D14*'Summary of shell design'!C12</f>
        <v>35.609467622096446</v>
      </c>
      <c r="F14" s="29">
        <f>12*D14*'Summary of shell design'!C12</f>
        <v>53.951054821420335</v>
      </c>
      <c r="G14" s="29">
        <f>1.22*(INPUT!$C$18*H3)^0.5</f>
        <v>36.690260158483888</v>
      </c>
      <c r="H14" s="29">
        <f>2.6*INPUT!$C$4*('Summary of shell design'!C12-MIN(E14,F14,G14)/12)*INPUT!$C$2/INPUT!$C$8+INPUT!$C$3</f>
        <v>0.70013621705675078</v>
      </c>
      <c r="I14" s="29"/>
    </row>
    <row r="15" spans="1:9">
      <c r="A15" s="29"/>
      <c r="B15" s="29"/>
      <c r="C15" s="29">
        <f>'VDP Method'!B3/H4</f>
        <v>1.3344054682875821</v>
      </c>
      <c r="D15" s="29">
        <f t="shared" ref="D15:D22" si="3">C15^0.5*(C15-1)/(1+C15^1.5)</f>
        <v>0.15199675835611307</v>
      </c>
      <c r="E15" s="29">
        <f>0.61*(INPUT!$C$18*H4)^0.5+3.84*D15*'Summary of shell design'!C13</f>
        <v>29.801669330094683</v>
      </c>
      <c r="F15" s="29">
        <f>12*D15*'Summary of shell design'!C13</f>
        <v>43.775066406560569</v>
      </c>
      <c r="G15" s="29">
        <f>1.22*(INPUT!$C$18*H4)^0.5</f>
        <v>31.587296159990604</v>
      </c>
      <c r="H15" s="29">
        <f>2.6*INPUT!$C$4*('Summary of shell design'!C13-MIN(E15,F15,G15)/12)*INPUT!$C$2/INPUT!$C$8+INPUT!$C$3</f>
        <v>0.5188832235243056</v>
      </c>
      <c r="I15" s="29"/>
    </row>
    <row r="16" spans="1:9">
      <c r="A16" s="29"/>
      <c r="B16" s="29"/>
      <c r="C16" s="29">
        <f>'VDP Method'!B4/H5</f>
        <v>1.5416806715606022</v>
      </c>
      <c r="D16" s="29">
        <f t="shared" si="3"/>
        <v>0.23079072705952872</v>
      </c>
      <c r="E16" s="29">
        <f>0.61*(INPUT!$C$18*H5)^0.5+3.84*D16*'Summary of shell design'!C14</f>
        <v>26.829285976412216</v>
      </c>
      <c r="F16" s="29">
        <f>12*D16*'Summary of shell design'!C14</f>
        <v>44.311819595429512</v>
      </c>
      <c r="G16" s="29">
        <f>1.22*(INPUT!$C$18*H5)^0.5</f>
        <v>25.299007411749546</v>
      </c>
      <c r="H16" s="29">
        <f>2.6*INPUT!$C$4*('Summary of shell design'!C14-MIN(E16,F16,G16)/12)*INPUT!$C$2/INPUT!$C$8+INPUT!$C$3</f>
        <v>0.3350073882138182</v>
      </c>
      <c r="I16" s="29"/>
    </row>
    <row r="17" spans="1:9">
      <c r="A17" s="29"/>
      <c r="B17" s="29"/>
      <c r="C17" s="29">
        <f>'VDP Method'!B5/H6</f>
        <v>2.1357912106434749</v>
      </c>
      <c r="D17" s="29">
        <f t="shared" si="3"/>
        <v>0.40275565057099721</v>
      </c>
      <c r="E17" s="29">
        <f>0.61*(INPUT!$C$18*H6)^0.5+3.84*D17*'Summary of shell design'!C15</f>
        <v>21.016808823844485</v>
      </c>
      <c r="F17" s="29">
        <f>12*D17*'Summary of shell design'!C15</f>
        <v>38.664542454815731</v>
      </c>
      <c r="G17" s="29">
        <f>1.22*(INPUT!$C$18*H6)^0.5</f>
        <v>17.288310476606902</v>
      </c>
      <c r="H17" s="29">
        <f>2.6*INPUT!$C$4*('Summary of shell design'!C15-MIN(E17,F17,G17)/12)*INPUT!$C$2/INPUT!$C$8+INPUT!$C$3</f>
        <v>0.15818140683937018</v>
      </c>
      <c r="I17" s="29"/>
    </row>
    <row r="18" spans="1:9">
      <c r="A18" s="29"/>
      <c r="B18" s="29"/>
      <c r="C18" s="29" t="e">
        <f>'VDP Method'!B6/H7</f>
        <v>#VALUE!</v>
      </c>
      <c r="D18" s="29" t="e">
        <f t="shared" si="3"/>
        <v>#VALUE!</v>
      </c>
      <c r="E18" s="29" t="e">
        <f>0.61*(INPUT!$C$18*H7)^0.5+3.84*D18*'Summary of shell design'!C16</f>
        <v>#VALUE!</v>
      </c>
      <c r="F18" s="29" t="e">
        <f>12*D18*'Summary of shell design'!C16</f>
        <v>#VALUE!</v>
      </c>
      <c r="G18" s="29" t="e">
        <f>1.22*(INPUT!$C$18*H7)^0.5</f>
        <v>#VALUE!</v>
      </c>
      <c r="H18" s="29" t="e">
        <f>2.6*INPUT!$C$4*('Summary of shell design'!C16-MIN(E18,F18,G18)/12)*INPUT!$C$2/INPUT!$C$8+INPUT!$C$3</f>
        <v>#VALUE!</v>
      </c>
      <c r="I18" s="29"/>
    </row>
    <row r="19" spans="1:9">
      <c r="A19" s="29"/>
      <c r="B19" s="29"/>
      <c r="C19" s="29" t="e">
        <f>'VDP Method'!B7/H8</f>
        <v>#VALUE!</v>
      </c>
      <c r="D19" s="29" t="e">
        <f t="shared" si="3"/>
        <v>#VALUE!</v>
      </c>
      <c r="E19" s="29" t="e">
        <f>0.61*(INPUT!$C$18*H8)^0.5+3.84*D19*'Summary of shell design'!C17</f>
        <v>#VALUE!</v>
      </c>
      <c r="F19" s="29" t="e">
        <f>12*D19*'Summary of shell design'!C17</f>
        <v>#VALUE!</v>
      </c>
      <c r="G19" s="29" t="e">
        <f>1.22*(INPUT!$C$18*H8)^0.5</f>
        <v>#VALUE!</v>
      </c>
      <c r="H19" s="29" t="e">
        <f>2.6*INPUT!$C$4*('Summary of shell design'!C17-MIN(E19,F19,G19)/12)*INPUT!$C$2/INPUT!$C$8+INPUT!$C$3</f>
        <v>#VALUE!</v>
      </c>
      <c r="I19" s="29"/>
    </row>
    <row r="20" spans="1:9">
      <c r="A20" s="29"/>
      <c r="B20" s="29"/>
      <c r="C20" s="29" t="e">
        <f>'VDP Method'!B8/H9</f>
        <v>#VALUE!</v>
      </c>
      <c r="D20" s="29" t="e">
        <f t="shared" si="3"/>
        <v>#VALUE!</v>
      </c>
      <c r="E20" s="29" t="e">
        <f>0.61*(INPUT!$C$18*H9)^0.5+3.84*D20*'Summary of shell design'!C18</f>
        <v>#VALUE!</v>
      </c>
      <c r="F20" s="29" t="e">
        <f>12*D20*'Summary of shell design'!C18</f>
        <v>#VALUE!</v>
      </c>
      <c r="G20" s="29" t="e">
        <f>1.22*(INPUT!$C$18*H9)^0.5</f>
        <v>#VALUE!</v>
      </c>
      <c r="H20" s="29" t="e">
        <f>2.6*INPUT!$C$4*('Summary of shell design'!C18-MIN(E20,F20,G20)/12)*INPUT!$C$2/INPUT!$C$8+INPUT!$C$3</f>
        <v>#VALUE!</v>
      </c>
      <c r="I20" s="29"/>
    </row>
    <row r="21" spans="1:9">
      <c r="A21" s="29"/>
      <c r="B21" s="29"/>
      <c r="C21" s="29" t="e">
        <f>'VDP Method'!B9/H10</f>
        <v>#VALUE!</v>
      </c>
      <c r="D21" s="29" t="e">
        <f t="shared" si="3"/>
        <v>#VALUE!</v>
      </c>
      <c r="E21" s="29" t="e">
        <f>0.61*(INPUT!$C$18*H10)^0.5+3.84*D21*'Summary of shell design'!C19</f>
        <v>#VALUE!</v>
      </c>
      <c r="F21" s="29" t="e">
        <f>12*D21*'Summary of shell design'!C19</f>
        <v>#VALUE!</v>
      </c>
      <c r="G21" s="29" t="e">
        <f>1.22*(INPUT!$C$18*H10)^0.5</f>
        <v>#VALUE!</v>
      </c>
      <c r="H21" s="29" t="e">
        <f>2.6*INPUT!$C$4*('Summary of shell design'!C19-MIN(E21,F21,G21)/12)*INPUT!$C$2/INPUT!$C$8+INPUT!$C$3</f>
        <v>#VALUE!</v>
      </c>
      <c r="I21" s="29"/>
    </row>
    <row r="22" spans="1:9">
      <c r="A22" s="29"/>
      <c r="B22" s="29"/>
      <c r="C22" s="29" t="e">
        <f>'VDP Method'!B10/H11</f>
        <v>#VALUE!</v>
      </c>
      <c r="D22" s="29" t="e">
        <f t="shared" si="3"/>
        <v>#VALUE!</v>
      </c>
      <c r="E22" s="29" t="e">
        <f>0.61*(INPUT!$C$18*H11)^0.5+3.84*D22*'Summary of shell design'!C20</f>
        <v>#VALUE!</v>
      </c>
      <c r="F22" s="29" t="e">
        <f>12*D22*'Summary of shell design'!C20</f>
        <v>#VALUE!</v>
      </c>
      <c r="G22" s="29" t="e">
        <f>1.22*(INPUT!$C$18*H11)^0.5</f>
        <v>#VALUE!</v>
      </c>
      <c r="H22" s="29" t="e">
        <f>2.6*INPUT!$C$4*('Summary of shell design'!C20-MIN(E22,F22,G22)/12)*INPUT!$C$2/INPUT!$C$8+INPUT!$C$3</f>
        <v>#VALUE!</v>
      </c>
      <c r="I22" s="29"/>
    </row>
    <row r="23" spans="1:9" ht="18">
      <c r="A23" s="29"/>
      <c r="B23" s="29"/>
      <c r="C23" s="29" t="s">
        <v>107</v>
      </c>
      <c r="D23" s="29" t="s">
        <v>108</v>
      </c>
      <c r="E23" s="29" t="s">
        <v>91</v>
      </c>
      <c r="F23" s="29" t="s">
        <v>92</v>
      </c>
      <c r="G23" s="29" t="s">
        <v>93</v>
      </c>
      <c r="H23" s="29" t="s">
        <v>567</v>
      </c>
      <c r="I23" s="29"/>
    </row>
    <row r="24" spans="1:9">
      <c r="A24" s="29"/>
      <c r="B24" s="29"/>
      <c r="C24" s="29"/>
      <c r="D24" s="29"/>
      <c r="E24" s="29"/>
      <c r="F24" s="29"/>
      <c r="G24" s="29"/>
      <c r="H24" s="29"/>
      <c r="I24" s="29"/>
    </row>
    <row r="25" spans="1:9">
      <c r="A25" s="29"/>
      <c r="B25" s="29"/>
      <c r="C25" s="29">
        <f>'VDP Method'!B2/H14</f>
        <v>1.3185524195025775</v>
      </c>
      <c r="D25" s="29">
        <f t="shared" ref="D25" si="4">C25^0.5*(C25-1)/(1+C25^1.5)</f>
        <v>0.14549636879504613</v>
      </c>
      <c r="E25" s="29">
        <f>0.61*(INPUT!$C$18*H14)^0.5+3.84*D25*'Summary of shell design'!C12</f>
        <v>36.139515683787295</v>
      </c>
      <c r="F25" s="29">
        <f>12*D25*'Summary of shell design'!C12</f>
        <v>55.870605617297713</v>
      </c>
      <c r="G25" s="29">
        <f>1.22*(INPUT!$C$18*H14)^0.5</f>
        <v>36.521843772504056</v>
      </c>
      <c r="H25" s="29">
        <f>2.6*INPUT!$C$4*('Summary of shell design'!C12-MIN(E25,F25,G25)/12)*INPUT!$C$2/INPUT!$C$8+INPUT!$C$3</f>
        <v>0.6990710163400794</v>
      </c>
      <c r="I25" s="29"/>
    </row>
    <row r="26" spans="1:9">
      <c r="A26" s="29"/>
      <c r="B26" s="29"/>
      <c r="C26" s="29">
        <f>'VDP Method'!B3/H15</f>
        <v>1.3468531403302952</v>
      </c>
      <c r="D26" s="29">
        <f t="shared" ref="D26:D33" si="5">C26^0.5*(C26-1)/(1+C26^1.5)</f>
        <v>0.15705222870667723</v>
      </c>
      <c r="E26" s="29">
        <f>0.61*(INPUT!$C$18*H15)^0.5+3.84*D26*'Summary of shell design'!C13</f>
        <v>30.194429294270272</v>
      </c>
      <c r="F26" s="29">
        <f>12*D26*'Summary of shell design'!C13</f>
        <v>45.231041867523047</v>
      </c>
      <c r="G26" s="29">
        <f>1.22*(INPUT!$C$18*H15)^0.5</f>
        <v>31.440991793325797</v>
      </c>
      <c r="H26" s="29">
        <f>2.6*INPUT!$C$4*('Summary of shell design'!C13-MIN(E26,F26,G26)/12)*INPUT!$C$2/INPUT!$C$8+INPUT!$C$3</f>
        <v>0.51809392114673425</v>
      </c>
      <c r="I26" s="29"/>
    </row>
    <row r="27" spans="1:9">
      <c r="A27" s="29"/>
      <c r="B27" s="29"/>
      <c r="C27" s="29">
        <f>'VDP Method'!B4/H16</f>
        <v>1.5460522317925987</v>
      </c>
      <c r="D27" s="29">
        <f t="shared" si="5"/>
        <v>0.23233334842344433</v>
      </c>
      <c r="E27" s="29">
        <f>0.61*(INPUT!$C$18*H16)^0.5+3.84*D27*'Summary of shell design'!C14</f>
        <v>26.906168338412307</v>
      </c>
      <c r="F27" s="29">
        <f>12*D27*'Summary of shell design'!C14</f>
        <v>44.608002897301311</v>
      </c>
      <c r="G27" s="29">
        <f>1.22*(INPUT!$C$18*H16)^0.5</f>
        <v>25.263214822551777</v>
      </c>
      <c r="H27" s="29">
        <f>2.6*INPUT!$C$4*('Summary of shell design'!C14-MIN(E27,F27,G27)/12)*INPUT!$C$2/INPUT!$C$8+INPUT!$C$3</f>
        <v>0.33507931809040969</v>
      </c>
      <c r="I27" s="29"/>
    </row>
    <row r="28" spans="1:9">
      <c r="A28" s="29"/>
      <c r="B28" s="29"/>
      <c r="C28" s="29">
        <f>'VDP Method'!B5/H17</f>
        <v>2.1182910084084621</v>
      </c>
      <c r="D28" s="29">
        <f t="shared" si="5"/>
        <v>0.39862502310676418</v>
      </c>
      <c r="E28" s="29">
        <f>0.61*(INPUT!$C$18*H17)^0.5+3.84*D28*'Summary of shell design'!C15</f>
        <v>20.925549227694376</v>
      </c>
      <c r="F28" s="29">
        <f>12*D28*'Summary of shell design'!C15</f>
        <v>38.268002218249364</v>
      </c>
      <c r="G28" s="29">
        <f>1.22*(INPUT!$C$18*H17)^0.5</f>
        <v>17.359577035709165</v>
      </c>
      <c r="H28" s="29">
        <f>2.6*INPUT!$C$4*('Summary of shell design'!C15-MIN(E28,F28,G28)/12)*INPUT!$C$2/INPUT!$C$8+INPUT!$C$3</f>
        <v>0.15803818739321604</v>
      </c>
      <c r="I28" s="29"/>
    </row>
    <row r="29" spans="1:9">
      <c r="A29" s="29"/>
      <c r="B29" s="29"/>
      <c r="C29" s="29" t="e">
        <f>'VDP Method'!B6/H18</f>
        <v>#VALUE!</v>
      </c>
      <c r="D29" s="29" t="e">
        <f t="shared" si="5"/>
        <v>#VALUE!</v>
      </c>
      <c r="E29" s="29" t="e">
        <f>0.61*(INPUT!$C$18*H18)^0.5+3.84*D29*'Summary of shell design'!C16</f>
        <v>#VALUE!</v>
      </c>
      <c r="F29" s="29" t="e">
        <f>12*D29*'Summary of shell design'!C16</f>
        <v>#VALUE!</v>
      </c>
      <c r="G29" s="29" t="e">
        <f>1.22*(INPUT!$C$18*H18)^0.5</f>
        <v>#VALUE!</v>
      </c>
      <c r="H29" s="29" t="e">
        <f>2.6*INPUT!$C$4*('Summary of shell design'!C16-MIN(E29,F29,G29)/12)*INPUT!$C$2/INPUT!$C$8+INPUT!$C$3</f>
        <v>#VALUE!</v>
      </c>
      <c r="I29" s="29"/>
    </row>
    <row r="30" spans="1:9">
      <c r="A30" s="29"/>
      <c r="B30" s="29"/>
      <c r="C30" s="29" t="e">
        <f>'VDP Method'!B7/H19</f>
        <v>#VALUE!</v>
      </c>
      <c r="D30" s="29" t="e">
        <f t="shared" si="5"/>
        <v>#VALUE!</v>
      </c>
      <c r="E30" s="29" t="e">
        <f>0.61*(INPUT!$C$18*H19)^0.5+3.84*D30*'Summary of shell design'!C17</f>
        <v>#VALUE!</v>
      </c>
      <c r="F30" s="29" t="e">
        <f>12*D30*'Summary of shell design'!C17</f>
        <v>#VALUE!</v>
      </c>
      <c r="G30" s="29" t="e">
        <f>1.22*(INPUT!$C$18*H19)^0.5</f>
        <v>#VALUE!</v>
      </c>
      <c r="H30" s="29" t="e">
        <f>2.6*INPUT!$C$4*('Summary of shell design'!C17-MIN(E30,F30,G30)/12)*INPUT!$C$2/INPUT!$C$8+INPUT!$C$3</f>
        <v>#VALUE!</v>
      </c>
      <c r="I30" s="29"/>
    </row>
    <row r="31" spans="1:9">
      <c r="A31" s="29"/>
      <c r="B31" s="29"/>
      <c r="C31" s="29" t="e">
        <f>'VDP Method'!B8/H20</f>
        <v>#VALUE!</v>
      </c>
      <c r="D31" s="29" t="e">
        <f t="shared" si="5"/>
        <v>#VALUE!</v>
      </c>
      <c r="E31" s="29" t="e">
        <f>0.61*(INPUT!$C$18*H20)^0.5+3.84*D31*'Summary of shell design'!C18</f>
        <v>#VALUE!</v>
      </c>
      <c r="F31" s="29" t="e">
        <f>12*D31*'Summary of shell design'!C18</f>
        <v>#VALUE!</v>
      </c>
      <c r="G31" s="29" t="e">
        <f>1.22*(INPUT!$C$18*H20)^0.5</f>
        <v>#VALUE!</v>
      </c>
      <c r="H31" s="29" t="e">
        <f>2.6*INPUT!$C$4*('Summary of shell design'!C18-MIN(E31,F31,G31)/12)*INPUT!$C$2/INPUT!$C$8+INPUT!$C$3</f>
        <v>#VALUE!</v>
      </c>
      <c r="I31" s="29"/>
    </row>
    <row r="32" spans="1:9">
      <c r="A32" s="29"/>
      <c r="B32" s="29"/>
      <c r="C32" s="29" t="e">
        <f>'VDP Method'!B9/H21</f>
        <v>#VALUE!</v>
      </c>
      <c r="D32" s="29" t="e">
        <f t="shared" si="5"/>
        <v>#VALUE!</v>
      </c>
      <c r="E32" s="29" t="e">
        <f>0.61*(INPUT!$C$18*H21)^0.5+3.84*D32*'Summary of shell design'!C19</f>
        <v>#VALUE!</v>
      </c>
      <c r="F32" s="29" t="e">
        <f>12*D32*'Summary of shell design'!C19</f>
        <v>#VALUE!</v>
      </c>
      <c r="G32" s="29" t="e">
        <f>1.22*(INPUT!$C$18*H21)^0.5</f>
        <v>#VALUE!</v>
      </c>
      <c r="H32" s="29" t="e">
        <f>2.6*INPUT!$C$4*('Summary of shell design'!C19-MIN(E32,F32,G32)/12)*INPUT!$C$2/INPUT!$C$8+INPUT!$C$3</f>
        <v>#VALUE!</v>
      </c>
      <c r="I32" s="29"/>
    </row>
    <row r="33" spans="1:9">
      <c r="A33" s="29"/>
      <c r="B33" s="29"/>
      <c r="C33" s="29" t="e">
        <f>'VDP Method'!B10/H22</f>
        <v>#VALUE!</v>
      </c>
      <c r="D33" s="29" t="e">
        <f t="shared" si="5"/>
        <v>#VALUE!</v>
      </c>
      <c r="E33" s="29" t="e">
        <f>0.61*(INPUT!$C$18*H22)^0.5+3.84*D33*'Summary of shell design'!C20</f>
        <v>#VALUE!</v>
      </c>
      <c r="F33" s="29" t="e">
        <f>12*D33*'Summary of shell design'!C20</f>
        <v>#VALUE!</v>
      </c>
      <c r="G33" s="29" t="e">
        <f>1.22*(INPUT!$C$18*H22)^0.5</f>
        <v>#VALUE!</v>
      </c>
      <c r="H33" s="29" t="e">
        <f>2.6*INPUT!$C$4*('Summary of shell design'!C20-MIN(E33,F33,G33)/12)*INPUT!$C$2/INPUT!$C$8+INPUT!$C$3</f>
        <v>#VALUE!</v>
      </c>
      <c r="I33" s="29"/>
    </row>
    <row r="34" spans="1:9" ht="18">
      <c r="A34" s="29"/>
      <c r="B34" s="29"/>
      <c r="C34" s="29" t="s">
        <v>109</v>
      </c>
      <c r="D34" s="29" t="s">
        <v>110</v>
      </c>
      <c r="E34" s="29" t="s">
        <v>91</v>
      </c>
      <c r="F34" s="29" t="s">
        <v>92</v>
      </c>
      <c r="G34" s="29" t="s">
        <v>93</v>
      </c>
      <c r="H34" s="29" t="s">
        <v>567</v>
      </c>
      <c r="I34" s="29"/>
    </row>
    <row r="35" spans="1:9">
      <c r="A35" s="29"/>
      <c r="B35" s="29"/>
      <c r="C35" s="29"/>
      <c r="D35" s="29"/>
      <c r="E35" s="29"/>
      <c r="F35" s="29"/>
      <c r="G35" s="29"/>
      <c r="H35" s="29"/>
      <c r="I35" s="29"/>
    </row>
    <row r="36" spans="1:9">
      <c r="A36" s="29"/>
      <c r="B36" s="29"/>
      <c r="C36" s="29">
        <f>'VDP Method'!B2/H25</f>
        <v>1.3205615472584045</v>
      </c>
      <c r="D36" s="29">
        <f>C36^0.5*(C36-1)/(1+C36^1.5)</f>
        <v>0.14632403936987556</v>
      </c>
      <c r="E36" s="29">
        <f>0.61*(INPUT!$C$18*H25)^0.5+3.84*D36*'Summary of shell design'!C12</f>
        <v>36.227323297372379</v>
      </c>
      <c r="F36" s="29">
        <f>12*D36*'Summary of shell design'!C12</f>
        <v>56.188431118032213</v>
      </c>
      <c r="G36" s="29">
        <f>1.22*(INPUT!$C$18*H25)^0.5</f>
        <v>36.494050679204143</v>
      </c>
      <c r="H36" s="29">
        <f>2.6*INPUT!$C$4*('Summary of shell design'!C12-MIN(E36,F36,G36)/12)*INPUT!$C$2/INPUT!$C$8+INPUT!$C$3</f>
        <v>0.69889455548741308</v>
      </c>
      <c r="I36" s="29"/>
    </row>
    <row r="37" spans="1:9">
      <c r="A37" s="29"/>
      <c r="B37" s="29"/>
      <c r="C37" s="29">
        <f>'VDP Method'!B3/H26</f>
        <v>1.3489050354452758</v>
      </c>
      <c r="D37" s="29">
        <f t="shared" ref="D37:D44" si="6">C37^0.5*(C37-1)/(1+C37^1.5)</f>
        <v>0.15788149334091539</v>
      </c>
      <c r="E37" s="29">
        <f>0.61*(INPUT!$C$18*H26)^0.5+3.84*D37*'Summary of shell design'!C13</f>
        <v>30.258893108444472</v>
      </c>
      <c r="F37" s="29">
        <f>12*D37*'Summary of shell design'!C13</f>
        <v>45.469870082183633</v>
      </c>
      <c r="G37" s="29">
        <f>1.22*(INPUT!$C$18*H26)^0.5</f>
        <v>31.417069364291418</v>
      </c>
      <c r="H37" s="29">
        <f>2.6*INPUT!$C$4*('Summary of shell design'!C13-MIN(E37,F37,G37)/12)*INPUT!$C$2/INPUT!$C$8+INPUT!$C$3</f>
        <v>0.51796437270382767</v>
      </c>
      <c r="I37" s="29"/>
    </row>
    <row r="38" spans="1:9">
      <c r="A38" s="29"/>
      <c r="B38" s="29"/>
      <c r="C38" s="29">
        <f>'VDP Method'!B4/H27</f>
        <v>1.5457203481452562</v>
      </c>
      <c r="D38" s="29">
        <f t="shared" si="6"/>
        <v>0.23221640004746066</v>
      </c>
      <c r="E38" s="29">
        <f>0.61*(INPUT!$C$18*H27)^0.5+3.84*D38*'Summary of shell design'!C14</f>
        <v>26.900339031922442</v>
      </c>
      <c r="F38" s="29">
        <f>12*D38*'Summary of shell design'!C14</f>
        <v>44.585548809112446</v>
      </c>
      <c r="G38" s="29">
        <f>1.22*(INPUT!$C$18*H27)^0.5</f>
        <v>25.265926826012919</v>
      </c>
      <c r="H38" s="29">
        <f>2.6*INPUT!$C$4*('Summary of shell design'!C14-MIN(E38,F38,G38)/12)*INPUT!$C$2/INPUT!$C$8+INPUT!$C$3</f>
        <v>0.33507386796571492</v>
      </c>
      <c r="I38" s="29"/>
    </row>
    <row r="39" spans="1:9">
      <c r="A39" s="29"/>
      <c r="B39" s="29"/>
      <c r="C39" s="29">
        <f>'VDP Method'!B5/H28</f>
        <v>2.1202106739653868</v>
      </c>
      <c r="D39" s="29">
        <f t="shared" si="6"/>
        <v>0.39908047974161637</v>
      </c>
      <c r="E39" s="29">
        <f>0.61*(INPUT!$C$18*H28)^0.5+3.84*D39*'Summary of shell design'!C15</f>
        <v>20.935610570537719</v>
      </c>
      <c r="F39" s="29">
        <f>12*D39*'Summary of shell design'!C15</f>
        <v>38.311726055195173</v>
      </c>
      <c r="G39" s="29">
        <f>1.22*(INPUT!$C$18*H28)^0.5</f>
        <v>17.351716465750528</v>
      </c>
      <c r="H39" s="29">
        <f>2.6*INPUT!$C$4*('Summary of shell design'!C15-MIN(E39,F39,G39)/12)*INPUT!$C$2/INPUT!$C$8+INPUT!$C$3</f>
        <v>0.15805398423383965</v>
      </c>
      <c r="I39" s="29"/>
    </row>
    <row r="40" spans="1:9">
      <c r="A40" s="29"/>
      <c r="B40" s="29"/>
      <c r="C40" s="29" t="e">
        <f>'VDP Method'!B6/H29</f>
        <v>#VALUE!</v>
      </c>
      <c r="D40" s="29" t="e">
        <f t="shared" si="6"/>
        <v>#VALUE!</v>
      </c>
      <c r="E40" s="29" t="e">
        <f>0.61*(INPUT!$C$18*H29)^0.5+3.84*D40*'Summary of shell design'!C16</f>
        <v>#VALUE!</v>
      </c>
      <c r="F40" s="29" t="e">
        <f>12*D40*'Summary of shell design'!C16</f>
        <v>#VALUE!</v>
      </c>
      <c r="G40" s="29" t="e">
        <f>1.22*(INPUT!$C$18*H29)^0.5</f>
        <v>#VALUE!</v>
      </c>
      <c r="H40" s="29" t="e">
        <f>2.6*INPUT!$C$4*('Summary of shell design'!C16-MIN(E40,F40,G40)/12)*INPUT!$C$2/INPUT!$C$8+INPUT!$C$3</f>
        <v>#VALUE!</v>
      </c>
      <c r="I40" s="29"/>
    </row>
    <row r="41" spans="1:9">
      <c r="A41" s="29"/>
      <c r="B41" s="29"/>
      <c r="C41" s="29" t="e">
        <f>'VDP Method'!B7/H30</f>
        <v>#VALUE!</v>
      </c>
      <c r="D41" s="29" t="e">
        <f t="shared" si="6"/>
        <v>#VALUE!</v>
      </c>
      <c r="E41" s="29" t="e">
        <f>0.61*(INPUT!$C$18*H30)^0.5+3.84*D41*'Summary of shell design'!C17</f>
        <v>#VALUE!</v>
      </c>
      <c r="F41" s="29" t="e">
        <f>12*D41*'Summary of shell design'!C17</f>
        <v>#VALUE!</v>
      </c>
      <c r="G41" s="29" t="e">
        <f>1.22*(INPUT!$C$18*H30)^0.5</f>
        <v>#VALUE!</v>
      </c>
      <c r="H41" s="29" t="e">
        <f>2.6*INPUT!$C$4*('Summary of shell design'!C17-MIN(E41,F41,G41)/12)*INPUT!$C$2/INPUT!$C$8+INPUT!$C$3</f>
        <v>#VALUE!</v>
      </c>
      <c r="I41" s="29"/>
    </row>
    <row r="42" spans="1:9">
      <c r="A42" s="29"/>
      <c r="B42" s="29"/>
      <c r="C42" s="29" t="e">
        <f>'VDP Method'!B8/H31</f>
        <v>#VALUE!</v>
      </c>
      <c r="D42" s="29" t="e">
        <f t="shared" si="6"/>
        <v>#VALUE!</v>
      </c>
      <c r="E42" s="29" t="e">
        <f>0.61*(INPUT!$C$18*H31)^0.5+3.84*D42*'Summary of shell design'!C18</f>
        <v>#VALUE!</v>
      </c>
      <c r="F42" s="29" t="e">
        <f>12*D42*'Summary of shell design'!C18</f>
        <v>#VALUE!</v>
      </c>
      <c r="G42" s="29" t="e">
        <f>1.22*(INPUT!$C$18*H31)^0.5</f>
        <v>#VALUE!</v>
      </c>
      <c r="H42" s="29" t="e">
        <f>2.6*INPUT!$C$4*('Summary of shell design'!C18-MIN(E42,F42,G42)/12)*INPUT!$C$2/INPUT!$C$8+INPUT!$C$3</f>
        <v>#VALUE!</v>
      </c>
      <c r="I42" s="29"/>
    </row>
    <row r="43" spans="1:9">
      <c r="A43" s="29"/>
      <c r="B43" s="29"/>
      <c r="C43" s="29" t="e">
        <f>'VDP Method'!B9/H32</f>
        <v>#VALUE!</v>
      </c>
      <c r="D43" s="29" t="e">
        <f t="shared" si="6"/>
        <v>#VALUE!</v>
      </c>
      <c r="E43" s="29" t="e">
        <f>0.61*(INPUT!$C$18*H32)^0.5+3.84*D43*'Summary of shell design'!C19</f>
        <v>#VALUE!</v>
      </c>
      <c r="F43" s="29" t="e">
        <f>12*D43*'Summary of shell design'!C19</f>
        <v>#VALUE!</v>
      </c>
      <c r="G43" s="29" t="e">
        <f>1.22*(INPUT!$C$18*H32)^0.5</f>
        <v>#VALUE!</v>
      </c>
      <c r="H43" s="29" t="e">
        <f>2.6*INPUT!$C$4*('Summary of shell design'!C19-MIN(E43,F43,G43)/12)*INPUT!$C$2/INPUT!$C$8+INPUT!$C$3</f>
        <v>#VALUE!</v>
      </c>
      <c r="I43" s="29"/>
    </row>
    <row r="44" spans="1:9">
      <c r="A44" s="29"/>
      <c r="B44" s="29"/>
      <c r="C44" s="29" t="e">
        <f>'VDP Method'!B10/H33</f>
        <v>#VALUE!</v>
      </c>
      <c r="D44" s="29" t="e">
        <f t="shared" si="6"/>
        <v>#VALUE!</v>
      </c>
      <c r="E44" s="29" t="e">
        <f>0.61*(INPUT!$C$18*H33)^0.5+3.84*D44*'Summary of shell design'!C20</f>
        <v>#VALUE!</v>
      </c>
      <c r="F44" s="29" t="e">
        <f>12*D44*'Summary of shell design'!C20</f>
        <v>#VALUE!</v>
      </c>
      <c r="G44" s="29" t="e">
        <f>1.22*(INPUT!$C$18*H33)^0.5</f>
        <v>#VALUE!</v>
      </c>
      <c r="H44" s="29" t="e">
        <f>2.6*INPUT!$C$4*('Summary of shell design'!C20-MIN(E44,F44,G44)/12)*INPUT!$C$2/INPUT!$C$8+INPUT!$C$3</f>
        <v>#VALUE!</v>
      </c>
      <c r="I44" s="29"/>
    </row>
    <row r="45" spans="1:9" ht="18">
      <c r="C45" s="29" t="s">
        <v>111</v>
      </c>
      <c r="D45" s="29" t="s">
        <v>112</v>
      </c>
      <c r="E45" s="29" t="s">
        <v>117</v>
      </c>
      <c r="F45" s="29" t="s">
        <v>92</v>
      </c>
      <c r="G45" s="29" t="s">
        <v>93</v>
      </c>
      <c r="H45" s="29" t="s">
        <v>567</v>
      </c>
    </row>
    <row r="47" spans="1:9">
      <c r="C47" s="29">
        <f>'VDP Method'!B2/H36</f>
        <v>1.3208949701113912</v>
      </c>
      <c r="D47" s="29">
        <f>C47^0.5*(C47-1)/(1+C47^1.5)</f>
        <v>0.14646128644402745</v>
      </c>
      <c r="E47" s="29">
        <f>0.61*(INPUT!$C$18*H36)^0.5+3.84*D47*'Summary of shell design'!C12</f>
        <v>36.241885097851437</v>
      </c>
      <c r="F47" s="29">
        <f>12*D47*'Summary of shell design'!C12</f>
        <v>56.241133994506541</v>
      </c>
      <c r="G47" s="29">
        <f>1.22*(INPUT!$C$18*H36)^0.5</f>
        <v>36.489444439218694</v>
      </c>
      <c r="H47" s="29">
        <f>2.6*INPUT!$C$4*('Summary of shell design'!C12-MIN(E47,F47,G47)/12)*INPUT!$C$2/INPUT!$C$8+INPUT!$C$3</f>
        <v>0.69886529164998523</v>
      </c>
    </row>
    <row r="48" spans="1:9">
      <c r="C48" s="29">
        <f>'VDP Method'!B3/H37</f>
        <v>1.3492424110567653</v>
      </c>
      <c r="D48" s="29">
        <f t="shared" ref="D48:D55" si="7">C48^0.5*(C48-1)/(1+C48^1.5)</f>
        <v>0.15801773171071401</v>
      </c>
      <c r="E48" s="29">
        <f>0.61*(INPUT!$C$18*H37)^0.5+3.84*D48*'Summary of shell design'!C13</f>
        <v>30.269484768552697</v>
      </c>
      <c r="F48" s="29">
        <f>12*D48*'Summary of shell design'!C13</f>
        <v>45.509106732685638</v>
      </c>
      <c r="G48" s="29">
        <f>1.22*(INPUT!$C$18*H37)^0.5</f>
        <v>31.413141228186589</v>
      </c>
      <c r="H48" s="29">
        <f>2.6*INPUT!$C$4*('Summary of shell design'!C13-MIN(E48,F48,G48)/12)*INPUT!$C$2/INPUT!$C$8+INPUT!$C$3</f>
        <v>0.51794308738131922</v>
      </c>
    </row>
    <row r="49" spans="3:8">
      <c r="C49" s="29">
        <f>'VDP Method'!B4/H38</f>
        <v>1.5457454899705252</v>
      </c>
      <c r="D49" s="29">
        <f t="shared" si="7"/>
        <v>0.23222526041622538</v>
      </c>
      <c r="E49" s="29">
        <f>0.61*(INPUT!$C$18*H38)^0.5+3.84*D49*'Summary of shell design'!C14</f>
        <v>26.90078067386338</v>
      </c>
      <c r="F49" s="29">
        <f>12*D49*'Summary of shell design'!C14</f>
        <v>44.587249999915272</v>
      </c>
      <c r="G49" s="29">
        <f>1.22*(INPUT!$C$18*H38)^0.5</f>
        <v>25.265721347780989</v>
      </c>
      <c r="H49" s="29">
        <f>2.6*INPUT!$C$4*('Summary of shell design'!C14-MIN(E49,F49,G49)/12)*INPUT!$C$2/INPUT!$C$8+INPUT!$C$3</f>
        <v>0.33507428090102354</v>
      </c>
    </row>
    <row r="50" spans="3:8">
      <c r="C50" s="29">
        <f>'VDP Method'!B5/H39</f>
        <v>2.1199987676963516</v>
      </c>
      <c r="D50" s="29">
        <f t="shared" si="7"/>
        <v>0.39903023179746294</v>
      </c>
      <c r="E50" s="29">
        <f>0.61*(INPUT!$C$18*H39)^0.5+3.84*D50*'Summary of shell design'!C15</f>
        <v>20.934500544230662</v>
      </c>
      <c r="F50" s="29">
        <f>12*D50*'Summary of shell design'!C15</f>
        <v>38.306902252556441</v>
      </c>
      <c r="G50" s="29">
        <f>1.22*(INPUT!$C$18*H39)^0.5</f>
        <v>17.352583646825202</v>
      </c>
      <c r="H50" s="29">
        <f>2.6*INPUT!$C$4*('Summary of shell design'!C15-MIN(E50,F50,G50)/12)*INPUT!$C$2/INPUT!$C$8+INPUT!$C$3</f>
        <v>0.15805224152035954</v>
      </c>
    </row>
    <row r="51" spans="3:8">
      <c r="C51" s="29" t="e">
        <f>'VDP Method'!B6/H40</f>
        <v>#VALUE!</v>
      </c>
      <c r="D51" s="29" t="e">
        <f t="shared" si="7"/>
        <v>#VALUE!</v>
      </c>
      <c r="E51" s="29" t="e">
        <f>0.61*(INPUT!$C$18*H40)^0.5+3.84*D51*'Summary of shell design'!C16</f>
        <v>#VALUE!</v>
      </c>
      <c r="F51" s="29" t="e">
        <f>12*D51*'Summary of shell design'!C16</f>
        <v>#VALUE!</v>
      </c>
      <c r="G51" s="29" t="e">
        <f>1.22*(INPUT!$C$18*H40)^0.5</f>
        <v>#VALUE!</v>
      </c>
      <c r="H51" s="29" t="e">
        <f>2.6*INPUT!$C$4*('Summary of shell design'!C16-MIN(E51,F51,G51)/12)*INPUT!$C$2/INPUT!$C$8+INPUT!$C$3</f>
        <v>#VALUE!</v>
      </c>
    </row>
    <row r="52" spans="3:8">
      <c r="C52" s="29" t="e">
        <f>'VDP Method'!B7/H41</f>
        <v>#VALUE!</v>
      </c>
      <c r="D52" s="29" t="e">
        <f t="shared" si="7"/>
        <v>#VALUE!</v>
      </c>
      <c r="E52" s="29" t="e">
        <f>0.61*(INPUT!$C$18*H41)^0.5+3.84*D52*'Summary of shell design'!C17</f>
        <v>#VALUE!</v>
      </c>
      <c r="F52" s="29" t="e">
        <f>12*D52*'Summary of shell design'!C17</f>
        <v>#VALUE!</v>
      </c>
      <c r="G52" s="29" t="e">
        <f>1.22*(INPUT!$C$18*H41)^0.5</f>
        <v>#VALUE!</v>
      </c>
      <c r="H52" s="29" t="e">
        <f>2.6*INPUT!$C$4*('Summary of shell design'!C17-MIN(E52,F52,G52)/12)*INPUT!$C$2/INPUT!$C$8+INPUT!$C$3</f>
        <v>#VALUE!</v>
      </c>
    </row>
    <row r="53" spans="3:8">
      <c r="C53" s="29" t="e">
        <f>'VDP Method'!B8/H42</f>
        <v>#VALUE!</v>
      </c>
      <c r="D53" s="29" t="e">
        <f>C53^0.5*(C53-1)/(1+C53^1.5)</f>
        <v>#VALUE!</v>
      </c>
      <c r="E53" s="29" t="e">
        <f>0.61*(INPUT!$C$18*H42)^0.5+3.84*D53*'Summary of shell design'!C18</f>
        <v>#VALUE!</v>
      </c>
      <c r="F53" s="29" t="e">
        <f>12*D53*'Summary of shell design'!C18</f>
        <v>#VALUE!</v>
      </c>
      <c r="G53" s="29" t="e">
        <f>1.22*(INPUT!$C$18*H42)^0.5</f>
        <v>#VALUE!</v>
      </c>
      <c r="H53" s="29" t="e">
        <f>2.6*INPUT!$C$4*('Summary of shell design'!C18-MIN(E53,F53,G53)/12)*INPUT!$C$2/INPUT!$C$8+INPUT!$C$3</f>
        <v>#VALUE!</v>
      </c>
    </row>
    <row r="54" spans="3:8">
      <c r="C54" s="29" t="e">
        <f>'VDP Method'!B9/H43</f>
        <v>#VALUE!</v>
      </c>
      <c r="D54" s="29" t="e">
        <f t="shared" si="7"/>
        <v>#VALUE!</v>
      </c>
      <c r="E54" s="29" t="e">
        <f>0.61*(INPUT!$C$18*H43)^0.5+3.84*D54*'Summary of shell design'!C19</f>
        <v>#VALUE!</v>
      </c>
      <c r="F54" s="29" t="e">
        <f>12*D54*'Summary of shell design'!C19</f>
        <v>#VALUE!</v>
      </c>
      <c r="G54" s="29" t="e">
        <f>1.22*(INPUT!$C$18*H43)^0.5</f>
        <v>#VALUE!</v>
      </c>
      <c r="H54" s="29" t="e">
        <f>2.6*INPUT!$C$4*('Summary of shell design'!C19-MIN(E54,F54,G54)/12)*INPUT!$C$2/INPUT!$C$8+INPUT!$C$3</f>
        <v>#VALUE!</v>
      </c>
    </row>
    <row r="55" spans="3:8">
      <c r="C55" s="29" t="e">
        <f>'VDP Method'!B10/H44</f>
        <v>#VALUE!</v>
      </c>
      <c r="D55" s="29" t="e">
        <f t="shared" si="7"/>
        <v>#VALUE!</v>
      </c>
      <c r="E55" s="29" t="e">
        <f>0.61*(INPUT!$C$18*H44)^0.5+3.84*D55*'Summary of shell design'!C20</f>
        <v>#VALUE!</v>
      </c>
      <c r="F55" s="29" t="e">
        <f>12*D55*'Summary of shell design'!C20</f>
        <v>#VALUE!</v>
      </c>
      <c r="G55" s="29" t="e">
        <f>1.22*(INPUT!$C$18*H44)^0.5</f>
        <v>#VALUE!</v>
      </c>
      <c r="H55" s="29" t="e">
        <f>2.6*INPUT!$C$4*('Summary of shell design'!C20-MIN(E55,F55,G55)/12)*INPUT!$C$2/INPUT!$C$8+INPUT!$C$3</f>
        <v>#VALUE!</v>
      </c>
    </row>
    <row r="56" spans="3:8" ht="18">
      <c r="C56" s="29" t="s">
        <v>113</v>
      </c>
      <c r="D56" s="29" t="s">
        <v>114</v>
      </c>
      <c r="E56" s="29" t="s">
        <v>117</v>
      </c>
      <c r="F56" s="29" t="s">
        <v>92</v>
      </c>
      <c r="G56" s="29" t="s">
        <v>93</v>
      </c>
      <c r="H56" s="29" t="s">
        <v>567</v>
      </c>
    </row>
    <row r="58" spans="3:8">
      <c r="C58" s="29">
        <f>'VDP Method'!B2/H47</f>
        <v>1.3209502804210123</v>
      </c>
      <c r="D58" s="29">
        <f>C58^0.5*(C58-1)/(1+C58^1.5)</f>
        <v>0.1464840508865152</v>
      </c>
      <c r="E58" s="29">
        <f>0.61*(INPUT!$C$18*H47)^0.5+3.84*D58*'Summary of shell design'!C12</f>
        <v>36.244300420636122</v>
      </c>
      <c r="F58" s="29">
        <f>12*D58*'Summary of shell design'!C12</f>
        <v>56.24987554042184</v>
      </c>
      <c r="G58" s="29">
        <f>1.22*(INPUT!$C$18*H47)^0.5</f>
        <v>36.488680495402278</v>
      </c>
      <c r="H58" s="29">
        <f>2.6*INPUT!$C$4*('Summary of shell design'!C12-MIN(E58,F58,G58)/12)*INPUT!$C$2/INPUT!$C$8+INPUT!$C$3</f>
        <v>0.69886043774380735</v>
      </c>
    </row>
    <row r="59" spans="3:8">
      <c r="C59" s="29">
        <f>'VDP Method'!B3/H48</f>
        <v>1.3492978593493696</v>
      </c>
      <c r="D59" s="29">
        <f t="shared" ref="D59:D66" si="8">C59^0.5*(C59-1)/(1+C59^1.5)</f>
        <v>0.15804011974744844</v>
      </c>
      <c r="E59" s="29">
        <f>0.61*(INPUT!$C$18*H48)^0.5+3.84*D59*'Summary of shell design'!C13</f>
        <v>30.271225322362191</v>
      </c>
      <c r="F59" s="29">
        <f>12*D59*'Summary of shell design'!C13</f>
        <v>45.515554487265149</v>
      </c>
      <c r="G59" s="29">
        <f>1.22*(INPUT!$C$18*H48)^0.5</f>
        <v>31.412495772874685</v>
      </c>
      <c r="H59" s="29">
        <f>2.6*INPUT!$C$4*('Summary of shell design'!C13-MIN(E59,F59,G59)/12)*INPUT!$C$2/INPUT!$C$8+INPUT!$C$3</f>
        <v>0.51793958951141017</v>
      </c>
    </row>
    <row r="60" spans="3:8">
      <c r="C60" s="29">
        <f>'VDP Method'!B4/H49</f>
        <v>1.5457435850409997</v>
      </c>
      <c r="D60" s="29">
        <f t="shared" si="8"/>
        <v>0.23222458909500929</v>
      </c>
      <c r="E60" s="29">
        <f>0.61*(INPUT!$C$18*H49)^0.5+3.84*D60*'Summary of shell design'!C14</f>
        <v>26.900747212070865</v>
      </c>
      <c r="F60" s="29">
        <f>12*D60*'Summary of shell design'!C14</f>
        <v>44.587121106241781</v>
      </c>
      <c r="G60" s="29">
        <f>1.22*(INPUT!$C$18*H49)^0.5</f>
        <v>25.265736916146988</v>
      </c>
      <c r="H60" s="29">
        <f>2.6*INPUT!$C$4*('Summary of shell design'!C14-MIN(E60,F60,G60)/12)*INPUT!$C$2/INPUT!$C$8+INPUT!$C$3</f>
        <v>0.33507424961436144</v>
      </c>
    </row>
    <row r="61" spans="3:8">
      <c r="C61" s="29">
        <f>'VDP Method'!B5/H50</f>
        <v>2.1200221431979878</v>
      </c>
      <c r="D61" s="29">
        <f t="shared" si="8"/>
        <v>0.39903577502480353</v>
      </c>
      <c r="E61" s="29">
        <f>0.61*(INPUT!$C$18*H50)^0.5+3.84*D61*'Summary of shell design'!C15</f>
        <v>20.934622999364557</v>
      </c>
      <c r="F61" s="29">
        <f>12*D61*'Summary of shell design'!C15</f>
        <v>38.307434402381141</v>
      </c>
      <c r="G61" s="29">
        <f>1.22*(INPUT!$C$18*H50)^0.5</f>
        <v>17.352487981205186</v>
      </c>
      <c r="H61" s="29">
        <f>2.6*INPUT!$C$4*('Summary of shell design'!C15-MIN(E61,F61,G61)/12)*INPUT!$C$2/INPUT!$C$8+INPUT!$C$3</f>
        <v>0.15805243377290107</v>
      </c>
    </row>
    <row r="62" spans="3:8">
      <c r="C62" s="29" t="e">
        <f>'VDP Method'!B6/H51</f>
        <v>#VALUE!</v>
      </c>
      <c r="D62" s="29" t="e">
        <f t="shared" si="8"/>
        <v>#VALUE!</v>
      </c>
      <c r="E62" s="29" t="e">
        <f>0.61*(INPUT!$C$18*H51)^0.5+3.84*D62*'Summary of shell design'!C16</f>
        <v>#VALUE!</v>
      </c>
      <c r="F62" s="29" t="e">
        <f>12*D62*'Summary of shell design'!C16</f>
        <v>#VALUE!</v>
      </c>
      <c r="G62" s="29" t="e">
        <f>1.22*(INPUT!$C$18*H51)^0.5</f>
        <v>#VALUE!</v>
      </c>
      <c r="H62" s="29" t="e">
        <f>2.6*INPUT!$C$4*('Summary of shell design'!C16-MIN(E62,F62,G62)/12)*INPUT!$C$2/INPUT!$C$8+INPUT!$C$3</f>
        <v>#VALUE!</v>
      </c>
    </row>
    <row r="63" spans="3:8">
      <c r="C63" s="29" t="e">
        <f>'VDP Method'!B7/H52</f>
        <v>#VALUE!</v>
      </c>
      <c r="D63" s="29" t="e">
        <f t="shared" si="8"/>
        <v>#VALUE!</v>
      </c>
      <c r="E63" s="29" t="e">
        <f>0.61*(INPUT!$C$18*H52)^0.5+3.84*D63*'Summary of shell design'!C17</f>
        <v>#VALUE!</v>
      </c>
      <c r="F63" s="29" t="e">
        <f>12*D63*'Summary of shell design'!C17</f>
        <v>#VALUE!</v>
      </c>
      <c r="G63" s="29" t="e">
        <f>1.22*(INPUT!$C$18*H52)^0.5</f>
        <v>#VALUE!</v>
      </c>
      <c r="H63" s="29" t="e">
        <f>2.6*INPUT!$C$4*('Summary of shell design'!C17-MIN(E63,F63,G63)/12)*INPUT!$C$2/INPUT!$C$8+INPUT!$C$3</f>
        <v>#VALUE!</v>
      </c>
    </row>
    <row r="64" spans="3:8">
      <c r="C64" s="29" t="e">
        <f>'VDP Method'!B8/H53</f>
        <v>#VALUE!</v>
      </c>
      <c r="D64" s="29" t="e">
        <f t="shared" si="8"/>
        <v>#VALUE!</v>
      </c>
      <c r="E64" s="29" t="e">
        <f>0.61*(INPUT!$C$18*H53)^0.5+3.84*D64*'Summary of shell design'!C18</f>
        <v>#VALUE!</v>
      </c>
      <c r="F64" s="29" t="e">
        <f>12*D64*'Summary of shell design'!C18</f>
        <v>#VALUE!</v>
      </c>
      <c r="G64" s="29" t="e">
        <f>1.22*(INPUT!$C$18*H53)^0.5</f>
        <v>#VALUE!</v>
      </c>
      <c r="H64" s="29" t="e">
        <f>2.6*INPUT!$C$4*('Summary of shell design'!C18-MIN(E64,F64,G64)/12)*INPUT!$C$2/INPUT!$C$8+INPUT!$C$3</f>
        <v>#VALUE!</v>
      </c>
    </row>
    <row r="65" spans="3:8">
      <c r="C65" s="29" t="e">
        <f>'VDP Method'!B9/H54</f>
        <v>#VALUE!</v>
      </c>
      <c r="D65" s="29" t="e">
        <f>C65^0.5*(C65-1)/(1+C65^1.5)</f>
        <v>#VALUE!</v>
      </c>
      <c r="E65" s="29" t="e">
        <f>0.61*(INPUT!$C$18*H54)^0.5+3.84*D65*'Summary of shell design'!C19</f>
        <v>#VALUE!</v>
      </c>
      <c r="F65" s="29" t="e">
        <f>12*D65*'Summary of shell design'!C19</f>
        <v>#VALUE!</v>
      </c>
      <c r="G65" s="29" t="e">
        <f>1.22*(INPUT!$C$18*H54)^0.5</f>
        <v>#VALUE!</v>
      </c>
      <c r="H65" s="29" t="e">
        <f>2.6*INPUT!$C$4*('Summary of shell design'!C19-MIN(E65,F65,G65)/12)*INPUT!$C$2/INPUT!$C$8+INPUT!$C$3</f>
        <v>#VALUE!</v>
      </c>
    </row>
    <row r="66" spans="3:8">
      <c r="C66" s="29" t="e">
        <f>'VDP Method'!B10/H55</f>
        <v>#VALUE!</v>
      </c>
      <c r="D66" s="29" t="e">
        <f t="shared" si="8"/>
        <v>#VALUE!</v>
      </c>
      <c r="E66" s="29" t="e">
        <f>0.61*(INPUT!$C$18*H55)^0.5+3.84*D66*'Summary of shell design'!C20</f>
        <v>#VALUE!</v>
      </c>
      <c r="F66" s="29" t="e">
        <f>12*D66*'Summary of shell design'!C20</f>
        <v>#VALUE!</v>
      </c>
      <c r="G66" s="29" t="e">
        <f>1.22*(INPUT!$C$18*H55)^0.5</f>
        <v>#VALUE!</v>
      </c>
      <c r="H66" s="29" t="e">
        <f>2.6*INPUT!$C$4*('Summary of shell design'!C20-MIN(E66,F66,G66)/12)*INPUT!$C$2/INPUT!$C$8+INPUT!$C$3</f>
        <v>#VALUE!</v>
      </c>
    </row>
    <row r="67" spans="3:8" ht="18">
      <c r="C67" s="29" t="s">
        <v>115</v>
      </c>
      <c r="D67" s="29" t="s">
        <v>116</v>
      </c>
      <c r="E67" s="29" t="s">
        <v>117</v>
      </c>
      <c r="F67" s="29" t="s">
        <v>92</v>
      </c>
      <c r="G67" s="29" t="s">
        <v>93</v>
      </c>
      <c r="H67" s="29" t="s">
        <v>567</v>
      </c>
    </row>
    <row r="69" spans="3:8">
      <c r="C69" s="29">
        <f>'VDP Method'!B2/H58</f>
        <v>1.320959455026385</v>
      </c>
      <c r="D69" s="29">
        <f>C69^0.5*(C69-1)/(1+C69^1.5)</f>
        <v>0.14648782685967948</v>
      </c>
      <c r="E69" s="29">
        <f>0.61*(INPUT!$C$18*H58)^0.5+3.84*D69*'Summary of shell design'!C12</f>
        <v>36.244701054894435</v>
      </c>
      <c r="F69" s="29">
        <f>12*D69*'Summary of shell design'!C12</f>
        <v>56.251325514116921</v>
      </c>
      <c r="G69" s="29">
        <f>1.22*(INPUT!$C$18*H58)^0.5</f>
        <v>36.488553780754032</v>
      </c>
      <c r="H69" s="29">
        <f>2.6*INPUT!$C$4*('Summary of shell design'!C12-MIN(E69,F69,G69)/12)*INPUT!$C$2/INPUT!$C$8+INPUT!$C$3</f>
        <v>0.69885963261700856</v>
      </c>
    </row>
    <row r="70" spans="3:8">
      <c r="C70" s="29">
        <f>'VDP Method'!B3/H59</f>
        <v>1.349306971741</v>
      </c>
      <c r="D70" s="29">
        <f t="shared" ref="D70:D77" si="9">C70^0.5*(C70-1)/(1+C70^1.5)</f>
        <v>0.158043798924521</v>
      </c>
      <c r="E70" s="29">
        <f>0.61*(INPUT!$C$18*H59)^0.5+3.84*D70*'Summary of shell design'!C13</f>
        <v>30.271511360049601</v>
      </c>
      <c r="F70" s="29">
        <f>12*D70*'Summary of shell design'!C13</f>
        <v>45.516614090262046</v>
      </c>
      <c r="G70" s="29">
        <f>1.22*(INPUT!$C$18*H59)^0.5</f>
        <v>31.412389702331492</v>
      </c>
      <c r="H70" s="29">
        <f>2.6*INPUT!$C$4*('Summary of shell design'!C13-MIN(E70,F70,G70)/12)*INPUT!$C$2/INPUT!$C$8+INPUT!$C$3</f>
        <v>0.51793901468136816</v>
      </c>
    </row>
    <row r="71" spans="3:8">
      <c r="C71" s="29">
        <f>'VDP Method'!B4/H60</f>
        <v>1.5457437293706737</v>
      </c>
      <c r="D71" s="29">
        <f t="shared" si="9"/>
        <v>0.23222463995864009</v>
      </c>
      <c r="E71" s="29">
        <f>0.61*(INPUT!$C$18*H60)^0.5+3.84*D71*'Summary of shell design'!C14</f>
        <v>26.900749747352229</v>
      </c>
      <c r="F71" s="29">
        <f>12*D71*'Summary of shell design'!C14</f>
        <v>44.5871308720589</v>
      </c>
      <c r="G71" s="29">
        <f>1.22*(INPUT!$C$18*H60)^0.5</f>
        <v>25.265735736586763</v>
      </c>
      <c r="H71" s="29">
        <f>2.6*INPUT!$C$4*('Summary of shell design'!C14-MIN(E71,F71,G71)/12)*INPUT!$C$2/INPUT!$C$8+INPUT!$C$3</f>
        <v>0.33507425198484153</v>
      </c>
    </row>
    <row r="72" spans="3:8">
      <c r="C72" s="29">
        <f>'VDP Method'!B5/H61</f>
        <v>2.1200195644357671</v>
      </c>
      <c r="D72" s="29">
        <f t="shared" si="9"/>
        <v>0.3990351635056798</v>
      </c>
      <c r="E72" s="29">
        <f>0.61*(INPUT!$C$18*H61)^0.5+3.84*D72*'Summary of shell design'!C15</f>
        <v>20.934609490326544</v>
      </c>
      <c r="F72" s="29">
        <f>12*D72*'Summary of shell design'!C15</f>
        <v>38.307375696545265</v>
      </c>
      <c r="G72" s="29">
        <f>1.22*(INPUT!$C$18*H61)^0.5</f>
        <v>17.352498534864122</v>
      </c>
      <c r="H72" s="29">
        <f>2.6*INPUT!$C$4*('Summary of shell design'!C15-MIN(E72,F72,G72)/12)*INPUT!$C$2/INPUT!$C$8+INPUT!$C$3</f>
        <v>0.15805241256394689</v>
      </c>
    </row>
    <row r="73" spans="3:8">
      <c r="C73" s="29" t="e">
        <f>'VDP Method'!B6/H62</f>
        <v>#VALUE!</v>
      </c>
      <c r="D73" s="29" t="e">
        <f t="shared" si="9"/>
        <v>#VALUE!</v>
      </c>
      <c r="E73" s="29" t="e">
        <f>0.61*(INPUT!$C$18*H62)^0.5+3.84*D73*'Summary of shell design'!C16</f>
        <v>#VALUE!</v>
      </c>
      <c r="F73" s="29" t="e">
        <f>12*D73*'Summary of shell design'!C16</f>
        <v>#VALUE!</v>
      </c>
      <c r="G73" s="29" t="e">
        <f>1.22*(INPUT!$C$18*H62)^0.5</f>
        <v>#VALUE!</v>
      </c>
      <c r="H73" s="29" t="e">
        <f>2.6*INPUT!$C$4*('Summary of shell design'!C16-MIN(E73,F73,G73)/12)*INPUT!$C$2/INPUT!$C$8+INPUT!$C$3</f>
        <v>#VALUE!</v>
      </c>
    </row>
    <row r="74" spans="3:8">
      <c r="C74" s="29" t="e">
        <f>'VDP Method'!B7/H63</f>
        <v>#VALUE!</v>
      </c>
      <c r="D74" s="29" t="e">
        <f t="shared" si="9"/>
        <v>#VALUE!</v>
      </c>
      <c r="E74" s="29" t="e">
        <f>0.61*(INPUT!$C$18*H63)^0.5+3.84*D74*'Summary of shell design'!C17</f>
        <v>#VALUE!</v>
      </c>
      <c r="F74" s="29" t="e">
        <f>12*D74*'Summary of shell design'!C17</f>
        <v>#VALUE!</v>
      </c>
      <c r="G74" s="29" t="e">
        <f>1.22*(INPUT!$C$18*H63)^0.5</f>
        <v>#VALUE!</v>
      </c>
      <c r="H74" s="29" t="e">
        <f>2.6*INPUT!$C$4*('Summary of shell design'!C17-MIN(E74,F74,G74)/12)*INPUT!$C$2/INPUT!$C$8+INPUT!$C$3</f>
        <v>#VALUE!</v>
      </c>
    </row>
    <row r="75" spans="3:8">
      <c r="C75" s="29" t="e">
        <f>'VDP Method'!B8/H64</f>
        <v>#VALUE!</v>
      </c>
      <c r="D75" s="29" t="e">
        <f t="shared" si="9"/>
        <v>#VALUE!</v>
      </c>
      <c r="E75" s="29" t="e">
        <f>0.61*(INPUT!$C$18*H64)^0.5+3.84*D75*'Summary of shell design'!C18</f>
        <v>#VALUE!</v>
      </c>
      <c r="F75" s="29" t="e">
        <f>12*D75*'Summary of shell design'!C18</f>
        <v>#VALUE!</v>
      </c>
      <c r="G75" s="29" t="e">
        <f>1.22*(INPUT!$C$18*H64)^0.5</f>
        <v>#VALUE!</v>
      </c>
      <c r="H75" s="29" t="e">
        <f>2.6*INPUT!$C$4*('Summary of shell design'!C18-MIN(E75,F75,G75)/12)*INPUT!$C$2/INPUT!$C$8+INPUT!$C$3</f>
        <v>#VALUE!</v>
      </c>
    </row>
    <row r="76" spans="3:8">
      <c r="C76" s="29" t="e">
        <f>'VDP Method'!B9/H65</f>
        <v>#VALUE!</v>
      </c>
      <c r="D76" s="29" t="e">
        <f t="shared" si="9"/>
        <v>#VALUE!</v>
      </c>
      <c r="E76" s="29" t="e">
        <f>0.61*(INPUT!$C$18*H65)^0.5+3.84*D76*'Summary of shell design'!C19</f>
        <v>#VALUE!</v>
      </c>
      <c r="F76" s="29" t="e">
        <f>12*D76*'Summary of shell design'!C19</f>
        <v>#VALUE!</v>
      </c>
      <c r="G76" s="29" t="e">
        <f>1.22*(INPUT!$C$18*H65)^0.5</f>
        <v>#VALUE!</v>
      </c>
      <c r="H76" s="29" t="e">
        <f>2.6*INPUT!$C$4*('Summary of shell design'!C19-MIN(E76,F76,G76)/12)*INPUT!$C$2/INPUT!$C$8+INPUT!$C$3</f>
        <v>#VALUE!</v>
      </c>
    </row>
    <row r="77" spans="3:8">
      <c r="C77" s="29" t="e">
        <f>'VDP Method'!B10/H66</f>
        <v>#VALUE!</v>
      </c>
      <c r="D77" s="29" t="e">
        <f t="shared" si="9"/>
        <v>#VALUE!</v>
      </c>
      <c r="E77" s="29" t="e">
        <f>0.61*(INPUT!$C$18*H66)^0.5+3.84*D77*'Summary of shell design'!C20</f>
        <v>#VALUE!</v>
      </c>
      <c r="F77" s="29" t="e">
        <f>12*D77*'Summary of shell design'!C20</f>
        <v>#VALUE!</v>
      </c>
      <c r="G77" s="29" t="e">
        <f>1.22*(INPUT!$C$18*H66)^0.5</f>
        <v>#VALUE!</v>
      </c>
      <c r="H77" s="29" t="e">
        <f>2.6*INPUT!$C$4*('Summary of shell design'!C20-MIN(E77,F77,G77)/12)*INPUT!$C$2/INPUT!$C$8+INPUT!$C$3</f>
        <v>#VALUE!</v>
      </c>
    </row>
    <row r="78" spans="3:8" ht="18">
      <c r="C78" s="29" t="s">
        <v>118</v>
      </c>
      <c r="D78" s="29" t="s">
        <v>119</v>
      </c>
      <c r="E78" s="29" t="s">
        <v>117</v>
      </c>
      <c r="F78" s="29" t="s">
        <v>92</v>
      </c>
      <c r="G78" s="29" t="s">
        <v>93</v>
      </c>
      <c r="H78" s="29" t="s">
        <v>567</v>
      </c>
    </row>
    <row r="80" spans="3:8">
      <c r="C80" s="29">
        <f>'VDP Method'!B2/H69</f>
        <v>1.3209609768482324</v>
      </c>
      <c r="D80" s="29">
        <f>C80^0.5*(C80-1)/(1+C80^1.5)</f>
        <v>0.14648845319046341</v>
      </c>
      <c r="E80" s="29">
        <f>0.61*(INPUT!$C$18*H69)^0.5+3.84*D80*'Summary of shell design'!C12</f>
        <v>36.244767509198084</v>
      </c>
      <c r="F80" s="29">
        <f>12*D80*'Summary of shell design'!C12</f>
        <v>56.251566025137947</v>
      </c>
      <c r="G80" s="29">
        <f>1.22*(INPUT!$C$18*H69)^0.5</f>
        <v>36.488532762307877</v>
      </c>
      <c r="H80" s="29">
        <f>2.6*INPUT!$C$4*('Summary of shell design'!C12-MIN(E80,F80,G80)/12)*INPUT!$C$2/INPUT!$C$8+INPUT!$C$3</f>
        <v>0.69885949906841749</v>
      </c>
    </row>
    <row r="81" spans="3:8">
      <c r="C81" s="29">
        <f>'VDP Method'!B3/H70</f>
        <v>1.3493084692574282</v>
      </c>
      <c r="D81" s="29">
        <f t="shared" ref="D81:D88" si="10">C81^0.5*(C81-1)/(1+C81^1.5)</f>
        <v>0.15804440355264551</v>
      </c>
      <c r="E81" s="29">
        <f>0.61*(INPUT!$C$18*H70)^0.5+3.84*D81*'Summary of shell design'!C13</f>
        <v>30.271558366893977</v>
      </c>
      <c r="F81" s="29">
        <f>12*D81*'Summary of shell design'!C13</f>
        <v>45.51678822316191</v>
      </c>
      <c r="G81" s="29">
        <f>1.22*(INPUT!$C$18*H70)^0.5</f>
        <v>31.41237227096433</v>
      </c>
      <c r="H81" s="29">
        <f>2.6*INPUT!$C$4*('Summary of shell design'!C13-MIN(E81,F81,G81)/12)*INPUT!$C$2/INPUT!$C$8+INPUT!$C$3</f>
        <v>0.51793892021498311</v>
      </c>
    </row>
    <row r="82" spans="3:8">
      <c r="C82" s="29">
        <f>'VDP Method'!B4/H71</f>
        <v>1.5457437184353222</v>
      </c>
      <c r="D82" s="29">
        <f t="shared" si="10"/>
        <v>0.23222463610488187</v>
      </c>
      <c r="E82" s="29">
        <f>0.61*(INPUT!$C$18*H71)^0.5+3.84*D82*'Summary of shell design'!C14</f>
        <v>26.900749555262884</v>
      </c>
      <c r="F82" s="29">
        <f>12*D82*'Summary of shell design'!C14</f>
        <v>44.587130132137318</v>
      </c>
      <c r="G82" s="29">
        <f>1.22*(INPUT!$C$18*H71)^0.5</f>
        <v>25.265735825957886</v>
      </c>
      <c r="H82" s="29">
        <f>2.6*INPUT!$C$4*('Summary of shell design'!C14-MIN(E82,F82,G82)/12)*INPUT!$C$2/INPUT!$C$8+INPUT!$C$3</f>
        <v>0.33507425180523864</v>
      </c>
    </row>
    <row r="83" spans="3:8">
      <c r="C83" s="29">
        <f>'VDP Method'!B5/H72</f>
        <v>2.1200198489198634</v>
      </c>
      <c r="D83" s="29">
        <f t="shared" si="10"/>
        <v>0.39903523096734694</v>
      </c>
      <c r="E83" s="29">
        <f>0.61*(INPUT!$C$18*H72)^0.5+3.84*D83*'Summary of shell design'!C15</f>
        <v>20.934610980618793</v>
      </c>
      <c r="F83" s="29">
        <f>12*D83*'Summary of shell design'!C15</f>
        <v>38.307382172865303</v>
      </c>
      <c r="G83" s="29">
        <f>1.22*(INPUT!$C$18*H72)^0.5</f>
        <v>17.352497370603789</v>
      </c>
      <c r="H83" s="29">
        <f>2.6*INPUT!$C$4*('Summary of shell design'!C15-MIN(E83,F83,G83)/12)*INPUT!$C$2/INPUT!$C$8+INPUT!$C$3</f>
        <v>0.15805241490367986</v>
      </c>
    </row>
    <row r="84" spans="3:8">
      <c r="C84" s="29" t="e">
        <f>'VDP Method'!B6/H73</f>
        <v>#VALUE!</v>
      </c>
      <c r="D84" s="29" t="e">
        <f t="shared" si="10"/>
        <v>#VALUE!</v>
      </c>
      <c r="E84" s="29" t="e">
        <f>0.61*(INPUT!$C$18*H73)^0.5+3.84*D84*'Summary of shell design'!C16</f>
        <v>#VALUE!</v>
      </c>
      <c r="F84" s="29" t="e">
        <f>12*D84*'Summary of shell design'!C16</f>
        <v>#VALUE!</v>
      </c>
      <c r="G84" s="29" t="e">
        <f>1.22*(INPUT!$C$18*H73)^0.5</f>
        <v>#VALUE!</v>
      </c>
      <c r="H84" s="29" t="e">
        <f>2.6*INPUT!$C$4*('Summary of shell design'!C16-MIN(E84,F84,G84)/12)*INPUT!$C$2/INPUT!$C$8+INPUT!$C$3</f>
        <v>#VALUE!</v>
      </c>
    </row>
    <row r="85" spans="3:8">
      <c r="C85" s="29" t="e">
        <f>'VDP Method'!B7/H74</f>
        <v>#VALUE!</v>
      </c>
      <c r="D85" s="29" t="e">
        <f t="shared" si="10"/>
        <v>#VALUE!</v>
      </c>
      <c r="E85" s="29" t="e">
        <f>0.61*(INPUT!$C$18*H74)^0.5+3.84*D85*'Summary of shell design'!C17</f>
        <v>#VALUE!</v>
      </c>
      <c r="F85" s="29" t="e">
        <f>12*D85*'Summary of shell design'!C17</f>
        <v>#VALUE!</v>
      </c>
      <c r="G85" s="29" t="e">
        <f>1.22*(INPUT!$C$18*H74)^0.5</f>
        <v>#VALUE!</v>
      </c>
      <c r="H85" s="29" t="e">
        <f>2.6*INPUT!$C$4*('Summary of shell design'!C17-MIN(E85,F85,G85)/12)*INPUT!$C$2/INPUT!$C$8+INPUT!$C$3</f>
        <v>#VALUE!</v>
      </c>
    </row>
    <row r="86" spans="3:8">
      <c r="C86" s="29" t="e">
        <f>'VDP Method'!B8/H75</f>
        <v>#VALUE!</v>
      </c>
      <c r="D86" s="29" t="e">
        <f t="shared" si="10"/>
        <v>#VALUE!</v>
      </c>
      <c r="E86" s="29" t="e">
        <f>0.61*(INPUT!$C$18*H75)^0.5+3.84*D86*'Summary of shell design'!C18</f>
        <v>#VALUE!</v>
      </c>
      <c r="F86" s="29" t="e">
        <f>12*D86*'Summary of shell design'!C18</f>
        <v>#VALUE!</v>
      </c>
      <c r="G86" s="29" t="e">
        <f>1.22*(INPUT!$C$18*H75)^0.5</f>
        <v>#VALUE!</v>
      </c>
      <c r="H86" s="29" t="e">
        <f>2.6*INPUT!$C$4*('Summary of shell design'!C18-MIN(E86,F86,G86)/12)*INPUT!$C$2/INPUT!$C$8+INPUT!$C$3</f>
        <v>#VALUE!</v>
      </c>
    </row>
    <row r="87" spans="3:8">
      <c r="C87" s="29" t="e">
        <f>'VDP Method'!B9/H76</f>
        <v>#VALUE!</v>
      </c>
      <c r="D87" s="29" t="e">
        <f>C87^0.5*(C87-1)/(1+C87^1.5)</f>
        <v>#VALUE!</v>
      </c>
      <c r="E87" s="29" t="e">
        <f>0.61*(INPUT!$C$18*H76)^0.5+3.84*D87*'Summary of shell design'!C19</f>
        <v>#VALUE!</v>
      </c>
      <c r="F87" s="29" t="e">
        <f>12*D87*'Summary of shell design'!C19</f>
        <v>#VALUE!</v>
      </c>
      <c r="G87" s="29" t="e">
        <f>1.22*(INPUT!$C$18*H76)^0.5</f>
        <v>#VALUE!</v>
      </c>
      <c r="H87" s="29" t="e">
        <f>2.6*INPUT!$C$4*('Summary of shell design'!C19-MIN(E87,F87,G87)/12)*INPUT!$C$2/INPUT!$C$8+INPUT!$C$3</f>
        <v>#VALUE!</v>
      </c>
    </row>
    <row r="88" spans="3:8">
      <c r="C88" s="29" t="e">
        <f>'VDP Method'!B10/H77</f>
        <v>#VALUE!</v>
      </c>
      <c r="D88" s="29" t="e">
        <f t="shared" si="10"/>
        <v>#VALUE!</v>
      </c>
      <c r="E88" s="29" t="e">
        <f>0.61*(INPUT!$C$18*H77)^0.5+3.84*D88*'Summary of shell design'!C20</f>
        <v>#VALUE!</v>
      </c>
      <c r="F88" s="29" t="e">
        <f>12*D88*'Summary of shell design'!C20</f>
        <v>#VALUE!</v>
      </c>
      <c r="G88" s="29" t="e">
        <f>1.22*(INPUT!$C$18*H77)^0.5</f>
        <v>#VALUE!</v>
      </c>
      <c r="H88" s="29" t="e">
        <f>2.6*INPUT!$C$4*('Summary of shell design'!C20-MIN(E88,F88,G88)/12)*INPUT!$C$2/INPUT!$C$8+INPUT!$C$3</f>
        <v>#VALUE!</v>
      </c>
    </row>
  </sheetData>
  <phoneticPr fontId="4"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111AB3074F2C34BA13EDBDD9A6D1964" ma:contentTypeVersion="8" ma:contentTypeDescription="Create a new document." ma:contentTypeScope="" ma:versionID="79b89c37b6e1720f7e0c1fdb48531097">
  <xsd:schema xmlns:xsd="http://www.w3.org/2001/XMLSchema" xmlns:xs="http://www.w3.org/2001/XMLSchema" xmlns:p="http://schemas.microsoft.com/office/2006/metadata/properties" xmlns:ns3="ecc769bc-17dd-4a74-a7c0-5f453234b863" targetNamespace="http://schemas.microsoft.com/office/2006/metadata/properties" ma:root="true" ma:fieldsID="d8f17298b0f16a005e4d5aba8496f653" ns3:_="">
    <xsd:import namespace="ecc769bc-17dd-4a74-a7c0-5f453234b863"/>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c769bc-17dd-4a74-a7c0-5f453234b8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4AFAC3-C314-449B-93DC-5853E3399E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c769bc-17dd-4a74-a7c0-5f453234b86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DCF1BB-A389-4CE8-B913-A2211706FA45}">
  <ds:schemaRefs>
    <ds:schemaRef ds:uri="http://schemas.microsoft.com/office/infopath/2007/PartnerControls"/>
    <ds:schemaRef ds:uri="http://schemas.openxmlformats.org/package/2006/metadata/core-properties"/>
    <ds:schemaRef ds:uri="http://www.w3.org/XML/1998/namespace"/>
    <ds:schemaRef ds:uri="http://schemas.microsoft.com/office/2006/metadata/properties"/>
    <ds:schemaRef ds:uri="http://purl.org/dc/elements/1.1/"/>
    <ds:schemaRef ds:uri="http://schemas.microsoft.com/office/2006/documentManagement/types"/>
    <ds:schemaRef ds:uri="http://purl.org/dc/terms/"/>
    <ds:schemaRef ds:uri="ecc769bc-17dd-4a74-a7c0-5f453234b863"/>
    <ds:schemaRef ds:uri="http://purl.org/dc/dcmitype/"/>
  </ds:schemaRefs>
</ds:datastoreItem>
</file>

<file path=customXml/itemProps3.xml><?xml version="1.0" encoding="utf-8"?>
<ds:datastoreItem xmlns:ds="http://schemas.openxmlformats.org/officeDocument/2006/customXml" ds:itemID="{FB1C85F7-B9CF-42BE-A311-B3AB565EAE5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INPUT</vt:lpstr>
      <vt:lpstr>tx</vt:lpstr>
      <vt:lpstr>Wind Shell</vt:lpstr>
      <vt:lpstr>Top angle Design</vt:lpstr>
      <vt:lpstr>Intermediate angle Design </vt:lpstr>
      <vt:lpstr>Angle Properties</vt:lpstr>
      <vt:lpstr>Wind speed</vt:lpstr>
      <vt:lpstr>VDP Method</vt:lpstr>
      <vt:lpstr>Summary of shell design</vt:lpstr>
      <vt:lpstr>1-Foot Method</vt:lpstr>
      <vt:lpstr>section moduli</vt:lpstr>
      <vt:lpstr>Material</vt:lpstr>
      <vt:lpstr>dx</vt:lpstr>
      <vt:lpstr>INPUT!Criteria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Lenovo</dc:creator>
  <cp:keywords/>
  <dc:description/>
  <cp:lastModifiedBy>Zhang, Tao</cp:lastModifiedBy>
  <cp:revision/>
  <dcterms:created xsi:type="dcterms:W3CDTF">2021-08-29T14:01:06Z</dcterms:created>
  <dcterms:modified xsi:type="dcterms:W3CDTF">2021-11-12T04:53:03Z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0x0101004111AB3074F2C34BA13EDBDD9A6D1964</vt:lpwstr>
  </property>
</Properties>
</file>