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Substantive testing stage work/1. Significant risk/2 Revenue/"/>
    </mc:Choice>
  </mc:AlternateContent>
  <xr:revisionPtr revIDLastSave="15" documentId="11_F25DC773A252ABDACC104855F1197FF05ADE58ED" xr6:coauthVersionLast="46" xr6:coauthVersionMax="46" xr10:uidLastSave="{60E30668-D226-4A63-BC35-8D312701636B}"/>
  <bookViews>
    <workbookView xWindow="0" yWindow="0" windowWidth="19200" windowHeight="10800" xr2:uid="{00000000-000D-0000-FFFF-FFFF00000000}"/>
  </bookViews>
  <sheets>
    <sheet name="Population for substantive" sheetId="1" r:id="rId1"/>
    <sheet name="MUS 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4" i="1" l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  <c r="E2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E32DB99A-1E0C-4A61-874C-A8DD362BDDF8}">
      <text>
        <r>
          <rPr>
            <b/>
            <sz val="9"/>
            <color indexed="81"/>
            <rFont val="Tahoma"/>
            <family val="2"/>
          </rPr>
          <t xml:space="preserve">Monetary Unit Sampling
1/18/2022 10:20:39 AM
</t>
        </r>
        <r>
          <rPr>
            <sz val="9"/>
            <color indexed="81"/>
            <rFont val="Tahoma"/>
            <family val="2"/>
          </rPr>
          <t xml:space="preserve">Source: Sales.XLSX - Population for substantive
Applicable Risk Level: Significant / Higher / Lower_x000D_
Amount Column: Sum of Amount in Local Currency_x000D_
Performance Materiality: 100385676_x000D_
Risk Level: Significant Risk with Control Reliance_x000D_
Select all items over performance materiality: Yes_x000D_
Total population size of absolute value items: 478,982,839.23_x000D_
Number of High Value: 0_x000D_
Value of High Value Items: 0.00_x000D_
Value of remaining population: 478,982,839.23_x000D_
Smaller population: No_x000D_
Number of Record in Population: _x000D_
Minimum sample size: 6_x000D_
Sample size: 6_x000D_
Seed: 5576982_x000D_
Sampling Interval: 79,830,473.21_x000D_
Starting dollar: 23,934,805.11_x000D_
Net population subject to sampling: -478,982,839.23_x000D_
Multiples of Population / MP: 4.77_x000D_
</t>
        </r>
      </text>
    </comment>
  </commentList>
</comments>
</file>

<file path=xl/sharedStrings.xml><?xml version="1.0" encoding="utf-8"?>
<sst xmlns="http://schemas.openxmlformats.org/spreadsheetml/2006/main" count="252" uniqueCount="239">
  <si>
    <t>TC_SAMPLE_NO</t>
  </si>
  <si>
    <t>TC_MUS_HV</t>
  </si>
  <si>
    <t>TC_TIMES_SELECTED</t>
  </si>
  <si>
    <t>TC_RECORD_NO</t>
  </si>
  <si>
    <t>Sum of Amount in Local Currency</t>
  </si>
  <si>
    <t>MUS ITEMS</t>
  </si>
  <si>
    <t>1200000012</t>
  </si>
  <si>
    <t>1200000050</t>
  </si>
  <si>
    <t>1200000089</t>
  </si>
  <si>
    <t>1200000125</t>
  </si>
  <si>
    <t>1200000168</t>
  </si>
  <si>
    <t>1200000202</t>
  </si>
  <si>
    <t>Serial</t>
  </si>
  <si>
    <t>Document Number</t>
  </si>
  <si>
    <t>Document Date</t>
  </si>
  <si>
    <t>Postig date</t>
  </si>
  <si>
    <t>Sum of Amount in BDT</t>
  </si>
  <si>
    <t>Tickmark</t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</si>
  <si>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</si>
  <si>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</si>
  <si>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</si>
  <si>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</si>
  <si>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</si>
  <si>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</si>
  <si>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</si>
  <si>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</si>
  <si>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</si>
  <si>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</si>
  <si>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</si>
  <si>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</si>
  <si>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(a)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</si>
  <si>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</si>
  <si>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</si>
  <si>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</si>
  <si>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</si>
  <si>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</si>
  <si>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</si>
  <si>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</si>
  <si>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</si>
  <si>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</si>
  <si>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</si>
  <si>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</si>
  <si>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</si>
  <si>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</si>
  <si>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</si>
  <si>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</si>
  <si>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</si>
  <si>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</si>
  <si>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</si>
  <si>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</si>
  <si>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</si>
  <si>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</si>
  <si>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</si>
  <si>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</si>
  <si>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</si>
  <si>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</si>
  <si>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</si>
  <si>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</si>
  <si>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</si>
  <si>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</si>
  <si>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</si>
  <si>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</si>
  <si>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</si>
  <si>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</si>
  <si>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</si>
  <si>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</si>
  <si>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</si>
  <si>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</si>
  <si>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</si>
  <si>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</si>
  <si>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</si>
  <si>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</si>
  <si>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</si>
  <si>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</si>
  <si>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</si>
  <si>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</si>
  <si>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</si>
  <si>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</si>
  <si>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</si>
  <si>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</si>
  <si>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</si>
  <si>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</si>
  <si>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</si>
  <si>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</si>
  <si>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</si>
  <si>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</si>
  <si>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</si>
  <si>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</si>
  <si>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</si>
  <si>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</si>
  <si>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</si>
  <si>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</si>
  <si>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</si>
  <si>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</si>
  <si>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</si>
  <si>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</si>
  <si>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</si>
  <si>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</si>
  <si>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</si>
  <si>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</si>
  <si>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</si>
  <si>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</si>
  <si>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</si>
  <si>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</si>
  <si>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</si>
  <si>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</si>
  <si>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</si>
  <si>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</si>
  <si>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</si>
  <si>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</si>
  <si>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</si>
  <si>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</si>
  <si>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</si>
  <si>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</si>
  <si>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</si>
  <si>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</si>
  <si>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</si>
  <si>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</si>
  <si>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</si>
  <si>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</si>
  <si>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</si>
  <si>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</si>
  <si>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</si>
  <si>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</si>
  <si>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</si>
  <si>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</si>
  <si>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</si>
  <si>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</si>
  <si>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</si>
  <si>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</si>
  <si>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</si>
  <si>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</si>
  <si>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</si>
  <si>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</si>
  <si>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</si>
  <si>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</si>
  <si>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</si>
  <si>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</si>
  <si>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</si>
  <si>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</si>
  <si>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</si>
  <si>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</si>
  <si>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</si>
  <si>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</si>
  <si>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</si>
  <si>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</si>
  <si>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</si>
  <si>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</si>
  <si>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</si>
  <si>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</si>
  <si>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</si>
  <si>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</si>
  <si>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</si>
  <si>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</si>
  <si>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</si>
  <si>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</si>
  <si>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</si>
  <si>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</si>
  <si>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</si>
  <si>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</si>
  <si>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</si>
  <si>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</si>
  <si>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</si>
  <si>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</si>
  <si>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</si>
  <si>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</si>
  <si>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</si>
  <si>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</si>
  <si>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</si>
  <si>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</si>
  <si>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</si>
  <si>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</si>
  <si>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</si>
  <si>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</si>
  <si>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</si>
  <si>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</si>
  <si>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</si>
  <si>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</si>
  <si>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</si>
  <si>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</si>
  <si>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</si>
  <si>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</si>
  <si>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</si>
  <si>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</si>
  <si>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</si>
  <si>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</si>
  <si>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</si>
  <si>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</si>
  <si>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</si>
  <si>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</si>
  <si>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</si>
  <si>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</si>
  <si>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</si>
  <si>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</si>
  <si>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</si>
  <si>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</si>
  <si>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</si>
  <si>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</si>
  <si>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</si>
  <si>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</si>
  <si>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</si>
  <si>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</si>
  <si>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</si>
  <si>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</si>
  <si>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</si>
  <si>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</si>
  <si>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</si>
  <si>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</si>
  <si>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</si>
  <si>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</si>
  <si>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</si>
  <si>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</si>
  <si>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</si>
  <si>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</si>
  <si>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</si>
  <si>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</si>
  <si>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</si>
  <si>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</si>
  <si>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</si>
  <si>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</si>
  <si>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</si>
  <si>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</si>
  <si>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</si>
  <si>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</si>
  <si>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</si>
  <si>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</si>
  <si>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</si>
  <si>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</si>
  <si>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</si>
  <si>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</si>
  <si>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</si>
  <si>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</si>
  <si>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</si>
  <si>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</si>
  <si>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</si>
  <si>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</si>
  <si>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 xml:space="preserve">Total </t>
  </si>
  <si>
    <t>For preparing population for substantive testing we had to exclude 1 item which had already been used for D&amp;I testing</t>
  </si>
  <si>
    <t>Docrument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</si>
</sst>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2" applyFont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2" fillId="0" borderId="0" xfId="2" applyAlignment="1">
      <alignment vertical="top"/>
    </xf>
    <xf numFmtId="0" fontId="2" fillId="0" borderId="1" xfId="2" applyBorder="1" applyAlignment="1">
      <alignment horizontal="left" vertical="top"/>
    </xf>
    <xf numFmtId="0" fontId="2" fillId="0" borderId="1" xfId="2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5" fontId="0" fillId="0" borderId="1" xfId="1" applyNumberFormat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5" fontId="7" fillId="0" borderId="1" xfId="1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2" xfId="2" xr:uid="{47BED003-70DC-4FD2-843E-590DCC88B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workbookViewId="0">
      <selection activeCell="D215" sqref="D215"/>
    </sheetView>
  </sheetViews>
  <sheetFormatPr defaultRowHeight="14.5" x14ac:dyDescent="0.35"/>
  <cols>
    <col min="3" max="3" width="14.08984375" bestFit="1" customWidth="1"/>
    <col min="4" max="4" width="10.54296875" bestFit="1" customWidth="1"/>
    <col min="5" max="5" width="20.6328125" bestFit="1" customWidth="1"/>
  </cols>
  <sheetData>
    <row r="1" spans="1:11" x14ac:dyDescent="0.35">
      <c r="A1" s="6" t="s">
        <v>12</v>
      </c>
      <c r="B1" s="6" t="s">
        <v>13</v>
      </c>
      <c r="C1" s="6" t="s">
        <v>14</v>
      </c>
      <c r="D1" s="6" t="s">
        <v>15</v>
      </c>
      <c r="E1" s="7" t="s">
        <v>16</v>
      </c>
      <c r="F1" s="7" t="s">
        <v>17</v>
      </c>
      <c r="G1" s="8"/>
      <c r="H1" s="8"/>
      <c r="I1" s="8"/>
      <c r="J1" s="8"/>
      <c r="K1" s="8"/>
    </row>
    <row r="2" spans="1:11" x14ac:dyDescent="0.35">
      <c r="A2" s="9">
        <v>1</v>
      </c>
      <c r="B2" s="10" t="s">
        <v>18</v>
      </c>
      <c r="C2" s="11">
        <v>44197</v>
      </c>
      <c r="D2" s="11">
        <v>44197</v>
      </c>
      <c r="E2" s="12">
        <f>-2222565*(-1)</f>
        <v>2222565</v>
      </c>
      <c r="F2" s="9"/>
      <c r="G2" s="8"/>
      <c r="H2" s="8"/>
      <c r="I2" s="8"/>
      <c r="J2" s="8"/>
      <c r="K2" s="8"/>
    </row>
    <row r="3" spans="1:11" x14ac:dyDescent="0.35">
      <c r="A3" s="9">
        <v>2</v>
      </c>
      <c r="B3" s="10" t="s">
        <v>19</v>
      </c>
      <c r="C3" s="11">
        <v>44199</v>
      </c>
      <c r="D3" s="11">
        <v>44199</v>
      </c>
      <c r="E3" s="12">
        <f>-2183030.93*(-1)</f>
        <v>2183030.9300000002</v>
      </c>
      <c r="F3" s="9"/>
      <c r="G3" s="8"/>
      <c r="H3" s="8"/>
      <c r="I3" s="8"/>
      <c r="J3" s="8"/>
      <c r="K3" s="8"/>
    </row>
    <row r="4" spans="1:11" x14ac:dyDescent="0.35">
      <c r="A4" s="9">
        <v>3</v>
      </c>
      <c r="B4" s="10" t="s">
        <v>20</v>
      </c>
      <c r="C4" s="11">
        <v>44201</v>
      </c>
      <c r="D4" s="11">
        <v>44201</v>
      </c>
      <c r="E4" s="12">
        <f>-426417.78*(-1)</f>
        <v>426417.77999999997</v>
      </c>
      <c r="F4" s="9"/>
      <c r="G4" s="8"/>
      <c r="H4" s="8"/>
      <c r="I4" s="8"/>
      <c r="J4" s="8"/>
      <c r="K4" s="8"/>
    </row>
    <row r="5" spans="1:11" x14ac:dyDescent="0.35">
      <c r="A5" s="9">
        <v>4</v>
      </c>
      <c r="B5" s="10" t="s">
        <v>21</v>
      </c>
      <c r="C5" s="11">
        <v>44201</v>
      </c>
      <c r="D5" s="11">
        <v>44201</v>
      </c>
      <c r="E5" s="12">
        <f>-2358279.16*(-1)</f>
        <v>2358279.16</v>
      </c>
      <c r="F5" s="9"/>
      <c r="G5" s="8"/>
      <c r="H5" s="8"/>
      <c r="I5" s="8"/>
      <c r="J5" s="8"/>
      <c r="K5" s="8"/>
    </row>
    <row r="6" spans="1:11" x14ac:dyDescent="0.35">
      <c r="A6" s="9">
        <v>5</v>
      </c>
      <c r="B6" s="10" t="s">
        <v>22</v>
      </c>
      <c r="C6" s="11">
        <v>44203</v>
      </c>
      <c r="D6" s="11">
        <v>44203</v>
      </c>
      <c r="E6" s="12">
        <f>-2201519.52*(-1)</f>
        <v>2201519.52</v>
      </c>
      <c r="F6" s="9"/>
      <c r="G6" s="8"/>
      <c r="H6" s="8"/>
      <c r="I6" s="8"/>
      <c r="J6" s="8"/>
      <c r="K6" s="8"/>
    </row>
    <row r="7" spans="1:11" x14ac:dyDescent="0.35">
      <c r="A7" s="9">
        <v>6</v>
      </c>
      <c r="B7" s="10" t="s">
        <v>23</v>
      </c>
      <c r="C7" s="11">
        <v>44203</v>
      </c>
      <c r="D7" s="11">
        <v>44203</v>
      </c>
      <c r="E7" s="12">
        <f>-2102192.49*(-1)</f>
        <v>2102192.4900000002</v>
      </c>
      <c r="F7" s="9"/>
      <c r="G7" s="8"/>
      <c r="H7" s="8"/>
      <c r="I7" s="8"/>
      <c r="J7" s="8"/>
      <c r="K7" s="8"/>
    </row>
    <row r="8" spans="1:11" x14ac:dyDescent="0.35">
      <c r="A8" s="9">
        <v>7</v>
      </c>
      <c r="B8" s="10" t="s">
        <v>24</v>
      </c>
      <c r="C8" s="11">
        <v>44207</v>
      </c>
      <c r="D8" s="11">
        <v>44207</v>
      </c>
      <c r="E8" s="12">
        <f>-2221581.61*(-1)</f>
        <v>2221581.61</v>
      </c>
      <c r="F8" s="9"/>
      <c r="G8" s="8"/>
      <c r="H8" s="8"/>
      <c r="I8" s="8"/>
      <c r="J8" s="8"/>
      <c r="K8" s="8"/>
    </row>
    <row r="9" spans="1:11" x14ac:dyDescent="0.35">
      <c r="A9" s="9">
        <v>8</v>
      </c>
      <c r="B9" s="10" t="s">
        <v>25</v>
      </c>
      <c r="C9" s="11">
        <v>44208</v>
      </c>
      <c r="D9" s="11">
        <v>44208</v>
      </c>
      <c r="E9" s="12">
        <f>-2100225.63*(-1)</f>
        <v>2100225.63</v>
      </c>
      <c r="F9" s="9"/>
      <c r="G9" s="8"/>
      <c r="H9" s="8"/>
      <c r="I9" s="8"/>
      <c r="J9" s="8"/>
      <c r="K9" s="8"/>
    </row>
    <row r="10" spans="1:11" x14ac:dyDescent="0.35">
      <c r="A10" s="9">
        <v>9</v>
      </c>
      <c r="B10" s="10" t="s">
        <v>26</v>
      </c>
      <c r="C10" s="11">
        <v>44209</v>
      </c>
      <c r="D10" s="11">
        <v>44209</v>
      </c>
      <c r="E10" s="12">
        <f>-2591943.52*(-1)</f>
        <v>2591943.5200000005</v>
      </c>
      <c r="F10" s="9"/>
      <c r="G10" s="8"/>
      <c r="H10" s="8"/>
      <c r="I10" s="8"/>
      <c r="J10" s="8"/>
      <c r="K10" s="8"/>
    </row>
    <row r="11" spans="1:11" x14ac:dyDescent="0.35">
      <c r="A11" s="9">
        <v>10</v>
      </c>
      <c r="B11" s="10" t="s">
        <v>27</v>
      </c>
      <c r="C11" s="11">
        <v>44210</v>
      </c>
      <c r="D11" s="11">
        <v>44210</v>
      </c>
      <c r="E11" s="12">
        <f>-2230629.19*(-1)</f>
        <v>2230629.19</v>
      </c>
      <c r="F11" s="9"/>
      <c r="G11" s="8"/>
      <c r="H11" s="8"/>
      <c r="I11" s="8"/>
      <c r="J11" s="8"/>
      <c r="K11" s="8"/>
    </row>
    <row r="12" spans="1:11" x14ac:dyDescent="0.35">
      <c r="A12" s="9">
        <v>11</v>
      </c>
      <c r="B12" s="10" t="s">
        <v>28</v>
      </c>
      <c r="C12" s="11">
        <v>44213</v>
      </c>
      <c r="D12" s="11">
        <v>44213</v>
      </c>
      <c r="E12" s="12">
        <f>-2165132.37*(-1)</f>
        <v>2165132.37</v>
      </c>
      <c r="F12" s="9"/>
      <c r="G12" s="8"/>
      <c r="H12" s="8"/>
      <c r="I12" s="8"/>
      <c r="J12" s="8"/>
      <c r="K12" s="8"/>
    </row>
    <row r="13" spans="1:11" x14ac:dyDescent="0.35">
      <c r="A13" s="9">
        <v>12</v>
      </c>
      <c r="B13" s="13" t="s">
        <v>29</v>
      </c>
      <c r="C13" s="14">
        <v>44213</v>
      </c>
      <c r="D13" s="14">
        <v>44213</v>
      </c>
      <c r="E13" s="15">
        <v>2133072.37</v>
      </c>
      <c r="F13" s="16" t="s">
        <v>30</v>
      </c>
      <c r="G13" s="8"/>
      <c r="H13" s="8"/>
      <c r="I13" s="8"/>
      <c r="J13" s="8"/>
      <c r="K13" s="8"/>
    </row>
    <row r="14" spans="1:11" x14ac:dyDescent="0.35">
      <c r="A14" s="9">
        <v>13</v>
      </c>
      <c r="B14" s="10" t="s">
        <v>6</v>
      </c>
      <c r="C14" s="11">
        <v>44217</v>
      </c>
      <c r="D14" s="11">
        <v>44217</v>
      </c>
      <c r="E14" s="12">
        <f>-2698547.95*(-1)</f>
        <v>2698547.95</v>
      </c>
      <c r="F14" s="9"/>
      <c r="G14" s="8"/>
      <c r="H14" s="8"/>
      <c r="I14" s="8"/>
      <c r="J14" s="8"/>
      <c r="K14" s="8"/>
    </row>
    <row r="15" spans="1:11" x14ac:dyDescent="0.35">
      <c r="A15" s="9">
        <v>14</v>
      </c>
      <c r="B15" s="10" t="s">
        <v>31</v>
      </c>
      <c r="C15" s="11">
        <v>44217</v>
      </c>
      <c r="D15" s="11">
        <v>44217</v>
      </c>
      <c r="E15" s="12">
        <f>-2309304.06*(-1)</f>
        <v>2309304.06</v>
      </c>
      <c r="F15" s="9"/>
      <c r="G15" s="8"/>
      <c r="H15" s="8"/>
      <c r="I15" s="8"/>
      <c r="J15" s="8"/>
      <c r="K15" s="8"/>
    </row>
    <row r="16" spans="1:11" x14ac:dyDescent="0.35">
      <c r="A16" s="9">
        <v>15</v>
      </c>
      <c r="B16" s="10" t="s">
        <v>32</v>
      </c>
      <c r="C16" s="11">
        <v>44219</v>
      </c>
      <c r="D16" s="11">
        <v>44219</v>
      </c>
      <c r="E16" s="12">
        <f>-2138186.26*(-1)</f>
        <v>2138186.2599999998</v>
      </c>
      <c r="F16" s="9"/>
      <c r="G16" s="8"/>
      <c r="H16" s="8"/>
      <c r="I16" s="8"/>
      <c r="J16" s="8"/>
      <c r="K16" s="8"/>
    </row>
    <row r="17" spans="1:11" x14ac:dyDescent="0.35">
      <c r="A17" s="9">
        <v>16</v>
      </c>
      <c r="B17" s="10" t="s">
        <v>33</v>
      </c>
      <c r="C17" s="11">
        <v>44221</v>
      </c>
      <c r="D17" s="11">
        <v>44221</v>
      </c>
      <c r="E17" s="12">
        <f>-2129728.69*(-1)</f>
        <v>2129728.69</v>
      </c>
      <c r="F17" s="9"/>
      <c r="G17" s="8"/>
      <c r="H17" s="8"/>
      <c r="I17" s="8"/>
      <c r="J17" s="8"/>
      <c r="K17" s="8"/>
    </row>
    <row r="18" spans="1:11" x14ac:dyDescent="0.35">
      <c r="A18" s="9">
        <v>17</v>
      </c>
      <c r="B18" s="10" t="s">
        <v>34</v>
      </c>
      <c r="C18" s="11">
        <v>44222</v>
      </c>
      <c r="D18" s="11">
        <v>44222</v>
      </c>
      <c r="E18" s="12">
        <f>-2265246.16*(-1)</f>
        <v>2265246.1599999997</v>
      </c>
      <c r="F18" s="9"/>
      <c r="G18" s="8"/>
      <c r="H18" s="8"/>
      <c r="I18" s="8"/>
      <c r="J18" s="8"/>
      <c r="K18" s="8"/>
    </row>
    <row r="19" spans="1:11" x14ac:dyDescent="0.35">
      <c r="A19" s="9">
        <v>18</v>
      </c>
      <c r="B19" s="10" t="s">
        <v>35</v>
      </c>
      <c r="C19" s="11">
        <v>44223</v>
      </c>
      <c r="D19" s="11">
        <v>44223</v>
      </c>
      <c r="E19" s="12">
        <f>-2135039.25*(-1)</f>
        <v>2135039.25</v>
      </c>
      <c r="F19" s="9"/>
      <c r="G19" s="8"/>
      <c r="H19" s="8"/>
      <c r="I19" s="8"/>
      <c r="J19" s="8"/>
      <c r="K19" s="8"/>
    </row>
    <row r="20" spans="1:11" x14ac:dyDescent="0.35">
      <c r="A20" s="9">
        <v>19</v>
      </c>
      <c r="B20" s="10" t="s">
        <v>36</v>
      </c>
      <c r="C20" s="11">
        <v>44224</v>
      </c>
      <c r="D20" s="11">
        <v>44224</v>
      </c>
      <c r="E20" s="12">
        <f>-2238300.01*(-1)</f>
        <v>2238300.0100000002</v>
      </c>
      <c r="F20" s="9"/>
      <c r="G20" s="8"/>
      <c r="H20" s="8"/>
      <c r="I20" s="8"/>
      <c r="J20" s="8"/>
      <c r="K20" s="8"/>
    </row>
    <row r="21" spans="1:11" x14ac:dyDescent="0.35">
      <c r="A21" s="9">
        <v>20</v>
      </c>
      <c r="B21" s="10" t="s">
        <v>37</v>
      </c>
      <c r="C21" s="11">
        <v>44224</v>
      </c>
      <c r="D21" s="11">
        <v>44224</v>
      </c>
      <c r="E21" s="12">
        <f>-2162772.12*(-1)</f>
        <v>2162772.12</v>
      </c>
      <c r="F21" s="9"/>
      <c r="G21" s="8"/>
      <c r="H21" s="8"/>
      <c r="I21" s="8"/>
      <c r="J21" s="8"/>
      <c r="K21" s="8"/>
    </row>
    <row r="22" spans="1:11" x14ac:dyDescent="0.35">
      <c r="A22" s="9">
        <v>21</v>
      </c>
      <c r="B22" s="10" t="s">
        <v>38</v>
      </c>
      <c r="C22" s="11">
        <v>44228</v>
      </c>
      <c r="D22" s="11">
        <v>44228</v>
      </c>
      <c r="E22" s="12">
        <f>-2068165.62*(-1)</f>
        <v>2068165.6199999999</v>
      </c>
      <c r="F22" s="9"/>
      <c r="G22" s="8"/>
      <c r="H22" s="8"/>
      <c r="I22" s="8"/>
      <c r="J22" s="8"/>
      <c r="K22" s="8"/>
    </row>
    <row r="23" spans="1:11" x14ac:dyDescent="0.35">
      <c r="A23" s="9">
        <v>22</v>
      </c>
      <c r="B23" s="10" t="s">
        <v>39</v>
      </c>
      <c r="C23" s="11">
        <v>44228</v>
      </c>
      <c r="D23" s="11">
        <v>44228</v>
      </c>
      <c r="E23" s="12">
        <f>-2146643.78*(-1)</f>
        <v>2146643.7799999998</v>
      </c>
      <c r="F23" s="9"/>
      <c r="G23" s="8"/>
      <c r="H23" s="8"/>
      <c r="I23" s="8"/>
      <c r="J23" s="8"/>
      <c r="K23" s="8"/>
    </row>
    <row r="24" spans="1:11" x14ac:dyDescent="0.35">
      <c r="A24" s="9">
        <v>23</v>
      </c>
      <c r="B24" s="10" t="s">
        <v>40</v>
      </c>
      <c r="C24" s="11">
        <v>44229</v>
      </c>
      <c r="D24" s="11">
        <v>44229</v>
      </c>
      <c r="E24" s="12">
        <f>-2383848.48*(-1)</f>
        <v>2383848.48</v>
      </c>
      <c r="F24" s="9"/>
      <c r="G24" s="8"/>
      <c r="H24" s="8"/>
      <c r="I24" s="8"/>
      <c r="J24" s="8"/>
      <c r="K24" s="8"/>
    </row>
    <row r="25" spans="1:11" x14ac:dyDescent="0.35">
      <c r="A25" s="9">
        <v>24</v>
      </c>
      <c r="B25" s="10" t="s">
        <v>41</v>
      </c>
      <c r="C25" s="11">
        <v>44231</v>
      </c>
      <c r="D25" s="11">
        <v>44231</v>
      </c>
      <c r="E25" s="12">
        <f>-2146250.4*(-1)</f>
        <v>2146250.4</v>
      </c>
      <c r="F25" s="9"/>
      <c r="G25" s="8"/>
      <c r="H25" s="8"/>
      <c r="I25" s="8"/>
      <c r="J25" s="8"/>
      <c r="K25" s="8"/>
    </row>
    <row r="26" spans="1:11" x14ac:dyDescent="0.35">
      <c r="A26" s="9">
        <v>25</v>
      </c>
      <c r="B26" s="10" t="s">
        <v>42</v>
      </c>
      <c r="C26" s="11">
        <v>44233</v>
      </c>
      <c r="D26" s="11">
        <v>44233</v>
      </c>
      <c r="E26" s="12">
        <f>-2110453.36*(-1)</f>
        <v>2110453.36</v>
      </c>
      <c r="F26" s="9"/>
      <c r="G26" s="8"/>
      <c r="H26" s="8"/>
      <c r="I26" s="8"/>
      <c r="J26" s="8"/>
      <c r="K26" s="8"/>
    </row>
    <row r="27" spans="1:11" x14ac:dyDescent="0.35">
      <c r="A27" s="9">
        <v>26</v>
      </c>
      <c r="B27" s="10" t="s">
        <v>43</v>
      </c>
      <c r="C27" s="11">
        <v>44234</v>
      </c>
      <c r="D27" s="11">
        <v>44234</v>
      </c>
      <c r="E27" s="12">
        <f>-2174770.05*(-1)</f>
        <v>2174770.0499999998</v>
      </c>
      <c r="F27" s="9"/>
      <c r="G27" s="8"/>
      <c r="H27" s="8"/>
      <c r="I27" s="8"/>
      <c r="J27" s="8"/>
      <c r="K27" s="8"/>
    </row>
    <row r="28" spans="1:11" x14ac:dyDescent="0.35">
      <c r="A28" s="9">
        <v>27</v>
      </c>
      <c r="B28" s="10" t="s">
        <v>44</v>
      </c>
      <c r="C28" s="11">
        <v>44235</v>
      </c>
      <c r="D28" s="11">
        <v>44235</v>
      </c>
      <c r="E28" s="12">
        <f>-2101405.75*(-1)</f>
        <v>2101405.75</v>
      </c>
      <c r="F28" s="9"/>
      <c r="G28" s="8"/>
      <c r="H28" s="8"/>
      <c r="I28" s="8"/>
      <c r="J28" s="8"/>
      <c r="K28" s="8"/>
    </row>
    <row r="29" spans="1:11" x14ac:dyDescent="0.35">
      <c r="A29" s="9">
        <v>28</v>
      </c>
      <c r="B29" s="10" t="s">
        <v>45</v>
      </c>
      <c r="C29" s="11">
        <v>44237</v>
      </c>
      <c r="D29" s="11">
        <v>44237</v>
      </c>
      <c r="E29" s="12">
        <f>-2284718.18*(-1)</f>
        <v>2284718.1800000002</v>
      </c>
      <c r="F29" s="9"/>
      <c r="G29" s="8"/>
      <c r="H29" s="8"/>
      <c r="I29" s="8"/>
      <c r="J29" s="8"/>
      <c r="K29" s="8"/>
    </row>
    <row r="30" spans="1:11" x14ac:dyDescent="0.35">
      <c r="A30" s="9">
        <v>29</v>
      </c>
      <c r="B30" s="10" t="s">
        <v>46</v>
      </c>
      <c r="C30" s="11">
        <v>44238</v>
      </c>
      <c r="D30" s="11">
        <v>44238</v>
      </c>
      <c r="E30" s="12">
        <f>-52173.86*(-1)</f>
        <v>52173.86</v>
      </c>
      <c r="F30" s="9"/>
      <c r="G30" s="8"/>
      <c r="H30" s="8"/>
      <c r="I30" s="8"/>
      <c r="J30" s="8"/>
      <c r="K30" s="8"/>
    </row>
    <row r="31" spans="1:11" x14ac:dyDescent="0.35">
      <c r="A31" s="9">
        <v>30</v>
      </c>
      <c r="B31" s="10" t="s">
        <v>47</v>
      </c>
      <c r="C31" s="11">
        <v>44238</v>
      </c>
      <c r="D31" s="11">
        <v>44238</v>
      </c>
      <c r="E31" s="12">
        <f>-2050660.45*(-1)</f>
        <v>2050660.4500000002</v>
      </c>
      <c r="F31" s="9"/>
      <c r="G31" s="8"/>
      <c r="H31" s="8"/>
      <c r="I31" s="8"/>
      <c r="J31" s="8"/>
      <c r="K31" s="8"/>
    </row>
    <row r="32" spans="1:11" x14ac:dyDescent="0.35">
      <c r="A32" s="9">
        <v>31</v>
      </c>
      <c r="B32" s="10" t="s">
        <v>48</v>
      </c>
      <c r="C32" s="11">
        <v>44241</v>
      </c>
      <c r="D32" s="11">
        <v>44241</v>
      </c>
      <c r="E32" s="12">
        <f>-2339790.58*(-1)</f>
        <v>2339790.58</v>
      </c>
      <c r="F32" s="9"/>
      <c r="G32" s="8"/>
      <c r="H32" s="8"/>
      <c r="I32" s="8"/>
      <c r="J32" s="8"/>
      <c r="K32" s="8"/>
    </row>
    <row r="33" spans="1:11" x14ac:dyDescent="0.35">
      <c r="A33" s="9">
        <v>32</v>
      </c>
      <c r="B33" s="10" t="s">
        <v>49</v>
      </c>
      <c r="C33" s="11">
        <v>44242</v>
      </c>
      <c r="D33" s="11">
        <v>44242</v>
      </c>
      <c r="E33" s="12">
        <f>-1916716.54*(-1)</f>
        <v>1916716.54</v>
      </c>
      <c r="F33" s="9"/>
      <c r="G33" s="8"/>
      <c r="H33" s="8"/>
      <c r="I33" s="8"/>
      <c r="J33" s="8"/>
      <c r="K33" s="8"/>
    </row>
    <row r="34" spans="1:11" x14ac:dyDescent="0.35">
      <c r="A34" s="9">
        <v>33</v>
      </c>
      <c r="B34" s="10" t="s">
        <v>50</v>
      </c>
      <c r="C34" s="11">
        <v>44243</v>
      </c>
      <c r="D34" s="11">
        <v>44243</v>
      </c>
      <c r="E34" s="12">
        <f>-2106519.61*(-1)</f>
        <v>2106519.61</v>
      </c>
      <c r="F34" s="9"/>
      <c r="G34" s="8"/>
      <c r="H34" s="8"/>
      <c r="I34" s="8"/>
      <c r="J34" s="8"/>
      <c r="K34" s="8"/>
    </row>
    <row r="35" spans="1:11" x14ac:dyDescent="0.35">
      <c r="A35" s="9">
        <v>34</v>
      </c>
      <c r="B35" s="10" t="s">
        <v>51</v>
      </c>
      <c r="C35" s="11">
        <v>44244</v>
      </c>
      <c r="D35" s="11">
        <v>44244</v>
      </c>
      <c r="E35" s="12">
        <f>-2351788.51*(-1)</f>
        <v>2351788.5100000002</v>
      </c>
      <c r="F35" s="9"/>
      <c r="G35" s="8"/>
      <c r="H35" s="8"/>
      <c r="I35" s="8"/>
      <c r="J35" s="8"/>
      <c r="K35" s="8"/>
    </row>
    <row r="36" spans="1:11" x14ac:dyDescent="0.35">
      <c r="A36" s="9">
        <v>35</v>
      </c>
      <c r="B36" s="10" t="s">
        <v>52</v>
      </c>
      <c r="C36" s="11">
        <v>44247</v>
      </c>
      <c r="D36" s="11">
        <v>44247</v>
      </c>
      <c r="E36" s="12">
        <f>-2385028.61*(-1)</f>
        <v>2385028.61</v>
      </c>
      <c r="F36" s="9"/>
      <c r="G36" s="8"/>
      <c r="H36" s="8"/>
      <c r="I36" s="8"/>
      <c r="J36" s="8"/>
      <c r="K36" s="8"/>
    </row>
    <row r="37" spans="1:11" x14ac:dyDescent="0.35">
      <c r="A37" s="9">
        <v>36</v>
      </c>
      <c r="B37" s="10" t="s">
        <v>53</v>
      </c>
      <c r="C37" s="11">
        <v>44249</v>
      </c>
      <c r="D37" s="11">
        <v>44249</v>
      </c>
      <c r="E37" s="12">
        <f>-2160215.22*(-1)</f>
        <v>2160215.2199999997</v>
      </c>
      <c r="F37" s="9"/>
      <c r="G37" s="8"/>
      <c r="H37" s="8"/>
      <c r="I37" s="8"/>
      <c r="J37" s="8"/>
      <c r="K37" s="8"/>
    </row>
    <row r="38" spans="1:11" x14ac:dyDescent="0.35">
      <c r="A38" s="9">
        <v>37</v>
      </c>
      <c r="B38" s="10" t="s">
        <v>54</v>
      </c>
      <c r="C38" s="11">
        <v>44251</v>
      </c>
      <c r="D38" s="11">
        <v>44251</v>
      </c>
      <c r="E38" s="12">
        <f>-2142513.35*(-1)</f>
        <v>2142513.35</v>
      </c>
      <c r="F38" s="9"/>
      <c r="G38" s="8"/>
      <c r="H38" s="8"/>
      <c r="I38" s="8"/>
      <c r="J38" s="8"/>
      <c r="K38" s="8"/>
    </row>
    <row r="39" spans="1:11" x14ac:dyDescent="0.35">
      <c r="A39" s="9">
        <v>38</v>
      </c>
      <c r="B39" s="10" t="s">
        <v>55</v>
      </c>
      <c r="C39" s="11">
        <v>44252</v>
      </c>
      <c r="D39" s="11">
        <v>44252</v>
      </c>
      <c r="E39" s="12">
        <f>-424844.29*(-1)</f>
        <v>424844.29000000004</v>
      </c>
      <c r="F39" s="9"/>
      <c r="G39" s="8"/>
      <c r="H39" s="8"/>
      <c r="I39" s="8"/>
      <c r="J39" s="8"/>
      <c r="K39" s="8"/>
    </row>
    <row r="40" spans="1:11" x14ac:dyDescent="0.35">
      <c r="A40" s="9">
        <v>39</v>
      </c>
      <c r="B40" s="10" t="s">
        <v>56</v>
      </c>
      <c r="C40" s="11">
        <v>44252</v>
      </c>
      <c r="D40" s="11">
        <v>44252</v>
      </c>
      <c r="E40" s="12">
        <f>-2078983.44*(-1)</f>
        <v>2078983.44</v>
      </c>
      <c r="F40" s="9"/>
      <c r="G40" s="8"/>
      <c r="H40" s="8"/>
      <c r="I40" s="8"/>
      <c r="J40" s="8"/>
      <c r="K40" s="8"/>
    </row>
    <row r="41" spans="1:11" x14ac:dyDescent="0.35">
      <c r="A41" s="9">
        <v>40</v>
      </c>
      <c r="B41" s="10" t="s">
        <v>57</v>
      </c>
      <c r="C41" s="11">
        <v>44252</v>
      </c>
      <c r="D41" s="11">
        <v>44252</v>
      </c>
      <c r="E41" s="12">
        <f>-2186177.9*(-1)</f>
        <v>2186177.9</v>
      </c>
      <c r="F41" s="9"/>
      <c r="G41" s="8"/>
      <c r="H41" s="8"/>
      <c r="I41" s="8"/>
      <c r="J41" s="8"/>
      <c r="K41" s="8"/>
    </row>
    <row r="42" spans="1:11" x14ac:dyDescent="0.35">
      <c r="A42" s="9">
        <v>41</v>
      </c>
      <c r="B42" s="10" t="s">
        <v>58</v>
      </c>
      <c r="C42" s="11">
        <v>44255</v>
      </c>
      <c r="D42" s="11">
        <v>44255</v>
      </c>
      <c r="E42" s="12">
        <f>-2207223.48*(-1)</f>
        <v>2207223.48</v>
      </c>
      <c r="F42" s="9"/>
      <c r="G42" s="8"/>
      <c r="H42" s="8"/>
      <c r="I42" s="8"/>
      <c r="J42" s="8"/>
      <c r="K42" s="8"/>
    </row>
    <row r="43" spans="1:11" x14ac:dyDescent="0.35">
      <c r="A43" s="9">
        <v>42</v>
      </c>
      <c r="B43" s="10" t="s">
        <v>59</v>
      </c>
      <c r="C43" s="11">
        <v>44256</v>
      </c>
      <c r="D43" s="11">
        <v>44256</v>
      </c>
      <c r="E43" s="12">
        <f>-2371260.51*(-1)</f>
        <v>2371260.5099999998</v>
      </c>
      <c r="F43" s="9"/>
      <c r="G43" s="8"/>
      <c r="H43" s="8"/>
      <c r="I43" s="8"/>
      <c r="J43" s="8"/>
      <c r="K43" s="8"/>
    </row>
    <row r="44" spans="1:11" x14ac:dyDescent="0.35">
      <c r="A44" s="9">
        <v>43</v>
      </c>
      <c r="B44" s="10" t="s">
        <v>60</v>
      </c>
      <c r="C44" s="11">
        <v>44256</v>
      </c>
      <c r="D44" s="11">
        <v>44256</v>
      </c>
      <c r="E44" s="12">
        <f>-2222368.36*(-1)</f>
        <v>2222368.36</v>
      </c>
      <c r="F44" s="9"/>
      <c r="G44" s="8"/>
      <c r="H44" s="8"/>
      <c r="I44" s="8"/>
      <c r="J44" s="8"/>
      <c r="K44" s="8"/>
    </row>
    <row r="45" spans="1:11" x14ac:dyDescent="0.35">
      <c r="A45" s="9">
        <v>44</v>
      </c>
      <c r="B45" s="10" t="s">
        <v>61</v>
      </c>
      <c r="C45" s="11">
        <v>44259</v>
      </c>
      <c r="D45" s="11">
        <v>44259</v>
      </c>
      <c r="E45" s="12">
        <f>-2138579.6*(-1)</f>
        <v>2138579.6</v>
      </c>
      <c r="F45" s="9"/>
      <c r="G45" s="8"/>
      <c r="H45" s="8"/>
      <c r="I45" s="8"/>
      <c r="J45" s="8"/>
      <c r="K45" s="8"/>
    </row>
    <row r="46" spans="1:11" x14ac:dyDescent="0.35">
      <c r="A46" s="9">
        <v>45</v>
      </c>
      <c r="B46" s="10" t="s">
        <v>62</v>
      </c>
      <c r="C46" s="11">
        <v>44262</v>
      </c>
      <c r="D46" s="11">
        <v>44262</v>
      </c>
      <c r="E46" s="12">
        <f>-2116747.35*(-1)</f>
        <v>2116747.35</v>
      </c>
      <c r="F46" s="9"/>
      <c r="G46" s="8"/>
      <c r="H46" s="8"/>
      <c r="I46" s="8"/>
      <c r="J46" s="8"/>
      <c r="K46" s="8"/>
    </row>
    <row r="47" spans="1:11" x14ac:dyDescent="0.35">
      <c r="A47" s="9">
        <v>46</v>
      </c>
      <c r="B47" s="10" t="s">
        <v>63</v>
      </c>
      <c r="C47" s="11">
        <v>44263</v>
      </c>
      <c r="D47" s="11">
        <v>44263</v>
      </c>
      <c r="E47" s="12">
        <f>-2196602.32*(-1)</f>
        <v>2196602.3199999998</v>
      </c>
      <c r="F47" s="9"/>
      <c r="G47" s="8"/>
      <c r="H47" s="8"/>
      <c r="I47" s="8"/>
      <c r="J47" s="8"/>
      <c r="K47" s="8"/>
    </row>
    <row r="48" spans="1:11" x14ac:dyDescent="0.35">
      <c r="A48" s="9">
        <v>47</v>
      </c>
      <c r="B48" s="10" t="s">
        <v>64</v>
      </c>
      <c r="C48" s="11">
        <v>44265</v>
      </c>
      <c r="D48" s="11">
        <v>44265</v>
      </c>
      <c r="E48" s="12">
        <f>-2469800.77*(-1)</f>
        <v>2469800.7700000005</v>
      </c>
      <c r="F48" s="9"/>
      <c r="G48" s="8"/>
      <c r="H48" s="8"/>
      <c r="I48" s="8"/>
      <c r="J48" s="8"/>
      <c r="K48" s="8"/>
    </row>
    <row r="49" spans="1:11" x14ac:dyDescent="0.35">
      <c r="A49" s="9">
        <v>48</v>
      </c>
      <c r="B49" s="10" t="s">
        <v>65</v>
      </c>
      <c r="C49" s="11">
        <v>44265</v>
      </c>
      <c r="D49" s="11">
        <v>44265</v>
      </c>
      <c r="E49" s="12">
        <f>-2111436.79*(-1)</f>
        <v>2111436.79</v>
      </c>
      <c r="F49" s="9"/>
      <c r="G49" s="8"/>
      <c r="H49" s="8"/>
      <c r="I49" s="8"/>
      <c r="J49" s="8"/>
      <c r="K49" s="8"/>
    </row>
    <row r="50" spans="1:11" x14ac:dyDescent="0.35">
      <c r="A50" s="9">
        <v>49</v>
      </c>
      <c r="B50" s="10" t="s">
        <v>66</v>
      </c>
      <c r="C50" s="11">
        <v>44266</v>
      </c>
      <c r="D50" s="11">
        <v>44266</v>
      </c>
      <c r="E50" s="12">
        <f>-2225515.35*(-1)</f>
        <v>2225515.35</v>
      </c>
      <c r="F50" s="9"/>
      <c r="G50" s="8"/>
      <c r="H50" s="8"/>
      <c r="I50" s="8"/>
      <c r="J50" s="8"/>
      <c r="K50" s="8"/>
    </row>
    <row r="51" spans="1:11" x14ac:dyDescent="0.35">
      <c r="A51" s="9">
        <v>50</v>
      </c>
      <c r="B51" s="10" t="s">
        <v>67</v>
      </c>
      <c r="C51" s="11">
        <v>44269</v>
      </c>
      <c r="D51" s="11">
        <v>44269</v>
      </c>
      <c r="E51" s="12">
        <f>-2180080.59*(-1)</f>
        <v>2180080.59</v>
      </c>
      <c r="F51" s="9"/>
      <c r="G51" s="8"/>
      <c r="H51" s="8"/>
      <c r="I51" s="8"/>
      <c r="J51" s="8"/>
      <c r="K51" s="8"/>
    </row>
    <row r="52" spans="1:11" x14ac:dyDescent="0.35">
      <c r="A52" s="9">
        <v>51</v>
      </c>
      <c r="B52" s="10" t="s">
        <v>7</v>
      </c>
      <c r="C52" s="11">
        <v>44271</v>
      </c>
      <c r="D52" s="11">
        <v>44271</v>
      </c>
      <c r="E52" s="12">
        <f>-2200732.75*(-1)</f>
        <v>2200732.75</v>
      </c>
      <c r="F52" s="9"/>
      <c r="G52" s="8"/>
      <c r="H52" s="8"/>
      <c r="I52" s="8"/>
      <c r="J52" s="8"/>
      <c r="K52" s="8"/>
    </row>
    <row r="53" spans="1:11" x14ac:dyDescent="0.35">
      <c r="A53" s="9">
        <v>52</v>
      </c>
      <c r="B53" s="10" t="s">
        <v>68</v>
      </c>
      <c r="C53" s="11">
        <v>44271</v>
      </c>
      <c r="D53" s="11">
        <v>44271</v>
      </c>
      <c r="E53" s="12">
        <f>-2383848.49*(-1)</f>
        <v>2383848.4900000002</v>
      </c>
      <c r="F53" s="9"/>
      <c r="G53" s="8"/>
      <c r="H53" s="8"/>
      <c r="I53" s="8"/>
      <c r="J53" s="8"/>
      <c r="K53" s="8"/>
    </row>
    <row r="54" spans="1:11" x14ac:dyDescent="0.35">
      <c r="A54" s="9">
        <v>53</v>
      </c>
      <c r="B54" s="10" t="s">
        <v>69</v>
      </c>
      <c r="C54" s="11">
        <v>44273</v>
      </c>
      <c r="D54" s="11">
        <v>44273</v>
      </c>
      <c r="E54" s="12">
        <f>-2227875.57*(-1)</f>
        <v>2227875.5699999998</v>
      </c>
      <c r="F54" s="9"/>
      <c r="G54" s="8"/>
      <c r="H54" s="8"/>
      <c r="I54" s="8"/>
      <c r="J54" s="8"/>
      <c r="K54" s="8"/>
    </row>
    <row r="55" spans="1:11" x14ac:dyDescent="0.35">
      <c r="A55" s="9">
        <v>54</v>
      </c>
      <c r="B55" s="10" t="s">
        <v>70</v>
      </c>
      <c r="C55" s="11">
        <v>44273</v>
      </c>
      <c r="D55" s="11">
        <v>44273</v>
      </c>
      <c r="E55" s="12">
        <f>-950392.39*(-1)</f>
        <v>950392.3899999999</v>
      </c>
      <c r="F55" s="9"/>
      <c r="G55" s="8"/>
      <c r="H55" s="8"/>
      <c r="I55" s="8"/>
      <c r="J55" s="8"/>
      <c r="K55" s="8"/>
    </row>
    <row r="56" spans="1:11" x14ac:dyDescent="0.35">
      <c r="A56" s="9">
        <v>55</v>
      </c>
      <c r="B56" s="10" t="s">
        <v>71</v>
      </c>
      <c r="C56" s="11">
        <v>44276</v>
      </c>
      <c r="D56" s="11">
        <v>44276</v>
      </c>
      <c r="E56" s="12">
        <f>-1928517.78*(-1)</f>
        <v>1928517.78</v>
      </c>
      <c r="F56" s="9"/>
      <c r="G56" s="8"/>
      <c r="H56" s="8"/>
      <c r="I56" s="8"/>
      <c r="J56" s="8"/>
      <c r="K56" s="8"/>
    </row>
    <row r="57" spans="1:11" x14ac:dyDescent="0.35">
      <c r="A57" s="9">
        <v>56</v>
      </c>
      <c r="B57" s="10" t="s">
        <v>72</v>
      </c>
      <c r="C57" s="11">
        <v>44276</v>
      </c>
      <c r="D57" s="11">
        <v>44276</v>
      </c>
      <c r="E57" s="12">
        <f>-2221384.9*(-1)</f>
        <v>2221384.9</v>
      </c>
      <c r="F57" s="9"/>
      <c r="G57" s="8"/>
      <c r="H57" s="8"/>
      <c r="I57" s="8"/>
      <c r="J57" s="8"/>
      <c r="K57" s="8"/>
    </row>
    <row r="58" spans="1:11" x14ac:dyDescent="0.35">
      <c r="A58" s="9">
        <v>57</v>
      </c>
      <c r="B58" s="10" t="s">
        <v>73</v>
      </c>
      <c r="C58" s="11">
        <v>44277</v>
      </c>
      <c r="D58" s="11">
        <v>44277</v>
      </c>
      <c r="E58" s="12">
        <f>-2383455.13*(-1)</f>
        <v>2383455.13</v>
      </c>
      <c r="F58" s="9"/>
      <c r="G58" s="8"/>
      <c r="H58" s="8"/>
      <c r="I58" s="8"/>
      <c r="J58" s="8"/>
      <c r="K58" s="8"/>
    </row>
    <row r="59" spans="1:11" x14ac:dyDescent="0.35">
      <c r="A59" s="9">
        <v>58</v>
      </c>
      <c r="B59" s="10" t="s">
        <v>74</v>
      </c>
      <c r="C59" s="11">
        <v>44279</v>
      </c>
      <c r="D59" s="11">
        <v>44279</v>
      </c>
      <c r="E59" s="12">
        <f>-2262885.9*(-1)</f>
        <v>2262885.9</v>
      </c>
      <c r="F59" s="9"/>
      <c r="G59" s="8"/>
      <c r="H59" s="8"/>
      <c r="I59" s="8"/>
      <c r="J59" s="8"/>
      <c r="K59" s="8"/>
    </row>
    <row r="60" spans="1:11" x14ac:dyDescent="0.35">
      <c r="A60" s="9">
        <v>59</v>
      </c>
      <c r="B60" s="10" t="s">
        <v>75</v>
      </c>
      <c r="C60" s="11">
        <v>44279</v>
      </c>
      <c r="D60" s="11">
        <v>44279</v>
      </c>
      <c r="E60" s="12">
        <f>-2220598.19*(-1)</f>
        <v>2220598.19</v>
      </c>
      <c r="F60" s="9"/>
      <c r="G60" s="8"/>
      <c r="H60" s="8"/>
      <c r="I60" s="8"/>
      <c r="J60" s="8"/>
      <c r="K60" s="8"/>
    </row>
    <row r="61" spans="1:11" x14ac:dyDescent="0.35">
      <c r="A61" s="9">
        <v>60</v>
      </c>
      <c r="B61" s="10" t="s">
        <v>76</v>
      </c>
      <c r="C61" s="11">
        <v>44284</v>
      </c>
      <c r="D61" s="11">
        <v>44284</v>
      </c>
      <c r="E61" s="12">
        <f>-2392109.37*(-1)</f>
        <v>2392109.37</v>
      </c>
      <c r="F61" s="9"/>
      <c r="G61" s="8"/>
      <c r="H61" s="8"/>
      <c r="I61" s="8"/>
      <c r="J61" s="8"/>
      <c r="K61" s="8"/>
    </row>
    <row r="62" spans="1:11" x14ac:dyDescent="0.35">
      <c r="A62" s="9">
        <v>61</v>
      </c>
      <c r="B62" s="10" t="s">
        <v>77</v>
      </c>
      <c r="C62" s="11">
        <v>44287</v>
      </c>
      <c r="D62" s="11">
        <v>44287</v>
      </c>
      <c r="E62" s="12">
        <f>-2119697.63*(-1)</f>
        <v>2119697.63</v>
      </c>
      <c r="F62" s="9"/>
      <c r="G62" s="8"/>
      <c r="H62" s="8"/>
      <c r="I62" s="8"/>
      <c r="J62" s="8"/>
      <c r="K62" s="8"/>
    </row>
    <row r="63" spans="1:11" x14ac:dyDescent="0.35">
      <c r="A63" s="9">
        <v>62</v>
      </c>
      <c r="B63" s="10" t="s">
        <v>78</v>
      </c>
      <c r="C63" s="11">
        <v>44294</v>
      </c>
      <c r="D63" s="11">
        <v>44294</v>
      </c>
      <c r="E63" s="12">
        <f>-2078983.44*(-1)</f>
        <v>2078983.44</v>
      </c>
      <c r="F63" s="9"/>
      <c r="G63" s="8"/>
      <c r="H63" s="8"/>
      <c r="I63" s="8"/>
      <c r="J63" s="8"/>
      <c r="K63" s="8"/>
    </row>
    <row r="64" spans="1:11" x14ac:dyDescent="0.35">
      <c r="A64" s="9">
        <v>63</v>
      </c>
      <c r="B64" s="10" t="s">
        <v>79</v>
      </c>
      <c r="C64" s="11">
        <v>44297</v>
      </c>
      <c r="D64" s="11">
        <v>44297</v>
      </c>
      <c r="E64" s="12">
        <f>-2241250.33*(-1)</f>
        <v>2241250.33</v>
      </c>
      <c r="F64" s="9"/>
      <c r="G64" s="8"/>
      <c r="H64" s="8"/>
      <c r="I64" s="8"/>
      <c r="J64" s="8"/>
      <c r="K64" s="8"/>
    </row>
    <row r="65" spans="1:11" x14ac:dyDescent="0.35">
      <c r="A65" s="9">
        <v>64</v>
      </c>
      <c r="B65" s="10" t="s">
        <v>80</v>
      </c>
      <c r="C65" s="11">
        <v>44297</v>
      </c>
      <c r="D65" s="11">
        <v>44297</v>
      </c>
      <c r="E65" s="12">
        <f>-2201322.83*(-1)</f>
        <v>2201322.83</v>
      </c>
      <c r="F65" s="9"/>
      <c r="G65" s="8"/>
      <c r="H65" s="8"/>
      <c r="I65" s="8"/>
      <c r="J65" s="8"/>
      <c r="K65" s="8"/>
    </row>
    <row r="66" spans="1:11" x14ac:dyDescent="0.35">
      <c r="A66" s="9">
        <v>65</v>
      </c>
      <c r="B66" s="10" t="s">
        <v>81</v>
      </c>
      <c r="C66" s="11">
        <v>44298</v>
      </c>
      <c r="D66" s="11">
        <v>44298</v>
      </c>
      <c r="E66" s="12">
        <f>-2071115.95*(-1)</f>
        <v>2071115.95</v>
      </c>
      <c r="F66" s="9"/>
      <c r="G66" s="8"/>
      <c r="H66" s="8"/>
      <c r="I66" s="8"/>
      <c r="J66" s="8"/>
      <c r="K66" s="8"/>
    </row>
    <row r="67" spans="1:11" x14ac:dyDescent="0.35">
      <c r="A67" s="9">
        <v>66</v>
      </c>
      <c r="B67" s="10" t="s">
        <v>82</v>
      </c>
      <c r="C67" s="11">
        <v>44298</v>
      </c>
      <c r="D67" s="11">
        <v>44298</v>
      </c>
      <c r="E67" s="12">
        <f>-2230039.14*(-1)</f>
        <v>2230039.14</v>
      </c>
      <c r="F67" s="9"/>
      <c r="G67" s="8"/>
      <c r="H67" s="8"/>
      <c r="I67" s="8"/>
      <c r="J67" s="8"/>
      <c r="K67" s="8"/>
    </row>
    <row r="68" spans="1:11" x14ac:dyDescent="0.35">
      <c r="A68" s="9">
        <v>67</v>
      </c>
      <c r="B68" s="10" t="s">
        <v>83</v>
      </c>
      <c r="C68" s="11">
        <v>44299</v>
      </c>
      <c r="D68" s="11">
        <v>44299</v>
      </c>
      <c r="E68" s="12">
        <f>-2143890.19*(-1)</f>
        <v>2143890.19</v>
      </c>
      <c r="F68" s="9"/>
      <c r="G68" s="8"/>
      <c r="H68" s="8"/>
      <c r="I68" s="8"/>
      <c r="J68" s="8"/>
      <c r="K68" s="8"/>
    </row>
    <row r="69" spans="1:11" x14ac:dyDescent="0.35">
      <c r="A69" s="9">
        <v>68</v>
      </c>
      <c r="B69" s="10" t="s">
        <v>84</v>
      </c>
      <c r="C69" s="11">
        <v>44304</v>
      </c>
      <c r="D69" s="11">
        <v>44304</v>
      </c>
      <c r="E69" s="12">
        <f>-2229842.45*(-1)</f>
        <v>2229842.4500000002</v>
      </c>
      <c r="F69" s="9"/>
      <c r="G69" s="8"/>
      <c r="H69" s="8"/>
      <c r="I69" s="8"/>
      <c r="J69" s="8"/>
      <c r="K69" s="8"/>
    </row>
    <row r="70" spans="1:11" x14ac:dyDescent="0.35">
      <c r="A70" s="9">
        <v>69</v>
      </c>
      <c r="B70" s="10" t="s">
        <v>85</v>
      </c>
      <c r="C70" s="11">
        <v>44307</v>
      </c>
      <c r="D70" s="11">
        <v>44307</v>
      </c>
      <c r="E70" s="12">
        <f>-2367130.09*(-1)</f>
        <v>2367130.0900000003</v>
      </c>
      <c r="F70" s="9"/>
      <c r="G70" s="8"/>
      <c r="H70" s="8"/>
      <c r="I70" s="8"/>
      <c r="J70" s="8"/>
      <c r="K70" s="8"/>
    </row>
    <row r="71" spans="1:11" x14ac:dyDescent="0.35">
      <c r="A71" s="9">
        <v>70</v>
      </c>
      <c r="B71" s="10" t="s">
        <v>86</v>
      </c>
      <c r="C71" s="11">
        <v>44308</v>
      </c>
      <c r="D71" s="11">
        <v>44308</v>
      </c>
      <c r="E71" s="12">
        <f>-2174573.37*(-1)</f>
        <v>2174573.37</v>
      </c>
      <c r="F71" s="9"/>
      <c r="G71" s="8"/>
      <c r="H71" s="8"/>
      <c r="I71" s="8"/>
      <c r="J71" s="8"/>
      <c r="K71" s="8"/>
    </row>
    <row r="72" spans="1:11" x14ac:dyDescent="0.35">
      <c r="A72" s="9">
        <v>71</v>
      </c>
      <c r="B72" s="10" t="s">
        <v>87</v>
      </c>
      <c r="C72" s="11">
        <v>44311</v>
      </c>
      <c r="D72" s="11">
        <v>44311</v>
      </c>
      <c r="E72" s="12">
        <f>-2363196.35*(-1)</f>
        <v>2363196.35</v>
      </c>
      <c r="F72" s="9"/>
      <c r="G72" s="8"/>
      <c r="H72" s="8"/>
      <c r="I72" s="8"/>
      <c r="J72" s="8"/>
      <c r="K72" s="8"/>
    </row>
    <row r="73" spans="1:11" x14ac:dyDescent="0.35">
      <c r="A73" s="9">
        <v>72</v>
      </c>
      <c r="B73" s="10" t="s">
        <v>88</v>
      </c>
      <c r="C73" s="11">
        <v>44314</v>
      </c>
      <c r="D73" s="11">
        <v>44314</v>
      </c>
      <c r="E73" s="12">
        <f>-2351198.43*(-1)</f>
        <v>2351198.4299999997</v>
      </c>
      <c r="F73" s="9"/>
      <c r="G73" s="8"/>
      <c r="H73" s="8"/>
      <c r="I73" s="8"/>
      <c r="J73" s="8"/>
      <c r="K73" s="8"/>
    </row>
    <row r="74" spans="1:11" x14ac:dyDescent="0.35">
      <c r="A74" s="9">
        <v>73</v>
      </c>
      <c r="B74" s="10" t="s">
        <v>89</v>
      </c>
      <c r="C74" s="11">
        <v>44315</v>
      </c>
      <c r="D74" s="11">
        <v>44315</v>
      </c>
      <c r="E74" s="12">
        <f>-2071115.95*(-1)</f>
        <v>2071115.95</v>
      </c>
      <c r="F74" s="9"/>
      <c r="G74" s="8"/>
      <c r="H74" s="8"/>
      <c r="I74" s="8"/>
      <c r="J74" s="8"/>
      <c r="K74" s="8"/>
    </row>
    <row r="75" spans="1:11" x14ac:dyDescent="0.35">
      <c r="A75" s="9">
        <v>74</v>
      </c>
      <c r="B75" s="10" t="s">
        <v>90</v>
      </c>
      <c r="C75" s="11">
        <v>44319</v>
      </c>
      <c r="D75" s="11">
        <v>44319</v>
      </c>
      <c r="E75" s="12">
        <f>-2204469.81*(-1)</f>
        <v>2204469.81</v>
      </c>
      <c r="F75" s="9"/>
      <c r="G75" s="8"/>
      <c r="H75" s="8"/>
      <c r="I75" s="8"/>
      <c r="J75" s="8"/>
      <c r="K75" s="8"/>
    </row>
    <row r="76" spans="1:11" x14ac:dyDescent="0.35">
      <c r="A76" s="9">
        <v>75</v>
      </c>
      <c r="B76" s="10" t="s">
        <v>91</v>
      </c>
      <c r="C76" s="11">
        <v>44319</v>
      </c>
      <c r="D76" s="11">
        <v>44319</v>
      </c>
      <c r="E76" s="12">
        <f>-2499500.54*(-1)</f>
        <v>2499500.54</v>
      </c>
      <c r="F76" s="9"/>
      <c r="G76" s="8"/>
      <c r="H76" s="8"/>
      <c r="I76" s="8"/>
      <c r="J76" s="8"/>
      <c r="K76" s="8"/>
    </row>
    <row r="77" spans="1:11" x14ac:dyDescent="0.35">
      <c r="A77" s="9">
        <v>76</v>
      </c>
      <c r="B77" s="10" t="s">
        <v>92</v>
      </c>
      <c r="C77" s="11">
        <v>44322</v>
      </c>
      <c r="D77" s="11">
        <v>44322</v>
      </c>
      <c r="E77" s="12">
        <f>-2072099.36*(-1)</f>
        <v>2072099.36</v>
      </c>
      <c r="F77" s="9"/>
      <c r="G77" s="8"/>
      <c r="H77" s="8"/>
      <c r="I77" s="8"/>
      <c r="J77" s="8"/>
      <c r="K77" s="8"/>
    </row>
    <row r="78" spans="1:11" x14ac:dyDescent="0.35">
      <c r="A78" s="9">
        <v>77</v>
      </c>
      <c r="B78" s="10" t="s">
        <v>93</v>
      </c>
      <c r="C78" s="11">
        <v>44324</v>
      </c>
      <c r="D78" s="11">
        <v>44324</v>
      </c>
      <c r="E78" s="12">
        <f>-1214739.96*(-1)</f>
        <v>1214739.96</v>
      </c>
      <c r="F78" s="9"/>
      <c r="G78" s="8"/>
      <c r="H78" s="8"/>
      <c r="I78" s="8"/>
      <c r="J78" s="8"/>
      <c r="K78" s="8"/>
    </row>
    <row r="79" spans="1:11" x14ac:dyDescent="0.35">
      <c r="A79" s="9">
        <v>78</v>
      </c>
      <c r="B79" s="10" t="s">
        <v>94</v>
      </c>
      <c r="C79" s="11">
        <v>44324</v>
      </c>
      <c r="D79" s="11">
        <v>44324</v>
      </c>
      <c r="E79" s="12">
        <f>-28913.02*(-1)</f>
        <v>28913.02</v>
      </c>
      <c r="F79" s="9"/>
      <c r="G79" s="8"/>
      <c r="H79" s="8"/>
      <c r="I79" s="8"/>
      <c r="J79" s="8"/>
      <c r="K79" s="8"/>
    </row>
    <row r="80" spans="1:11" x14ac:dyDescent="0.35">
      <c r="A80" s="9">
        <v>79</v>
      </c>
      <c r="B80" s="10" t="s">
        <v>95</v>
      </c>
      <c r="C80" s="11">
        <v>44324</v>
      </c>
      <c r="D80" s="11">
        <v>44324</v>
      </c>
      <c r="E80" s="12">
        <f>-355374.38*(-1)</f>
        <v>355374.38</v>
      </c>
      <c r="F80" s="9"/>
      <c r="G80" s="8"/>
      <c r="H80" s="8"/>
      <c r="I80" s="8"/>
      <c r="J80" s="8"/>
      <c r="K80" s="8"/>
    </row>
    <row r="81" spans="1:11" x14ac:dyDescent="0.35">
      <c r="A81" s="9">
        <v>80</v>
      </c>
      <c r="B81" s="10" t="s">
        <v>96</v>
      </c>
      <c r="C81" s="11">
        <v>44325</v>
      </c>
      <c r="D81" s="11">
        <v>44325</v>
      </c>
      <c r="E81" s="12">
        <f>-2167295.94*(-1)</f>
        <v>2167295.94</v>
      </c>
      <c r="F81" s="9"/>
      <c r="G81" s="8"/>
      <c r="H81" s="8"/>
      <c r="I81" s="8"/>
      <c r="J81" s="8"/>
      <c r="K81" s="8"/>
    </row>
    <row r="82" spans="1:11" x14ac:dyDescent="0.35">
      <c r="A82" s="9">
        <v>81</v>
      </c>
      <c r="B82" s="10" t="s">
        <v>97</v>
      </c>
      <c r="C82" s="11">
        <v>44325</v>
      </c>
      <c r="D82" s="11">
        <v>44325</v>
      </c>
      <c r="E82" s="12">
        <f>-2288061.86*(-1)</f>
        <v>2288061.86</v>
      </c>
      <c r="F82" s="9"/>
      <c r="G82" s="8"/>
      <c r="H82" s="8"/>
      <c r="I82" s="8"/>
      <c r="J82" s="8"/>
      <c r="K82" s="8"/>
    </row>
    <row r="83" spans="1:11" x14ac:dyDescent="0.35">
      <c r="A83" s="9">
        <v>82</v>
      </c>
      <c r="B83" s="10" t="s">
        <v>98</v>
      </c>
      <c r="C83" s="11">
        <v>44327</v>
      </c>
      <c r="D83" s="11">
        <v>44327</v>
      </c>
      <c r="E83" s="12">
        <f>-2181654.1*(-1)</f>
        <v>2181654.1</v>
      </c>
      <c r="F83" s="9"/>
      <c r="G83" s="8"/>
      <c r="H83" s="8"/>
      <c r="I83" s="8"/>
      <c r="J83" s="8"/>
      <c r="K83" s="8"/>
    </row>
    <row r="84" spans="1:11" x14ac:dyDescent="0.35">
      <c r="A84" s="9">
        <v>83</v>
      </c>
      <c r="B84" s="10" t="s">
        <v>99</v>
      </c>
      <c r="C84" s="11">
        <v>44327</v>
      </c>
      <c r="D84" s="11">
        <v>44327</v>
      </c>
      <c r="E84" s="12">
        <f>-2090784.65*(-1)</f>
        <v>2090784.65</v>
      </c>
      <c r="F84" s="9"/>
      <c r="G84" s="8"/>
      <c r="H84" s="8"/>
      <c r="I84" s="8"/>
      <c r="J84" s="8"/>
      <c r="K84" s="8"/>
    </row>
    <row r="85" spans="1:11" x14ac:dyDescent="0.35">
      <c r="A85" s="9">
        <v>84</v>
      </c>
      <c r="B85" s="10" t="s">
        <v>100</v>
      </c>
      <c r="C85" s="11">
        <v>44335</v>
      </c>
      <c r="D85" s="11">
        <v>44335</v>
      </c>
      <c r="E85" s="12">
        <f>-2372637.35*(-1)</f>
        <v>2372637.35</v>
      </c>
      <c r="F85" s="9"/>
      <c r="G85" s="8"/>
      <c r="H85" s="8"/>
      <c r="I85" s="8"/>
      <c r="J85" s="8"/>
      <c r="K85" s="8"/>
    </row>
    <row r="86" spans="1:11" x14ac:dyDescent="0.35">
      <c r="A86" s="9">
        <v>85</v>
      </c>
      <c r="B86" s="10" t="s">
        <v>101</v>
      </c>
      <c r="C86" s="11">
        <v>44335</v>
      </c>
      <c r="D86" s="11">
        <v>44335</v>
      </c>
      <c r="E86" s="12">
        <f>-2169066.12*(-1)</f>
        <v>2169066.12</v>
      </c>
      <c r="F86" s="9"/>
      <c r="G86" s="8"/>
      <c r="H86" s="8"/>
      <c r="I86" s="8"/>
      <c r="J86" s="8"/>
      <c r="K86" s="8"/>
    </row>
    <row r="87" spans="1:11" x14ac:dyDescent="0.35">
      <c r="A87" s="9">
        <v>86</v>
      </c>
      <c r="B87" s="10" t="s">
        <v>102</v>
      </c>
      <c r="C87" s="11">
        <v>44336</v>
      </c>
      <c r="D87" s="11">
        <v>44336</v>
      </c>
      <c r="E87" s="12">
        <f>-2071115.94*(-1)</f>
        <v>2071115.94</v>
      </c>
      <c r="F87" s="9"/>
      <c r="G87" s="8"/>
      <c r="H87" s="8"/>
      <c r="I87" s="8"/>
      <c r="J87" s="8"/>
      <c r="K87" s="8"/>
    </row>
    <row r="88" spans="1:11" x14ac:dyDescent="0.35">
      <c r="A88" s="9">
        <v>87</v>
      </c>
      <c r="B88" s="10" t="s">
        <v>103</v>
      </c>
      <c r="C88" s="11">
        <v>44341</v>
      </c>
      <c r="D88" s="11">
        <v>44341</v>
      </c>
      <c r="E88" s="12">
        <f>-2166705.89*(-1)</f>
        <v>2166705.8899999997</v>
      </c>
      <c r="F88" s="9"/>
      <c r="G88" s="8"/>
      <c r="H88" s="8"/>
      <c r="I88" s="8"/>
      <c r="J88" s="8"/>
      <c r="K88" s="8"/>
    </row>
    <row r="89" spans="1:11" x14ac:dyDescent="0.35">
      <c r="A89" s="9">
        <v>88</v>
      </c>
      <c r="B89" s="10" t="s">
        <v>104</v>
      </c>
      <c r="C89" s="11">
        <v>44341</v>
      </c>
      <c r="D89" s="11">
        <v>44341</v>
      </c>
      <c r="E89" s="12">
        <f>-2311664.32*(-1)</f>
        <v>2311664.3199999998</v>
      </c>
      <c r="F89" s="9"/>
      <c r="G89" s="8"/>
      <c r="H89" s="8"/>
      <c r="I89" s="8"/>
      <c r="J89" s="8"/>
      <c r="K89" s="8"/>
    </row>
    <row r="90" spans="1:11" x14ac:dyDescent="0.35">
      <c r="A90" s="9">
        <v>89</v>
      </c>
      <c r="B90" s="10" t="s">
        <v>105</v>
      </c>
      <c r="C90" s="11">
        <v>44341</v>
      </c>
      <c r="D90" s="11">
        <v>44341</v>
      </c>
      <c r="E90" s="12">
        <f>-2324252.31*(-1)</f>
        <v>2324252.31</v>
      </c>
      <c r="F90" s="9"/>
      <c r="G90" s="8"/>
      <c r="H90" s="8"/>
      <c r="I90" s="8"/>
      <c r="J90" s="8"/>
      <c r="K90" s="8"/>
    </row>
    <row r="91" spans="1:11" x14ac:dyDescent="0.35">
      <c r="A91" s="9">
        <v>90</v>
      </c>
      <c r="B91" s="10" t="s">
        <v>8</v>
      </c>
      <c r="C91" s="11">
        <v>44346</v>
      </c>
      <c r="D91" s="11">
        <v>44346</v>
      </c>
      <c r="E91" s="12">
        <f>-2067968.92*(-1)</f>
        <v>2067968.92</v>
      </c>
      <c r="F91" s="9"/>
      <c r="G91" s="8"/>
      <c r="H91" s="8"/>
      <c r="I91" s="8"/>
      <c r="J91" s="8"/>
      <c r="K91" s="8"/>
    </row>
    <row r="92" spans="1:11" x14ac:dyDescent="0.35">
      <c r="A92" s="9">
        <v>91</v>
      </c>
      <c r="B92" s="10" t="s">
        <v>106</v>
      </c>
      <c r="C92" s="11">
        <v>44347</v>
      </c>
      <c r="D92" s="11">
        <v>44347</v>
      </c>
      <c r="E92" s="12">
        <f>-2348444.82*(-1)</f>
        <v>2348444.8199999998</v>
      </c>
      <c r="F92" s="9"/>
      <c r="G92" s="8"/>
      <c r="H92" s="8"/>
      <c r="I92" s="8"/>
      <c r="J92" s="8"/>
      <c r="K92" s="8"/>
    </row>
    <row r="93" spans="1:11" x14ac:dyDescent="0.35">
      <c r="A93" s="9">
        <v>92</v>
      </c>
      <c r="B93" s="10" t="s">
        <v>107</v>
      </c>
      <c r="C93" s="11">
        <v>44347</v>
      </c>
      <c r="D93" s="11">
        <v>44347</v>
      </c>
      <c r="E93" s="12">
        <f>-2145660.36*(-1)</f>
        <v>2145660.36</v>
      </c>
      <c r="F93" s="9"/>
      <c r="G93" s="8"/>
      <c r="H93" s="8"/>
      <c r="I93" s="8"/>
      <c r="J93" s="8"/>
      <c r="K93" s="8"/>
    </row>
    <row r="94" spans="1:11" x14ac:dyDescent="0.35">
      <c r="A94" s="9">
        <v>93</v>
      </c>
      <c r="B94" s="10" t="s">
        <v>108</v>
      </c>
      <c r="C94" s="11">
        <v>44348</v>
      </c>
      <c r="D94" s="11">
        <v>44348</v>
      </c>
      <c r="E94" s="12">
        <f>-2132285.63*(-1)</f>
        <v>2132285.63</v>
      </c>
      <c r="F94" s="9"/>
      <c r="G94" s="8"/>
      <c r="H94" s="8"/>
      <c r="I94" s="8"/>
      <c r="J94" s="8"/>
      <c r="K94" s="8"/>
    </row>
    <row r="95" spans="1:11" x14ac:dyDescent="0.35">
      <c r="A95" s="9">
        <v>94</v>
      </c>
      <c r="B95" s="10" t="s">
        <v>109</v>
      </c>
      <c r="C95" s="11">
        <v>44350</v>
      </c>
      <c r="D95" s="11">
        <v>44350</v>
      </c>
      <c r="E95" s="12">
        <f>-2107306.37*(-1)</f>
        <v>2107306.37</v>
      </c>
      <c r="F95" s="9"/>
      <c r="G95" s="8"/>
      <c r="H95" s="8"/>
      <c r="I95" s="8"/>
      <c r="J95" s="8"/>
      <c r="K95" s="8"/>
    </row>
    <row r="96" spans="1:11" x14ac:dyDescent="0.35">
      <c r="A96" s="9">
        <v>95</v>
      </c>
      <c r="B96" s="10" t="s">
        <v>110</v>
      </c>
      <c r="C96" s="11">
        <v>44354</v>
      </c>
      <c r="D96" s="11">
        <v>44354</v>
      </c>
      <c r="E96" s="12">
        <f>-2396436.47*(-1)</f>
        <v>2396436.4700000002</v>
      </c>
      <c r="F96" s="9"/>
      <c r="G96" s="8"/>
      <c r="H96" s="8"/>
      <c r="I96" s="8"/>
      <c r="J96" s="8"/>
      <c r="K96" s="8"/>
    </row>
    <row r="97" spans="1:11" x14ac:dyDescent="0.35">
      <c r="A97" s="9">
        <v>96</v>
      </c>
      <c r="B97" s="10" t="s">
        <v>111</v>
      </c>
      <c r="C97" s="11">
        <v>44355</v>
      </c>
      <c r="D97" s="11">
        <v>44355</v>
      </c>
      <c r="E97" s="12">
        <f>-2399190.1*(-1)</f>
        <v>2399190.1</v>
      </c>
      <c r="F97" s="9"/>
      <c r="G97" s="8"/>
      <c r="H97" s="8"/>
      <c r="I97" s="8"/>
      <c r="J97" s="8"/>
      <c r="K97" s="8"/>
    </row>
    <row r="98" spans="1:11" x14ac:dyDescent="0.35">
      <c r="A98" s="9">
        <v>97</v>
      </c>
      <c r="B98" s="10" t="s">
        <v>112</v>
      </c>
      <c r="C98" s="11">
        <v>44356</v>
      </c>
      <c r="D98" s="11">
        <v>44356</v>
      </c>
      <c r="E98" s="12">
        <f>-2171229.7*(-1)</f>
        <v>2171229.7000000002</v>
      </c>
      <c r="F98" s="9"/>
      <c r="G98" s="8"/>
      <c r="H98" s="8"/>
      <c r="I98" s="8"/>
      <c r="J98" s="8"/>
      <c r="K98" s="8"/>
    </row>
    <row r="99" spans="1:11" x14ac:dyDescent="0.35">
      <c r="A99" s="9">
        <v>98</v>
      </c>
      <c r="B99" s="10" t="s">
        <v>113</v>
      </c>
      <c r="C99" s="11">
        <v>44357</v>
      </c>
      <c r="D99" s="11">
        <v>44357</v>
      </c>
      <c r="E99" s="12">
        <f>-2191291.77*(-1)</f>
        <v>2191291.77</v>
      </c>
      <c r="F99" s="9"/>
      <c r="G99" s="8"/>
      <c r="H99" s="8"/>
      <c r="I99" s="8"/>
      <c r="J99" s="8"/>
      <c r="K99" s="8"/>
    </row>
    <row r="100" spans="1:11" x14ac:dyDescent="0.35">
      <c r="A100" s="9">
        <v>99</v>
      </c>
      <c r="B100" s="10" t="s">
        <v>114</v>
      </c>
      <c r="C100" s="11">
        <v>44357</v>
      </c>
      <c r="D100" s="11">
        <v>44357</v>
      </c>
      <c r="E100" s="12">
        <f>-2223351.78*(-1)</f>
        <v>2223351.7800000003</v>
      </c>
      <c r="F100" s="9"/>
      <c r="G100" s="8"/>
      <c r="H100" s="8"/>
      <c r="I100" s="8"/>
      <c r="J100" s="8"/>
      <c r="K100" s="8"/>
    </row>
    <row r="101" spans="1:11" x14ac:dyDescent="0.35">
      <c r="A101" s="9">
        <v>100</v>
      </c>
      <c r="B101" s="10" t="s">
        <v>115</v>
      </c>
      <c r="C101" s="11">
        <v>44359</v>
      </c>
      <c r="D101" s="11">
        <v>44359</v>
      </c>
      <c r="E101" s="12">
        <f>-2370867.14*(-1)</f>
        <v>2370867.1400000006</v>
      </c>
      <c r="F101" s="9"/>
      <c r="G101" s="8"/>
      <c r="H101" s="8"/>
      <c r="I101" s="8"/>
      <c r="J101" s="8"/>
      <c r="K101" s="8"/>
    </row>
    <row r="102" spans="1:11" x14ac:dyDescent="0.35">
      <c r="A102" s="9">
        <v>101</v>
      </c>
      <c r="B102" s="10" t="s">
        <v>116</v>
      </c>
      <c r="C102" s="11">
        <v>44359</v>
      </c>
      <c r="D102" s="11">
        <v>44359</v>
      </c>
      <c r="E102" s="12">
        <f>-2205649.95*(-1)</f>
        <v>2205649.9500000002</v>
      </c>
      <c r="F102" s="9"/>
      <c r="G102" s="8"/>
      <c r="H102" s="8"/>
      <c r="I102" s="8"/>
      <c r="J102" s="8"/>
      <c r="K102" s="8"/>
    </row>
    <row r="103" spans="1:11" x14ac:dyDescent="0.35">
      <c r="A103" s="9">
        <v>102</v>
      </c>
      <c r="B103" s="10" t="s">
        <v>117</v>
      </c>
      <c r="C103" s="11">
        <v>44362</v>
      </c>
      <c r="D103" s="11">
        <v>44362</v>
      </c>
      <c r="E103" s="12">
        <f>-2094718.41*(-1)</f>
        <v>2094718.41</v>
      </c>
      <c r="F103" s="9"/>
      <c r="G103" s="8"/>
      <c r="H103" s="8"/>
      <c r="I103" s="8"/>
      <c r="J103" s="8"/>
      <c r="K103" s="8"/>
    </row>
    <row r="104" spans="1:11" x14ac:dyDescent="0.35">
      <c r="A104" s="9">
        <v>103</v>
      </c>
      <c r="B104" s="10" t="s">
        <v>118</v>
      </c>
      <c r="C104" s="11">
        <v>44363</v>
      </c>
      <c r="D104" s="11">
        <v>44363</v>
      </c>
      <c r="E104" s="12">
        <f>-2230432.52*(-1)</f>
        <v>2230432.52</v>
      </c>
      <c r="F104" s="9"/>
      <c r="G104" s="8"/>
      <c r="H104" s="8"/>
      <c r="I104" s="8"/>
      <c r="J104" s="8"/>
      <c r="K104" s="8"/>
    </row>
    <row r="105" spans="1:11" x14ac:dyDescent="0.35">
      <c r="A105" s="9">
        <v>104</v>
      </c>
      <c r="B105" s="10" t="s">
        <v>119</v>
      </c>
      <c r="C105" s="11">
        <v>44363</v>
      </c>
      <c r="D105" s="11">
        <v>44363</v>
      </c>
      <c r="E105" s="12">
        <f>-2552999.46*(-1)</f>
        <v>2552999.46</v>
      </c>
      <c r="F105" s="9"/>
      <c r="G105" s="8"/>
      <c r="H105" s="8"/>
      <c r="I105" s="8"/>
      <c r="J105" s="8"/>
      <c r="K105" s="8"/>
    </row>
    <row r="106" spans="1:11" x14ac:dyDescent="0.35">
      <c r="A106" s="9">
        <v>105</v>
      </c>
      <c r="B106" s="10" t="s">
        <v>120</v>
      </c>
      <c r="C106" s="11">
        <v>44364</v>
      </c>
      <c r="D106" s="11">
        <v>44364</v>
      </c>
      <c r="E106" s="12">
        <f>-2382471.7*(-1)</f>
        <v>2382471.6999999997</v>
      </c>
      <c r="F106" s="9"/>
      <c r="G106" s="8"/>
      <c r="H106" s="8"/>
      <c r="I106" s="8"/>
      <c r="J106" s="8"/>
      <c r="K106" s="8"/>
    </row>
    <row r="107" spans="1:11" x14ac:dyDescent="0.35">
      <c r="A107" s="9">
        <v>106</v>
      </c>
      <c r="B107" s="10" t="s">
        <v>121</v>
      </c>
      <c r="C107" s="11">
        <v>44368</v>
      </c>
      <c r="D107" s="11">
        <v>44368</v>
      </c>
      <c r="E107" s="12">
        <f>-2281767.87*(-1)</f>
        <v>2281767.87</v>
      </c>
      <c r="F107" s="9"/>
      <c r="G107" s="8"/>
      <c r="H107" s="8"/>
      <c r="I107" s="8"/>
      <c r="J107" s="8"/>
      <c r="K107" s="8"/>
    </row>
    <row r="108" spans="1:11" x14ac:dyDescent="0.35">
      <c r="A108" s="9">
        <v>107</v>
      </c>
      <c r="B108" s="10" t="s">
        <v>122</v>
      </c>
      <c r="C108" s="11">
        <v>44370</v>
      </c>
      <c r="D108" s="11">
        <v>44370</v>
      </c>
      <c r="E108" s="12">
        <f>-2437937.49*(-1)</f>
        <v>2437937.4900000002</v>
      </c>
      <c r="F108" s="9"/>
      <c r="G108" s="8"/>
      <c r="H108" s="8"/>
      <c r="I108" s="8"/>
      <c r="J108" s="8"/>
      <c r="K108" s="8"/>
    </row>
    <row r="109" spans="1:11" x14ac:dyDescent="0.35">
      <c r="A109" s="9">
        <v>108</v>
      </c>
      <c r="B109" s="10" t="s">
        <v>123</v>
      </c>
      <c r="C109" s="11">
        <v>44371</v>
      </c>
      <c r="D109" s="11">
        <v>44371</v>
      </c>
      <c r="E109" s="12">
        <f>-2443248.02*(-1)</f>
        <v>2443248.02</v>
      </c>
      <c r="F109" s="9"/>
      <c r="G109" s="8"/>
      <c r="H109" s="8"/>
      <c r="I109" s="8"/>
      <c r="J109" s="8"/>
      <c r="K109" s="8"/>
    </row>
    <row r="110" spans="1:11" x14ac:dyDescent="0.35">
      <c r="A110" s="9">
        <v>109</v>
      </c>
      <c r="B110" s="10" t="s">
        <v>124</v>
      </c>
      <c r="C110" s="11">
        <v>44371</v>
      </c>
      <c r="D110" s="11">
        <v>44371</v>
      </c>
      <c r="E110" s="12">
        <f>-2650162.95*(-1)</f>
        <v>2650162.9500000002</v>
      </c>
      <c r="F110" s="9"/>
      <c r="G110" s="8"/>
      <c r="H110" s="8"/>
      <c r="I110" s="8"/>
      <c r="J110" s="8"/>
      <c r="K110" s="8"/>
    </row>
    <row r="111" spans="1:11" x14ac:dyDescent="0.35">
      <c r="A111" s="9">
        <v>110</v>
      </c>
      <c r="B111" s="10" t="s">
        <v>125</v>
      </c>
      <c r="C111" s="11">
        <v>44374</v>
      </c>
      <c r="D111" s="11">
        <v>44374</v>
      </c>
      <c r="E111" s="12">
        <f>-2060101.42*(-1)</f>
        <v>2060101.42</v>
      </c>
      <c r="F111" s="9"/>
      <c r="G111" s="8"/>
      <c r="H111" s="8"/>
      <c r="I111" s="8"/>
      <c r="J111" s="8"/>
      <c r="K111" s="8"/>
    </row>
    <row r="112" spans="1:11" x14ac:dyDescent="0.35">
      <c r="A112" s="9">
        <v>111</v>
      </c>
      <c r="B112" s="10" t="s">
        <v>126</v>
      </c>
      <c r="C112" s="11">
        <v>44374</v>
      </c>
      <c r="D112" s="11">
        <v>44374</v>
      </c>
      <c r="E112" s="12">
        <f>-2141529.94*(-1)</f>
        <v>2141529.94</v>
      </c>
      <c r="F112" s="9"/>
      <c r="G112" s="8"/>
      <c r="H112" s="8"/>
      <c r="I112" s="8"/>
      <c r="J112" s="8"/>
      <c r="K112" s="8"/>
    </row>
    <row r="113" spans="1:11" x14ac:dyDescent="0.35">
      <c r="A113" s="9">
        <v>112</v>
      </c>
      <c r="B113" s="10" t="s">
        <v>127</v>
      </c>
      <c r="C113" s="11">
        <v>44374</v>
      </c>
      <c r="D113" s="11">
        <v>44374</v>
      </c>
      <c r="E113" s="12">
        <f>-2280391.05*(-1)</f>
        <v>2280391.0499999998</v>
      </c>
      <c r="F113" s="9"/>
      <c r="G113" s="8"/>
      <c r="H113" s="8"/>
      <c r="I113" s="8"/>
      <c r="J113" s="8"/>
      <c r="K113" s="8"/>
    </row>
    <row r="114" spans="1:11" x14ac:dyDescent="0.35">
      <c r="A114" s="9">
        <v>113</v>
      </c>
      <c r="B114" s="10" t="s">
        <v>128</v>
      </c>
      <c r="C114" s="11">
        <v>44375</v>
      </c>
      <c r="D114" s="11">
        <v>44375</v>
      </c>
      <c r="E114" s="12">
        <f>-2082917.18*(-1)</f>
        <v>2082917.18</v>
      </c>
      <c r="F114" s="9"/>
      <c r="G114" s="8"/>
      <c r="H114" s="8"/>
      <c r="I114" s="8"/>
      <c r="J114" s="8"/>
      <c r="K114" s="8"/>
    </row>
    <row r="115" spans="1:11" x14ac:dyDescent="0.35">
      <c r="A115" s="9">
        <v>114</v>
      </c>
      <c r="B115" s="10" t="s">
        <v>129</v>
      </c>
      <c r="C115" s="11">
        <v>44378</v>
      </c>
      <c r="D115" s="11">
        <v>44378</v>
      </c>
      <c r="E115" s="12">
        <f>-2257575.34*(-1)</f>
        <v>2257575.3400000003</v>
      </c>
      <c r="F115" s="9"/>
      <c r="G115" s="8"/>
      <c r="H115" s="8"/>
      <c r="I115" s="8"/>
      <c r="J115" s="8"/>
      <c r="K115" s="8"/>
    </row>
    <row r="116" spans="1:11" x14ac:dyDescent="0.35">
      <c r="A116" s="9">
        <v>115</v>
      </c>
      <c r="B116" s="10" t="s">
        <v>130</v>
      </c>
      <c r="C116" s="11">
        <v>44378</v>
      </c>
      <c r="D116" s="11">
        <v>44378</v>
      </c>
      <c r="E116" s="12">
        <f>-2119815.64*(-1)</f>
        <v>2119815.64</v>
      </c>
      <c r="F116" s="9"/>
      <c r="G116" s="8"/>
      <c r="H116" s="8"/>
      <c r="I116" s="8"/>
      <c r="J116" s="8"/>
      <c r="K116" s="8"/>
    </row>
    <row r="117" spans="1:11" x14ac:dyDescent="0.35">
      <c r="A117" s="9">
        <v>116</v>
      </c>
      <c r="B117" s="10" t="s">
        <v>131</v>
      </c>
      <c r="C117" s="11">
        <v>44382</v>
      </c>
      <c r="D117" s="11">
        <v>44382</v>
      </c>
      <c r="E117" s="12">
        <f>-2132875.68*(-1)</f>
        <v>2132875.6799999997</v>
      </c>
      <c r="F117" s="9"/>
      <c r="G117" s="8"/>
      <c r="H117" s="8"/>
      <c r="I117" s="8"/>
      <c r="J117" s="8"/>
      <c r="K117" s="8"/>
    </row>
    <row r="118" spans="1:11" x14ac:dyDescent="0.35">
      <c r="A118" s="9">
        <v>117</v>
      </c>
      <c r="B118" s="10" t="s">
        <v>132</v>
      </c>
      <c r="C118" s="11">
        <v>44382</v>
      </c>
      <c r="D118" s="11">
        <v>44382</v>
      </c>
      <c r="E118" s="12">
        <f>-2198175.83*(-1)</f>
        <v>2198175.83</v>
      </c>
      <c r="F118" s="9"/>
      <c r="G118" s="8"/>
      <c r="H118" s="8"/>
      <c r="I118" s="8"/>
      <c r="J118" s="8"/>
      <c r="K118" s="8"/>
    </row>
    <row r="119" spans="1:11" x14ac:dyDescent="0.35">
      <c r="A119" s="9">
        <v>118</v>
      </c>
      <c r="B119" s="10" t="s">
        <v>133</v>
      </c>
      <c r="C119" s="11">
        <v>44384</v>
      </c>
      <c r="D119" s="11">
        <v>44384</v>
      </c>
      <c r="E119" s="12">
        <f>-2067968.92*(-1)</f>
        <v>2067968.92</v>
      </c>
      <c r="F119" s="9"/>
      <c r="G119" s="8"/>
      <c r="H119" s="8"/>
      <c r="I119" s="8"/>
      <c r="J119" s="8"/>
      <c r="K119" s="8"/>
    </row>
    <row r="120" spans="1:11" x14ac:dyDescent="0.35">
      <c r="A120" s="9">
        <v>119</v>
      </c>
      <c r="B120" s="10" t="s">
        <v>134</v>
      </c>
      <c r="C120" s="11">
        <v>44385</v>
      </c>
      <c r="D120" s="11">
        <v>44385</v>
      </c>
      <c r="E120" s="12">
        <f>-2313041.11*(-1)</f>
        <v>2313041.11</v>
      </c>
      <c r="F120" s="9"/>
      <c r="G120" s="8"/>
      <c r="H120" s="8"/>
      <c r="I120" s="8"/>
      <c r="J120" s="8"/>
      <c r="K120" s="8"/>
    </row>
    <row r="121" spans="1:11" x14ac:dyDescent="0.35">
      <c r="A121" s="9">
        <v>120</v>
      </c>
      <c r="B121" s="10" t="s">
        <v>135</v>
      </c>
      <c r="C121" s="11">
        <v>44385</v>
      </c>
      <c r="D121" s="11">
        <v>44385</v>
      </c>
      <c r="E121" s="12">
        <f>-57826.04*(-1)</f>
        <v>57826.04</v>
      </c>
      <c r="F121" s="9"/>
      <c r="G121" s="8"/>
      <c r="H121" s="8"/>
      <c r="I121" s="8"/>
      <c r="J121" s="8"/>
      <c r="K121" s="8"/>
    </row>
    <row r="122" spans="1:11" x14ac:dyDescent="0.35">
      <c r="A122" s="9">
        <v>121</v>
      </c>
      <c r="B122" s="10" t="s">
        <v>136</v>
      </c>
      <c r="C122" s="11">
        <v>44388</v>
      </c>
      <c r="D122" s="11">
        <v>44388</v>
      </c>
      <c r="E122" s="12">
        <f>-2376059.69*(-1)</f>
        <v>2376059.6899999995</v>
      </c>
      <c r="F122" s="9"/>
      <c r="G122" s="8"/>
      <c r="H122" s="8"/>
      <c r="I122" s="8"/>
      <c r="J122" s="8"/>
      <c r="K122" s="8"/>
    </row>
    <row r="123" spans="1:11" x14ac:dyDescent="0.35">
      <c r="A123" s="9">
        <v>122</v>
      </c>
      <c r="B123" s="10" t="s">
        <v>137</v>
      </c>
      <c r="C123" s="11">
        <v>44388</v>
      </c>
      <c r="D123" s="11">
        <v>44388</v>
      </c>
      <c r="E123" s="12">
        <f>-2332316.46*(-1)</f>
        <v>2332316.46</v>
      </c>
      <c r="F123" s="9"/>
      <c r="G123" s="8"/>
      <c r="H123" s="8"/>
      <c r="I123" s="8"/>
      <c r="J123" s="8"/>
      <c r="K123" s="8"/>
    </row>
    <row r="124" spans="1:11" x14ac:dyDescent="0.35">
      <c r="A124" s="9">
        <v>123</v>
      </c>
      <c r="B124" s="10" t="s">
        <v>138</v>
      </c>
      <c r="C124" s="11">
        <v>44388</v>
      </c>
      <c r="D124" s="11">
        <v>44388</v>
      </c>
      <c r="E124" s="12">
        <f>-2280587.76*(-1)</f>
        <v>2280587.7600000002</v>
      </c>
      <c r="F124" s="9"/>
      <c r="G124" s="8"/>
      <c r="H124" s="8"/>
      <c r="I124" s="8"/>
      <c r="J124" s="8"/>
      <c r="K124" s="8"/>
    </row>
    <row r="125" spans="1:11" x14ac:dyDescent="0.35">
      <c r="A125" s="9">
        <v>124</v>
      </c>
      <c r="B125" s="10" t="s">
        <v>139</v>
      </c>
      <c r="C125" s="11">
        <v>44389</v>
      </c>
      <c r="D125" s="11">
        <v>44389</v>
      </c>
      <c r="E125" s="12">
        <f>-2442067.88*(-1)</f>
        <v>2442067.88</v>
      </c>
      <c r="F125" s="9"/>
      <c r="G125" s="8"/>
      <c r="H125" s="8"/>
      <c r="I125" s="8"/>
      <c r="J125" s="8"/>
      <c r="K125" s="8"/>
    </row>
    <row r="126" spans="1:11" x14ac:dyDescent="0.35">
      <c r="A126" s="9">
        <v>125</v>
      </c>
      <c r="B126" s="10" t="s">
        <v>140</v>
      </c>
      <c r="C126" s="11">
        <v>44390</v>
      </c>
      <c r="D126" s="11">
        <v>44390</v>
      </c>
      <c r="E126" s="12">
        <f>-2084175.93*(-1)</f>
        <v>2084175.9300000002</v>
      </c>
      <c r="F126" s="9"/>
      <c r="G126" s="8"/>
      <c r="H126" s="8"/>
      <c r="I126" s="8"/>
      <c r="J126" s="8"/>
      <c r="K126" s="8"/>
    </row>
    <row r="127" spans="1:11" x14ac:dyDescent="0.35">
      <c r="A127" s="9">
        <v>126</v>
      </c>
      <c r="B127" s="10" t="s">
        <v>9</v>
      </c>
      <c r="C127" s="11">
        <v>44392</v>
      </c>
      <c r="D127" s="11">
        <v>44392</v>
      </c>
      <c r="E127" s="12">
        <f>-2181850.78*(-1)</f>
        <v>2181850.7799999998</v>
      </c>
      <c r="F127" s="9"/>
      <c r="G127" s="8"/>
      <c r="H127" s="8"/>
      <c r="I127" s="8"/>
      <c r="J127" s="8"/>
      <c r="K127" s="8"/>
    </row>
    <row r="128" spans="1:11" x14ac:dyDescent="0.35">
      <c r="A128" s="9">
        <v>127</v>
      </c>
      <c r="B128" s="10" t="s">
        <v>141</v>
      </c>
      <c r="C128" s="11">
        <v>44392</v>
      </c>
      <c r="D128" s="11">
        <v>44392</v>
      </c>
      <c r="E128" s="12">
        <f>-2351198.44*(-1)</f>
        <v>2351198.44</v>
      </c>
      <c r="F128" s="9"/>
      <c r="G128" s="8"/>
      <c r="H128" s="8"/>
      <c r="I128" s="8"/>
      <c r="J128" s="8"/>
      <c r="K128" s="8"/>
    </row>
    <row r="129" spans="1:11" x14ac:dyDescent="0.35">
      <c r="A129" s="9">
        <v>128</v>
      </c>
      <c r="B129" s="10" t="s">
        <v>142</v>
      </c>
      <c r="C129" s="11">
        <v>44392</v>
      </c>
      <c r="D129" s="11">
        <v>44392</v>
      </c>
      <c r="E129" s="12">
        <f>-2119815.66*(-1)</f>
        <v>2119815.66</v>
      </c>
      <c r="F129" s="9"/>
      <c r="G129" s="8"/>
      <c r="H129" s="8"/>
      <c r="I129" s="8"/>
      <c r="J129" s="8"/>
      <c r="K129" s="8"/>
    </row>
    <row r="130" spans="1:11" x14ac:dyDescent="0.35">
      <c r="A130" s="9">
        <v>129</v>
      </c>
      <c r="B130" s="10" t="s">
        <v>143</v>
      </c>
      <c r="C130" s="11">
        <v>44395</v>
      </c>
      <c r="D130" s="11">
        <v>44395</v>
      </c>
      <c r="E130" s="12">
        <f>-2014076.62*(-1)</f>
        <v>2014076.62</v>
      </c>
      <c r="F130" s="9"/>
      <c r="G130" s="8"/>
      <c r="H130" s="8"/>
      <c r="I130" s="8"/>
      <c r="J130" s="8"/>
      <c r="K130" s="8"/>
    </row>
    <row r="131" spans="1:11" x14ac:dyDescent="0.35">
      <c r="A131" s="9">
        <v>130</v>
      </c>
      <c r="B131" s="10" t="s">
        <v>144</v>
      </c>
      <c r="C131" s="11">
        <v>44395</v>
      </c>
      <c r="D131" s="11">
        <v>44395</v>
      </c>
      <c r="E131" s="12">
        <f>-115652.08*(-1)</f>
        <v>115652.08</v>
      </c>
      <c r="F131" s="9"/>
      <c r="G131" s="8"/>
      <c r="H131" s="8"/>
      <c r="I131" s="8"/>
      <c r="J131" s="8"/>
      <c r="K131" s="8"/>
    </row>
    <row r="132" spans="1:11" x14ac:dyDescent="0.35">
      <c r="A132" s="9">
        <v>131</v>
      </c>
      <c r="B132" s="10" t="s">
        <v>145</v>
      </c>
      <c r="C132" s="11">
        <v>44396</v>
      </c>
      <c r="D132" s="11">
        <v>44396</v>
      </c>
      <c r="E132" s="12">
        <f>-2560866.94*(-1)</f>
        <v>2560866.94</v>
      </c>
      <c r="F132" s="9"/>
      <c r="G132" s="8"/>
      <c r="H132" s="8"/>
      <c r="I132" s="8"/>
      <c r="J132" s="8"/>
      <c r="K132" s="8"/>
    </row>
    <row r="133" spans="1:11" x14ac:dyDescent="0.35">
      <c r="A133" s="9">
        <v>132</v>
      </c>
      <c r="B133" s="10" t="s">
        <v>146</v>
      </c>
      <c r="C133" s="11">
        <v>44411</v>
      </c>
      <c r="D133" s="11">
        <v>44411</v>
      </c>
      <c r="E133" s="12">
        <f>-2260525.65*(-1)</f>
        <v>2260525.6500000004</v>
      </c>
      <c r="F133" s="9"/>
      <c r="G133" s="8"/>
      <c r="H133" s="8"/>
      <c r="I133" s="8"/>
      <c r="J133" s="8"/>
      <c r="K133" s="8"/>
    </row>
    <row r="134" spans="1:11" x14ac:dyDescent="0.35">
      <c r="A134" s="9">
        <v>133</v>
      </c>
      <c r="B134" s="10" t="s">
        <v>147</v>
      </c>
      <c r="C134" s="11">
        <v>44411</v>
      </c>
      <c r="D134" s="11">
        <v>44411</v>
      </c>
      <c r="E134" s="12">
        <f>-2284324.8*(-1)</f>
        <v>2284324.7999999998</v>
      </c>
      <c r="F134" s="9"/>
      <c r="G134" s="8"/>
      <c r="H134" s="8"/>
      <c r="I134" s="8"/>
      <c r="J134" s="8"/>
      <c r="K134" s="8"/>
    </row>
    <row r="135" spans="1:11" x14ac:dyDescent="0.35">
      <c r="A135" s="9">
        <v>134</v>
      </c>
      <c r="B135" s="10" t="s">
        <v>148</v>
      </c>
      <c r="C135" s="11">
        <v>44416</v>
      </c>
      <c r="D135" s="11">
        <v>44416</v>
      </c>
      <c r="E135" s="12">
        <f>-2113206.97*(-1)</f>
        <v>2113206.9699999997</v>
      </c>
      <c r="F135" s="9"/>
      <c r="G135" s="8"/>
      <c r="H135" s="8"/>
      <c r="I135" s="8"/>
      <c r="J135" s="8"/>
      <c r="K135" s="8"/>
    </row>
    <row r="136" spans="1:11" x14ac:dyDescent="0.35">
      <c r="A136" s="9">
        <v>135</v>
      </c>
      <c r="B136" s="10" t="s">
        <v>149</v>
      </c>
      <c r="C136" s="11">
        <v>44416</v>
      </c>
      <c r="D136" s="11">
        <v>44416</v>
      </c>
      <c r="E136" s="12">
        <f>-2111240.1*(-1)</f>
        <v>2111240.1</v>
      </c>
      <c r="F136" s="9"/>
      <c r="G136" s="8"/>
      <c r="H136" s="8"/>
      <c r="I136" s="8"/>
      <c r="J136" s="8"/>
      <c r="K136" s="8"/>
    </row>
    <row r="137" spans="1:11" x14ac:dyDescent="0.35">
      <c r="A137" s="9">
        <v>136</v>
      </c>
      <c r="B137" s="10" t="s">
        <v>150</v>
      </c>
      <c r="C137" s="11">
        <v>44419</v>
      </c>
      <c r="D137" s="11">
        <v>44419</v>
      </c>
      <c r="E137" s="12">
        <f>-2190308.31*(-1)</f>
        <v>2190308.31</v>
      </c>
      <c r="F137" s="9"/>
      <c r="G137" s="8"/>
      <c r="H137" s="8"/>
      <c r="I137" s="8"/>
      <c r="J137" s="8"/>
      <c r="K137" s="8"/>
    </row>
    <row r="138" spans="1:11" x14ac:dyDescent="0.35">
      <c r="A138" s="9">
        <v>137</v>
      </c>
      <c r="B138" s="10" t="s">
        <v>151</v>
      </c>
      <c r="C138" s="11">
        <v>44419</v>
      </c>
      <c r="D138" s="11">
        <v>44419</v>
      </c>
      <c r="E138" s="12">
        <f>-86739.06*(-1)</f>
        <v>86739.06</v>
      </c>
      <c r="F138" s="9"/>
      <c r="G138" s="8"/>
      <c r="H138" s="8"/>
      <c r="I138" s="8"/>
      <c r="J138" s="8"/>
      <c r="K138" s="8"/>
    </row>
    <row r="139" spans="1:11" x14ac:dyDescent="0.35">
      <c r="A139" s="9">
        <v>138</v>
      </c>
      <c r="B139" s="10" t="s">
        <v>152</v>
      </c>
      <c r="C139" s="11">
        <v>44420</v>
      </c>
      <c r="D139" s="11">
        <v>44420</v>
      </c>
      <c r="E139" s="12">
        <f>-2329759.53*(-1)</f>
        <v>2329759.5299999998</v>
      </c>
      <c r="F139" s="9"/>
      <c r="G139" s="8"/>
      <c r="H139" s="8"/>
      <c r="I139" s="8"/>
      <c r="J139" s="8"/>
      <c r="K139" s="8"/>
    </row>
    <row r="140" spans="1:11" x14ac:dyDescent="0.35">
      <c r="A140" s="9">
        <v>139</v>
      </c>
      <c r="B140" s="10" t="s">
        <v>153</v>
      </c>
      <c r="C140" s="11">
        <v>44421</v>
      </c>
      <c r="D140" s="11">
        <v>44421</v>
      </c>
      <c r="E140" s="12">
        <f>-2150184.17*(-1)</f>
        <v>2150184.17</v>
      </c>
      <c r="F140" s="9"/>
      <c r="G140" s="8"/>
      <c r="H140" s="8"/>
      <c r="I140" s="8"/>
      <c r="J140" s="8"/>
      <c r="K140" s="8"/>
    </row>
    <row r="141" spans="1:11" x14ac:dyDescent="0.35">
      <c r="A141" s="9">
        <v>140</v>
      </c>
      <c r="B141" s="10" t="s">
        <v>154</v>
      </c>
      <c r="C141" s="11">
        <v>44421</v>
      </c>
      <c r="D141" s="11">
        <v>44421</v>
      </c>
      <c r="E141" s="12">
        <f>-2087637.65*(-1)</f>
        <v>2087637.65</v>
      </c>
      <c r="F141" s="9"/>
      <c r="G141" s="8"/>
      <c r="H141" s="8"/>
      <c r="I141" s="8"/>
      <c r="J141" s="8"/>
      <c r="K141" s="8"/>
    </row>
    <row r="142" spans="1:11" x14ac:dyDescent="0.35">
      <c r="A142" s="9">
        <v>141</v>
      </c>
      <c r="B142" s="10" t="s">
        <v>155</v>
      </c>
      <c r="C142" s="11">
        <v>44424</v>
      </c>
      <c r="D142" s="11">
        <v>44424</v>
      </c>
      <c r="E142" s="12">
        <f>-2213910.77*(-1)</f>
        <v>2213910.77</v>
      </c>
      <c r="F142" s="9"/>
      <c r="G142" s="8"/>
      <c r="H142" s="8"/>
      <c r="I142" s="8"/>
      <c r="J142" s="8"/>
      <c r="K142" s="8"/>
    </row>
    <row r="143" spans="1:11" x14ac:dyDescent="0.35">
      <c r="A143" s="9">
        <v>142</v>
      </c>
      <c r="B143" s="10" t="s">
        <v>156</v>
      </c>
      <c r="C143" s="11">
        <v>44424</v>
      </c>
      <c r="D143" s="11">
        <v>44424</v>
      </c>
      <c r="E143" s="12">
        <f>-86739.06*(-1)</f>
        <v>86739.06</v>
      </c>
      <c r="F143" s="9"/>
      <c r="G143" s="8"/>
      <c r="H143" s="8"/>
      <c r="I143" s="8"/>
      <c r="J143" s="8"/>
      <c r="K143" s="8"/>
    </row>
    <row r="144" spans="1:11" x14ac:dyDescent="0.35">
      <c r="A144" s="9">
        <v>143</v>
      </c>
      <c r="B144" s="10" t="s">
        <v>157</v>
      </c>
      <c r="C144" s="11">
        <v>44425</v>
      </c>
      <c r="D144" s="11">
        <v>44425</v>
      </c>
      <c r="E144" s="12">
        <f>-2071115.94*(-1)</f>
        <v>2071115.94</v>
      </c>
      <c r="F144" s="9"/>
      <c r="G144" s="8"/>
      <c r="H144" s="8"/>
      <c r="I144" s="8"/>
      <c r="J144" s="8"/>
      <c r="K144" s="8"/>
    </row>
    <row r="145" spans="1:11" x14ac:dyDescent="0.35">
      <c r="A145" s="9">
        <v>144</v>
      </c>
      <c r="B145" s="10" t="s">
        <v>158</v>
      </c>
      <c r="C145" s="11">
        <v>44426</v>
      </c>
      <c r="D145" s="11">
        <v>44426</v>
      </c>
      <c r="E145" s="12">
        <f>-2289045.28*(-1)</f>
        <v>2289045.2799999998</v>
      </c>
      <c r="F145" s="9"/>
      <c r="G145" s="8"/>
      <c r="H145" s="8"/>
      <c r="I145" s="8"/>
      <c r="J145" s="8"/>
      <c r="K145" s="8"/>
    </row>
    <row r="146" spans="1:11" x14ac:dyDescent="0.35">
      <c r="A146" s="9">
        <v>145</v>
      </c>
      <c r="B146" s="10" t="s">
        <v>159</v>
      </c>
      <c r="C146" s="11">
        <v>44426</v>
      </c>
      <c r="D146" s="11">
        <v>44426</v>
      </c>
      <c r="E146" s="12">
        <f>-2244003.93*(-1)</f>
        <v>2244003.9300000002</v>
      </c>
      <c r="F146" s="9"/>
      <c r="G146" s="8"/>
      <c r="H146" s="8"/>
      <c r="I146" s="8"/>
      <c r="J146" s="8"/>
      <c r="K146" s="8"/>
    </row>
    <row r="147" spans="1:11" x14ac:dyDescent="0.35">
      <c r="A147" s="9">
        <v>146</v>
      </c>
      <c r="B147" s="10" t="s">
        <v>160</v>
      </c>
      <c r="C147" s="11">
        <v>44429</v>
      </c>
      <c r="D147" s="11">
        <v>44429</v>
      </c>
      <c r="E147" s="12">
        <f>-2266032.88*(-1)</f>
        <v>2266032.88</v>
      </c>
      <c r="F147" s="9"/>
      <c r="G147" s="8"/>
      <c r="H147" s="8"/>
      <c r="I147" s="8"/>
      <c r="J147" s="8"/>
      <c r="K147" s="8"/>
    </row>
    <row r="148" spans="1:11" x14ac:dyDescent="0.35">
      <c r="A148" s="9">
        <v>147</v>
      </c>
      <c r="B148" s="10" t="s">
        <v>161</v>
      </c>
      <c r="C148" s="11">
        <v>44430</v>
      </c>
      <c r="D148" s="11">
        <v>44430</v>
      </c>
      <c r="E148" s="12">
        <f>-2335463.48*(-1)</f>
        <v>2335463.4800000004</v>
      </c>
      <c r="F148" s="9"/>
      <c r="G148" s="8"/>
      <c r="H148" s="8"/>
      <c r="I148" s="8"/>
      <c r="J148" s="8"/>
      <c r="K148" s="8"/>
    </row>
    <row r="149" spans="1:11" x14ac:dyDescent="0.35">
      <c r="A149" s="9">
        <v>148</v>
      </c>
      <c r="B149" s="10" t="s">
        <v>162</v>
      </c>
      <c r="C149" s="11">
        <v>44430</v>
      </c>
      <c r="D149" s="11">
        <v>44430</v>
      </c>
      <c r="E149" s="12">
        <f>-2139956.38*(-1)</f>
        <v>2139956.38</v>
      </c>
      <c r="F149" s="9"/>
      <c r="G149" s="8"/>
      <c r="H149" s="8"/>
      <c r="I149" s="8"/>
      <c r="J149" s="8"/>
      <c r="K149" s="8"/>
    </row>
    <row r="150" spans="1:11" x14ac:dyDescent="0.35">
      <c r="A150" s="9">
        <v>149</v>
      </c>
      <c r="B150" s="10" t="s">
        <v>163</v>
      </c>
      <c r="C150" s="11">
        <v>44430</v>
      </c>
      <c r="D150" s="11">
        <v>44430</v>
      </c>
      <c r="E150" s="12">
        <f>-144565.1*(-1)</f>
        <v>144565.1</v>
      </c>
      <c r="F150" s="9"/>
      <c r="G150" s="8"/>
      <c r="H150" s="8"/>
      <c r="I150" s="8"/>
      <c r="J150" s="8"/>
      <c r="K150" s="8"/>
    </row>
    <row r="151" spans="1:11" x14ac:dyDescent="0.35">
      <c r="A151" s="9">
        <v>150</v>
      </c>
      <c r="B151" s="10" t="s">
        <v>164</v>
      </c>
      <c r="C151" s="11">
        <v>44434</v>
      </c>
      <c r="D151" s="11">
        <v>44434</v>
      </c>
      <c r="E151" s="12">
        <f>-2192668.59*(-1)</f>
        <v>2192668.59</v>
      </c>
      <c r="F151" s="9"/>
      <c r="G151" s="8"/>
      <c r="H151" s="8"/>
      <c r="I151" s="8"/>
      <c r="J151" s="8"/>
      <c r="K151" s="8"/>
    </row>
    <row r="152" spans="1:11" x14ac:dyDescent="0.35">
      <c r="A152" s="9">
        <v>151</v>
      </c>
      <c r="B152" s="10" t="s">
        <v>165</v>
      </c>
      <c r="C152" s="11">
        <v>44434</v>
      </c>
      <c r="D152" s="11">
        <v>44434</v>
      </c>
      <c r="E152" s="12">
        <f>-2196799.06*(-1)</f>
        <v>2196799.06</v>
      </c>
      <c r="F152" s="9"/>
      <c r="G152" s="8"/>
      <c r="H152" s="8"/>
      <c r="I152" s="8"/>
      <c r="J152" s="8"/>
      <c r="K152" s="8"/>
    </row>
    <row r="153" spans="1:11" x14ac:dyDescent="0.35">
      <c r="A153" s="9">
        <v>152</v>
      </c>
      <c r="B153" s="10" t="s">
        <v>166</v>
      </c>
      <c r="C153" s="11">
        <v>44437</v>
      </c>
      <c r="D153" s="11">
        <v>44437</v>
      </c>
      <c r="E153" s="12">
        <f>-2206043.27*(-1)</f>
        <v>2206043.27</v>
      </c>
      <c r="F153" s="9"/>
      <c r="G153" s="8"/>
      <c r="H153" s="8"/>
      <c r="I153" s="8"/>
      <c r="J153" s="8"/>
      <c r="K153" s="8"/>
    </row>
    <row r="154" spans="1:11" x14ac:dyDescent="0.35">
      <c r="A154" s="9">
        <v>153</v>
      </c>
      <c r="B154" s="10" t="s">
        <v>167</v>
      </c>
      <c r="C154" s="11">
        <v>44437</v>
      </c>
      <c r="D154" s="11">
        <v>44437</v>
      </c>
      <c r="E154" s="12">
        <f>-86739.06*(-1)</f>
        <v>86739.06</v>
      </c>
      <c r="F154" s="9"/>
      <c r="G154" s="8"/>
      <c r="H154" s="8"/>
      <c r="I154" s="8"/>
      <c r="J154" s="8"/>
      <c r="K154" s="8"/>
    </row>
    <row r="155" spans="1:11" x14ac:dyDescent="0.35">
      <c r="A155" s="9">
        <v>154</v>
      </c>
      <c r="B155" s="10" t="s">
        <v>168</v>
      </c>
      <c r="C155" s="11">
        <v>44439</v>
      </c>
      <c r="D155" s="11">
        <v>44439</v>
      </c>
      <c r="E155" s="12">
        <f>-2067968.94*(-1)</f>
        <v>2067968.94</v>
      </c>
      <c r="F155" s="9"/>
      <c r="G155" s="8"/>
      <c r="H155" s="8"/>
      <c r="I155" s="8"/>
      <c r="J155" s="8"/>
      <c r="K155" s="8"/>
    </row>
    <row r="156" spans="1:11" x14ac:dyDescent="0.35">
      <c r="A156" s="9">
        <v>155</v>
      </c>
      <c r="B156" s="10" t="s">
        <v>169</v>
      </c>
      <c r="C156" s="11">
        <v>44445</v>
      </c>
      <c r="D156" s="11">
        <v>44445</v>
      </c>
      <c r="E156" s="12">
        <f>-530071.96*(-1)</f>
        <v>530071.96</v>
      </c>
      <c r="F156" s="9"/>
      <c r="G156" s="8"/>
      <c r="H156" s="8"/>
      <c r="I156" s="8"/>
      <c r="J156" s="8"/>
      <c r="K156" s="8"/>
    </row>
    <row r="157" spans="1:11" x14ac:dyDescent="0.35">
      <c r="A157" s="9">
        <v>156</v>
      </c>
      <c r="B157" s="10" t="s">
        <v>170</v>
      </c>
      <c r="C157" s="11">
        <v>44450</v>
      </c>
      <c r="D157" s="11">
        <v>44450</v>
      </c>
      <c r="E157" s="12">
        <f>-2387546.21*(-1)</f>
        <v>2387546.21</v>
      </c>
      <c r="F157" s="9"/>
      <c r="G157" s="8"/>
      <c r="H157" s="8"/>
      <c r="I157" s="8"/>
      <c r="J157" s="8"/>
      <c r="K157" s="8"/>
    </row>
    <row r="158" spans="1:11" x14ac:dyDescent="0.35">
      <c r="A158" s="9">
        <v>157</v>
      </c>
      <c r="B158" s="10" t="s">
        <v>171</v>
      </c>
      <c r="C158" s="11">
        <v>44450</v>
      </c>
      <c r="D158" s="11">
        <v>44450</v>
      </c>
      <c r="E158" s="12">
        <f>-2195028.8*(-1)</f>
        <v>2195028.7999999998</v>
      </c>
      <c r="F158" s="9"/>
      <c r="G158" s="8"/>
      <c r="H158" s="8"/>
      <c r="I158" s="8"/>
      <c r="J158" s="8"/>
      <c r="K158" s="8"/>
    </row>
    <row r="159" spans="1:11" x14ac:dyDescent="0.35">
      <c r="A159" s="9">
        <v>158</v>
      </c>
      <c r="B159" s="10" t="s">
        <v>172</v>
      </c>
      <c r="C159" s="11">
        <v>44450</v>
      </c>
      <c r="D159" s="11">
        <v>44450</v>
      </c>
      <c r="E159" s="12">
        <f>-2139169.68*(-1)</f>
        <v>2139169.6800000002</v>
      </c>
      <c r="F159" s="9"/>
      <c r="G159" s="8"/>
      <c r="H159" s="8"/>
      <c r="I159" s="8"/>
      <c r="J159" s="8"/>
      <c r="K159" s="8"/>
    </row>
    <row r="160" spans="1:11" x14ac:dyDescent="0.35">
      <c r="A160" s="9">
        <v>159</v>
      </c>
      <c r="B160" s="10" t="s">
        <v>173</v>
      </c>
      <c r="C160" s="11">
        <v>44451</v>
      </c>
      <c r="D160" s="11">
        <v>44451</v>
      </c>
      <c r="E160" s="12">
        <f>-2339987.27*(-1)</f>
        <v>2339987.27</v>
      </c>
      <c r="F160" s="9"/>
      <c r="G160" s="8"/>
      <c r="H160" s="8"/>
      <c r="I160" s="8"/>
      <c r="J160" s="8"/>
      <c r="K160" s="8"/>
    </row>
    <row r="161" spans="1:11" x14ac:dyDescent="0.35">
      <c r="A161" s="9">
        <v>160</v>
      </c>
      <c r="B161" s="10" t="s">
        <v>174</v>
      </c>
      <c r="C161" s="11">
        <v>44451</v>
      </c>
      <c r="D161" s="11">
        <v>44451</v>
      </c>
      <c r="E161" s="12">
        <f>-1705671.14*(-1)</f>
        <v>1705671.1400000001</v>
      </c>
      <c r="F161" s="9"/>
      <c r="G161" s="8"/>
      <c r="H161" s="8"/>
      <c r="I161" s="8"/>
      <c r="J161" s="8"/>
      <c r="K161" s="8"/>
    </row>
    <row r="162" spans="1:11" x14ac:dyDescent="0.35">
      <c r="A162" s="9">
        <v>161</v>
      </c>
      <c r="B162" s="10" t="s">
        <v>175</v>
      </c>
      <c r="C162" s="11">
        <v>44451</v>
      </c>
      <c r="D162" s="11">
        <v>44451</v>
      </c>
      <c r="E162" s="12">
        <f>-1760743.53*(-1)</f>
        <v>1760743.5300000003</v>
      </c>
      <c r="F162" s="9"/>
      <c r="G162" s="8"/>
      <c r="H162" s="8"/>
      <c r="I162" s="8"/>
      <c r="J162" s="8"/>
      <c r="K162" s="8"/>
    </row>
    <row r="163" spans="1:11" x14ac:dyDescent="0.35">
      <c r="A163" s="9">
        <v>162</v>
      </c>
      <c r="B163" s="10" t="s">
        <v>176</v>
      </c>
      <c r="C163" s="11">
        <v>44451</v>
      </c>
      <c r="D163" s="11">
        <v>44451</v>
      </c>
      <c r="E163" s="12">
        <f>-115652.08*(-1)</f>
        <v>115652.08</v>
      </c>
      <c r="F163" s="9"/>
      <c r="G163" s="8"/>
      <c r="H163" s="8"/>
      <c r="I163" s="8"/>
      <c r="J163" s="8"/>
      <c r="K163" s="8"/>
    </row>
    <row r="164" spans="1:11" x14ac:dyDescent="0.35">
      <c r="A164" s="9">
        <v>163</v>
      </c>
      <c r="B164" s="10" t="s">
        <v>177</v>
      </c>
      <c r="C164" s="11">
        <v>44451</v>
      </c>
      <c r="D164" s="11">
        <v>44451</v>
      </c>
      <c r="E164" s="12">
        <f>-2243335.18*(-1)</f>
        <v>2243335.1800000002</v>
      </c>
      <c r="F164" s="9"/>
      <c r="G164" s="8"/>
      <c r="H164" s="8"/>
      <c r="I164" s="8"/>
      <c r="J164" s="8"/>
      <c r="K164" s="8"/>
    </row>
    <row r="165" spans="1:11" x14ac:dyDescent="0.35">
      <c r="A165" s="9">
        <v>164</v>
      </c>
      <c r="B165" s="10" t="s">
        <v>178</v>
      </c>
      <c r="C165" s="11">
        <v>44452</v>
      </c>
      <c r="D165" s="11">
        <v>44452</v>
      </c>
      <c r="E165" s="12">
        <f>-2216585.74*(-1)</f>
        <v>2216585.7399999998</v>
      </c>
      <c r="F165" s="9"/>
      <c r="G165" s="8"/>
      <c r="H165" s="8"/>
      <c r="I165" s="8"/>
      <c r="J165" s="8"/>
      <c r="K165" s="8"/>
    </row>
    <row r="166" spans="1:11" x14ac:dyDescent="0.35">
      <c r="A166" s="9">
        <v>165</v>
      </c>
      <c r="B166" s="10" t="s">
        <v>179</v>
      </c>
      <c r="C166" s="11">
        <v>44452</v>
      </c>
      <c r="D166" s="11">
        <v>44452</v>
      </c>
      <c r="E166" s="12">
        <f>-2095505.13*(-1)</f>
        <v>2095505.13</v>
      </c>
      <c r="F166" s="9"/>
      <c r="G166" s="8"/>
      <c r="H166" s="8"/>
      <c r="I166" s="8"/>
      <c r="J166" s="8"/>
      <c r="K166" s="8"/>
    </row>
    <row r="167" spans="1:11" x14ac:dyDescent="0.35">
      <c r="A167" s="9">
        <v>166</v>
      </c>
      <c r="B167" s="10" t="s">
        <v>180</v>
      </c>
      <c r="C167" s="11">
        <v>44453</v>
      </c>
      <c r="D167" s="11">
        <v>44453</v>
      </c>
      <c r="E167" s="12">
        <f>-2467676.57*(-1)</f>
        <v>2467676.5700000003</v>
      </c>
      <c r="F167" s="9"/>
      <c r="G167" s="8"/>
      <c r="H167" s="8"/>
      <c r="I167" s="8"/>
      <c r="J167" s="8"/>
      <c r="K167" s="8"/>
    </row>
    <row r="168" spans="1:11" x14ac:dyDescent="0.35">
      <c r="A168" s="9">
        <v>167</v>
      </c>
      <c r="B168" s="10" t="s">
        <v>181</v>
      </c>
      <c r="C168" s="11">
        <v>44455</v>
      </c>
      <c r="D168" s="11">
        <v>44455</v>
      </c>
      <c r="E168" s="12">
        <f>-2481602.04*(-1)</f>
        <v>2481602.04</v>
      </c>
      <c r="F168" s="9"/>
      <c r="G168" s="8"/>
      <c r="H168" s="8"/>
      <c r="I168" s="8"/>
      <c r="J168" s="8"/>
      <c r="K168" s="8"/>
    </row>
    <row r="169" spans="1:11" x14ac:dyDescent="0.35">
      <c r="A169" s="9">
        <v>168</v>
      </c>
      <c r="B169" s="10" t="s">
        <v>182</v>
      </c>
      <c r="C169" s="11">
        <v>44455</v>
      </c>
      <c r="D169" s="11">
        <v>44455</v>
      </c>
      <c r="E169" s="12">
        <f>-2210055.72*(-1)</f>
        <v>2210055.7200000002</v>
      </c>
      <c r="F169" s="9"/>
      <c r="G169" s="8"/>
      <c r="H169" s="8"/>
      <c r="I169" s="8"/>
      <c r="J169" s="8"/>
      <c r="K169" s="8"/>
    </row>
    <row r="170" spans="1:11" x14ac:dyDescent="0.35">
      <c r="A170" s="9">
        <v>169</v>
      </c>
      <c r="B170" s="10" t="s">
        <v>10</v>
      </c>
      <c r="C170" s="11">
        <v>44458</v>
      </c>
      <c r="D170" s="11">
        <v>44458</v>
      </c>
      <c r="E170" s="12">
        <f>-2303993.54*(-1)</f>
        <v>2303993.54</v>
      </c>
      <c r="F170" s="9"/>
      <c r="G170" s="8"/>
      <c r="H170" s="8"/>
      <c r="I170" s="8"/>
      <c r="J170" s="8"/>
      <c r="K170" s="8"/>
    </row>
    <row r="171" spans="1:11" x14ac:dyDescent="0.35">
      <c r="A171" s="9">
        <v>170</v>
      </c>
      <c r="B171" s="10" t="s">
        <v>183</v>
      </c>
      <c r="C171" s="11">
        <v>44458</v>
      </c>
      <c r="D171" s="11">
        <v>44458</v>
      </c>
      <c r="E171" s="12">
        <f>-2184997.79*(-1)</f>
        <v>2184997.79</v>
      </c>
      <c r="F171" s="9"/>
      <c r="G171" s="8"/>
      <c r="H171" s="8"/>
      <c r="I171" s="8"/>
      <c r="J171" s="8"/>
      <c r="K171" s="8"/>
    </row>
    <row r="172" spans="1:11" x14ac:dyDescent="0.35">
      <c r="A172" s="9">
        <v>171</v>
      </c>
      <c r="B172" s="10" t="s">
        <v>184</v>
      </c>
      <c r="C172" s="11">
        <v>44460</v>
      </c>
      <c r="D172" s="11">
        <v>44460</v>
      </c>
      <c r="E172" s="12">
        <f>-2310995.6*(-1)</f>
        <v>2310995.6</v>
      </c>
      <c r="F172" s="9"/>
      <c r="G172" s="8"/>
      <c r="H172" s="8"/>
      <c r="I172" s="8"/>
      <c r="J172" s="8"/>
      <c r="K172" s="8"/>
    </row>
    <row r="173" spans="1:11" x14ac:dyDescent="0.35">
      <c r="A173" s="9">
        <v>172</v>
      </c>
      <c r="B173" s="10" t="s">
        <v>185</v>
      </c>
      <c r="C173" s="11">
        <v>44461</v>
      </c>
      <c r="D173" s="11">
        <v>44461</v>
      </c>
      <c r="E173" s="12">
        <f>-2414728.38*(-1)</f>
        <v>2414728.38</v>
      </c>
      <c r="F173" s="9"/>
      <c r="G173" s="8"/>
      <c r="H173" s="8"/>
      <c r="I173" s="8"/>
      <c r="J173" s="8"/>
      <c r="K173" s="8"/>
    </row>
    <row r="174" spans="1:11" x14ac:dyDescent="0.35">
      <c r="A174" s="9">
        <v>173</v>
      </c>
      <c r="B174" s="10" t="s">
        <v>186</v>
      </c>
      <c r="C174" s="11">
        <v>44462</v>
      </c>
      <c r="D174" s="11">
        <v>44462</v>
      </c>
      <c r="E174" s="12">
        <f>-2346399.28*(-1)</f>
        <v>2346399.2800000003</v>
      </c>
      <c r="F174" s="9"/>
      <c r="G174" s="8"/>
      <c r="H174" s="8"/>
      <c r="I174" s="8"/>
      <c r="J174" s="8"/>
      <c r="K174" s="8"/>
    </row>
    <row r="175" spans="1:11" x14ac:dyDescent="0.35">
      <c r="A175" s="9">
        <v>174</v>
      </c>
      <c r="B175" s="10" t="s">
        <v>187</v>
      </c>
      <c r="C175" s="11">
        <v>44465</v>
      </c>
      <c r="D175" s="11">
        <v>44465</v>
      </c>
      <c r="E175" s="12">
        <f>-2216349.71*(-1)</f>
        <v>2216349.71</v>
      </c>
      <c r="F175" s="9"/>
      <c r="G175" s="8"/>
      <c r="H175" s="8"/>
      <c r="I175" s="8"/>
      <c r="J175" s="8"/>
      <c r="K175" s="8"/>
    </row>
    <row r="176" spans="1:11" x14ac:dyDescent="0.35">
      <c r="A176" s="9">
        <v>175</v>
      </c>
      <c r="B176" s="10" t="s">
        <v>188</v>
      </c>
      <c r="C176" s="11">
        <v>44467</v>
      </c>
      <c r="D176" s="11">
        <v>44467</v>
      </c>
      <c r="E176" s="12">
        <f>-2217451.21*(-1)</f>
        <v>2217451.21</v>
      </c>
      <c r="F176" s="9"/>
      <c r="G176" s="8"/>
      <c r="H176" s="8"/>
      <c r="I176" s="8"/>
      <c r="J176" s="8"/>
      <c r="K176" s="8"/>
    </row>
    <row r="177" spans="1:11" x14ac:dyDescent="0.35">
      <c r="A177" s="9">
        <v>176</v>
      </c>
      <c r="B177" s="10" t="s">
        <v>189</v>
      </c>
      <c r="C177" s="11">
        <v>44468</v>
      </c>
      <c r="D177" s="11">
        <v>44468</v>
      </c>
      <c r="E177" s="12">
        <f>-2419016.17*(-1)</f>
        <v>2419016.17</v>
      </c>
      <c r="F177" s="9"/>
      <c r="G177" s="8"/>
      <c r="H177" s="8"/>
      <c r="I177" s="8"/>
      <c r="J177" s="8"/>
      <c r="K177" s="8"/>
    </row>
    <row r="178" spans="1:11" x14ac:dyDescent="0.35">
      <c r="A178" s="9">
        <v>177</v>
      </c>
      <c r="B178" s="10" t="s">
        <v>190</v>
      </c>
      <c r="C178" s="11">
        <v>44472</v>
      </c>
      <c r="D178" s="11">
        <v>44472</v>
      </c>
      <c r="E178" s="12">
        <f>-2064035.19*(-1)</f>
        <v>2064035.19</v>
      </c>
      <c r="F178" s="9"/>
      <c r="G178" s="8"/>
      <c r="H178" s="8"/>
      <c r="I178" s="8"/>
      <c r="J178" s="8"/>
      <c r="K178" s="8"/>
    </row>
    <row r="179" spans="1:11" x14ac:dyDescent="0.35">
      <c r="A179" s="9">
        <v>178</v>
      </c>
      <c r="B179" s="10" t="s">
        <v>191</v>
      </c>
      <c r="C179" s="11">
        <v>44473</v>
      </c>
      <c r="D179" s="11">
        <v>44473</v>
      </c>
      <c r="E179" s="12">
        <f>-2280430.39*(-1)</f>
        <v>2280430.39</v>
      </c>
      <c r="F179" s="9"/>
      <c r="G179" s="8"/>
      <c r="H179" s="8"/>
      <c r="I179" s="8"/>
      <c r="J179" s="8"/>
      <c r="K179" s="8"/>
    </row>
    <row r="180" spans="1:11" x14ac:dyDescent="0.35">
      <c r="A180" s="9">
        <v>179</v>
      </c>
      <c r="B180" s="10" t="s">
        <v>192</v>
      </c>
      <c r="C180" s="11">
        <v>44475</v>
      </c>
      <c r="D180" s="11">
        <v>44475</v>
      </c>
      <c r="E180" s="12">
        <f>-2291326.84*(-1)</f>
        <v>2291326.8400000003</v>
      </c>
      <c r="F180" s="9"/>
      <c r="G180" s="8"/>
      <c r="H180" s="8"/>
      <c r="I180" s="8"/>
      <c r="J180" s="8"/>
      <c r="K180" s="8"/>
    </row>
    <row r="181" spans="1:11" x14ac:dyDescent="0.35">
      <c r="A181" s="9">
        <v>180</v>
      </c>
      <c r="B181" s="10" t="s">
        <v>193</v>
      </c>
      <c r="C181" s="11">
        <v>44480</v>
      </c>
      <c r="D181" s="11">
        <v>44480</v>
      </c>
      <c r="E181" s="12">
        <f>-2520270.73*(-1)</f>
        <v>2520270.73</v>
      </c>
      <c r="F181" s="9"/>
      <c r="G181" s="8"/>
      <c r="H181" s="8"/>
      <c r="I181" s="8"/>
      <c r="J181" s="8"/>
      <c r="K181" s="8"/>
    </row>
    <row r="182" spans="1:11" x14ac:dyDescent="0.35">
      <c r="A182" s="9">
        <v>181</v>
      </c>
      <c r="B182" s="10" t="s">
        <v>194</v>
      </c>
      <c r="C182" s="11">
        <v>44481</v>
      </c>
      <c r="D182" s="11">
        <v>44481</v>
      </c>
      <c r="E182" s="12">
        <f>-2067968.93*(-1)</f>
        <v>2067968.93</v>
      </c>
      <c r="F182" s="9"/>
      <c r="G182" s="8"/>
      <c r="H182" s="8"/>
      <c r="I182" s="8"/>
      <c r="J182" s="8"/>
      <c r="K182" s="8"/>
    </row>
    <row r="183" spans="1:11" x14ac:dyDescent="0.35">
      <c r="A183" s="9">
        <v>182</v>
      </c>
      <c r="B183" s="10" t="s">
        <v>195</v>
      </c>
      <c r="C183" s="11">
        <v>44485</v>
      </c>
      <c r="D183" s="11">
        <v>44485</v>
      </c>
      <c r="E183" s="12">
        <f>-2448676.59*(-1)</f>
        <v>2448676.5899999994</v>
      </c>
      <c r="F183" s="9"/>
      <c r="G183" s="8"/>
      <c r="H183" s="8"/>
      <c r="I183" s="8"/>
      <c r="J183" s="8"/>
      <c r="K183" s="8"/>
    </row>
    <row r="184" spans="1:11" x14ac:dyDescent="0.35">
      <c r="A184" s="9">
        <v>183</v>
      </c>
      <c r="B184" s="10" t="s">
        <v>196</v>
      </c>
      <c r="C184" s="11">
        <v>44487</v>
      </c>
      <c r="D184" s="11">
        <v>44487</v>
      </c>
      <c r="E184" s="12">
        <f>-2359656*(-1)</f>
        <v>2359656</v>
      </c>
      <c r="F184" s="9"/>
      <c r="G184" s="8"/>
      <c r="H184" s="8"/>
      <c r="I184" s="8"/>
      <c r="J184" s="8"/>
      <c r="K184" s="8"/>
    </row>
    <row r="185" spans="1:11" x14ac:dyDescent="0.35">
      <c r="A185" s="9">
        <v>184</v>
      </c>
      <c r="B185" s="10" t="s">
        <v>197</v>
      </c>
      <c r="C185" s="11">
        <v>44495</v>
      </c>
      <c r="D185" s="11">
        <v>44495</v>
      </c>
      <c r="E185" s="12">
        <f>-2236726.49*(-1)</f>
        <v>2236726.4899999998</v>
      </c>
      <c r="F185" s="9"/>
      <c r="G185" s="8"/>
      <c r="H185" s="8"/>
      <c r="I185" s="8"/>
      <c r="J185" s="8"/>
      <c r="K185" s="8"/>
    </row>
    <row r="186" spans="1:11" x14ac:dyDescent="0.35">
      <c r="A186" s="9">
        <v>185</v>
      </c>
      <c r="B186" s="10" t="s">
        <v>198</v>
      </c>
      <c r="C186" s="11">
        <v>44495</v>
      </c>
      <c r="D186" s="11">
        <v>44495</v>
      </c>
      <c r="E186" s="12">
        <f>-2320554.56*(-1)</f>
        <v>2320554.5599999996</v>
      </c>
      <c r="F186" s="9"/>
      <c r="G186" s="8"/>
      <c r="H186" s="8"/>
      <c r="I186" s="8"/>
      <c r="J186" s="8"/>
      <c r="K186" s="8"/>
    </row>
    <row r="187" spans="1:11" x14ac:dyDescent="0.35">
      <c r="A187" s="9">
        <v>186</v>
      </c>
      <c r="B187" s="10" t="s">
        <v>199</v>
      </c>
      <c r="C187" s="11">
        <v>44496</v>
      </c>
      <c r="D187" s="11">
        <v>44496</v>
      </c>
      <c r="E187" s="12">
        <f>-2367759.5*(-1)</f>
        <v>2367759.5</v>
      </c>
      <c r="F187" s="9"/>
      <c r="G187" s="8"/>
      <c r="H187" s="8"/>
      <c r="I187" s="8"/>
      <c r="J187" s="8"/>
      <c r="K187" s="8"/>
    </row>
    <row r="188" spans="1:11" x14ac:dyDescent="0.35">
      <c r="A188" s="9">
        <v>187</v>
      </c>
      <c r="B188" s="10" t="s">
        <v>200</v>
      </c>
      <c r="C188" s="11">
        <v>44497</v>
      </c>
      <c r="D188" s="11">
        <v>44497</v>
      </c>
      <c r="E188" s="12">
        <f>-2340223.3*(-1)</f>
        <v>2340223.3000000003</v>
      </c>
      <c r="F188" s="9"/>
      <c r="G188" s="8"/>
      <c r="H188" s="8"/>
      <c r="I188" s="8"/>
      <c r="J188" s="8"/>
      <c r="K188" s="8"/>
    </row>
    <row r="189" spans="1:11" x14ac:dyDescent="0.35">
      <c r="A189" s="9">
        <v>188</v>
      </c>
      <c r="B189" s="10" t="s">
        <v>201</v>
      </c>
      <c r="C189" s="11">
        <v>44500</v>
      </c>
      <c r="D189" s="11">
        <v>44500</v>
      </c>
      <c r="E189" s="12">
        <f>-2067968.92*(-1)</f>
        <v>2067968.92</v>
      </c>
      <c r="F189" s="9"/>
      <c r="G189" s="8"/>
      <c r="H189" s="8"/>
      <c r="I189" s="8"/>
      <c r="J189" s="8"/>
      <c r="K189" s="8"/>
    </row>
    <row r="190" spans="1:11" x14ac:dyDescent="0.35">
      <c r="A190" s="9">
        <v>189</v>
      </c>
      <c r="B190" s="10" t="s">
        <v>202</v>
      </c>
      <c r="C190" s="11">
        <v>44500</v>
      </c>
      <c r="D190" s="11">
        <v>44500</v>
      </c>
      <c r="E190" s="12">
        <f>-2250101.22*(-1)</f>
        <v>2250101.2199999997</v>
      </c>
      <c r="F190" s="9"/>
      <c r="G190" s="8"/>
      <c r="H190" s="8"/>
      <c r="I190" s="8"/>
      <c r="J190" s="8"/>
      <c r="K190" s="8"/>
    </row>
    <row r="191" spans="1:11" x14ac:dyDescent="0.35">
      <c r="A191" s="9">
        <v>190</v>
      </c>
      <c r="B191" s="10" t="s">
        <v>203</v>
      </c>
      <c r="C191" s="11">
        <v>44500</v>
      </c>
      <c r="D191" s="11">
        <v>44500</v>
      </c>
      <c r="E191" s="12">
        <f>-2343921.02*(-1)</f>
        <v>2343921.02</v>
      </c>
      <c r="F191" s="9"/>
      <c r="G191" s="8"/>
      <c r="H191" s="8"/>
      <c r="I191" s="8"/>
      <c r="J191" s="8"/>
      <c r="K191" s="8"/>
    </row>
    <row r="192" spans="1:11" x14ac:dyDescent="0.35">
      <c r="A192" s="9">
        <v>191</v>
      </c>
      <c r="B192" s="10" t="s">
        <v>204</v>
      </c>
      <c r="C192" s="11">
        <v>44504</v>
      </c>
      <c r="D192" s="11">
        <v>44504</v>
      </c>
      <c r="E192" s="12">
        <f>-2899562.29*(-1)</f>
        <v>2899562.29</v>
      </c>
      <c r="F192" s="9"/>
      <c r="G192" s="8"/>
      <c r="H192" s="8"/>
      <c r="I192" s="8"/>
      <c r="J192" s="8"/>
      <c r="K192" s="8"/>
    </row>
    <row r="193" spans="1:11" x14ac:dyDescent="0.35">
      <c r="A193" s="9">
        <v>192</v>
      </c>
      <c r="B193" s="10" t="s">
        <v>205</v>
      </c>
      <c r="C193" s="11">
        <v>44504</v>
      </c>
      <c r="D193" s="11">
        <v>44504</v>
      </c>
      <c r="E193" s="12">
        <f>-2608858.68*(-1)</f>
        <v>2608858.6799999997</v>
      </c>
      <c r="F193" s="9"/>
      <c r="G193" s="8"/>
      <c r="H193" s="8"/>
      <c r="I193" s="8"/>
      <c r="J193" s="8"/>
      <c r="K193" s="8"/>
    </row>
    <row r="194" spans="1:11" x14ac:dyDescent="0.35">
      <c r="A194" s="9">
        <v>193</v>
      </c>
      <c r="B194" s="10" t="s">
        <v>206</v>
      </c>
      <c r="C194" s="11">
        <v>44508</v>
      </c>
      <c r="D194" s="11">
        <v>44508</v>
      </c>
      <c r="E194" s="12">
        <f>-431216.96*(-1)</f>
        <v>431216.96</v>
      </c>
      <c r="F194" s="9"/>
      <c r="G194" s="8"/>
      <c r="H194" s="8"/>
      <c r="I194" s="8"/>
      <c r="J194" s="8"/>
      <c r="K194" s="8"/>
    </row>
    <row r="195" spans="1:11" x14ac:dyDescent="0.35">
      <c r="A195" s="9">
        <v>194</v>
      </c>
      <c r="B195" s="10" t="s">
        <v>207</v>
      </c>
      <c r="C195" s="11">
        <v>44509</v>
      </c>
      <c r="D195" s="11">
        <v>44509</v>
      </c>
      <c r="E195" s="12">
        <f>-2600597.79*(-1)</f>
        <v>2600597.79</v>
      </c>
      <c r="F195" s="9"/>
      <c r="G195" s="8"/>
      <c r="H195" s="8"/>
      <c r="I195" s="8"/>
      <c r="J195" s="8"/>
      <c r="K195" s="8"/>
    </row>
    <row r="196" spans="1:11" x14ac:dyDescent="0.35">
      <c r="A196" s="9">
        <v>195</v>
      </c>
      <c r="B196" s="10" t="s">
        <v>208</v>
      </c>
      <c r="C196" s="11">
        <v>44510</v>
      </c>
      <c r="D196" s="11">
        <v>44510</v>
      </c>
      <c r="E196" s="12">
        <f>-2655276.77*(-1)</f>
        <v>2655276.77</v>
      </c>
      <c r="F196" s="9"/>
      <c r="G196" s="8"/>
      <c r="H196" s="8"/>
      <c r="I196" s="8"/>
      <c r="J196" s="8"/>
      <c r="K196" s="8"/>
    </row>
    <row r="197" spans="1:11" x14ac:dyDescent="0.35">
      <c r="A197" s="9">
        <v>196</v>
      </c>
      <c r="B197" s="10" t="s">
        <v>209</v>
      </c>
      <c r="C197" s="11">
        <v>44510</v>
      </c>
      <c r="D197" s="11">
        <v>44510</v>
      </c>
      <c r="E197" s="12">
        <f>-2618771.7*(-1)</f>
        <v>2618771.7000000002</v>
      </c>
      <c r="F197" s="9"/>
      <c r="G197" s="8"/>
      <c r="H197" s="8"/>
      <c r="I197" s="8"/>
      <c r="J197" s="8"/>
      <c r="K197" s="8"/>
    </row>
    <row r="198" spans="1:11" x14ac:dyDescent="0.35">
      <c r="A198" s="9">
        <v>197</v>
      </c>
      <c r="B198" s="10" t="s">
        <v>210</v>
      </c>
      <c r="C198" s="11">
        <v>44511</v>
      </c>
      <c r="D198" s="11">
        <v>44511</v>
      </c>
      <c r="E198" s="12">
        <f>-2737885.39*(-1)</f>
        <v>2737885.3899999997</v>
      </c>
      <c r="F198" s="9"/>
      <c r="G198" s="8"/>
      <c r="H198" s="8"/>
      <c r="I198" s="8"/>
      <c r="J198" s="8"/>
      <c r="K198" s="8"/>
    </row>
    <row r="199" spans="1:11" x14ac:dyDescent="0.35">
      <c r="A199" s="9">
        <v>198</v>
      </c>
      <c r="B199" s="10" t="s">
        <v>211</v>
      </c>
      <c r="C199" s="11">
        <v>44514</v>
      </c>
      <c r="D199" s="11">
        <v>44514</v>
      </c>
      <c r="E199" s="12">
        <f>-2610746.81*(-1)</f>
        <v>2610746.8099999996</v>
      </c>
      <c r="F199" s="9"/>
      <c r="G199" s="8"/>
      <c r="H199" s="8"/>
      <c r="I199" s="8"/>
      <c r="J199" s="8"/>
      <c r="K199" s="8"/>
    </row>
    <row r="200" spans="1:11" x14ac:dyDescent="0.35">
      <c r="A200" s="9">
        <v>199</v>
      </c>
      <c r="B200" s="10" t="s">
        <v>212</v>
      </c>
      <c r="C200" s="11">
        <v>44516</v>
      </c>
      <c r="D200" s="11">
        <v>44516</v>
      </c>
      <c r="E200" s="12">
        <f>-2641587.39*(-1)</f>
        <v>2641587.3899999997</v>
      </c>
      <c r="F200" s="9"/>
      <c r="G200" s="8"/>
      <c r="H200" s="8"/>
      <c r="I200" s="8"/>
      <c r="J200" s="8"/>
      <c r="K200" s="8"/>
    </row>
    <row r="201" spans="1:11" x14ac:dyDescent="0.35">
      <c r="A201" s="9">
        <v>200</v>
      </c>
      <c r="B201" s="10" t="s">
        <v>213</v>
      </c>
      <c r="C201" s="11">
        <v>44521</v>
      </c>
      <c r="D201" s="11">
        <v>44521</v>
      </c>
      <c r="E201" s="12">
        <f>-2490452.96*(-1)</f>
        <v>2490452.96</v>
      </c>
      <c r="F201" s="9"/>
      <c r="G201" s="8"/>
      <c r="H201" s="8"/>
      <c r="I201" s="8"/>
      <c r="J201" s="8"/>
      <c r="K201" s="8"/>
    </row>
    <row r="202" spans="1:11" x14ac:dyDescent="0.35">
      <c r="A202" s="9">
        <v>201</v>
      </c>
      <c r="B202" s="10" t="s">
        <v>214</v>
      </c>
      <c r="C202" s="11">
        <v>44522</v>
      </c>
      <c r="D202" s="11">
        <v>44522</v>
      </c>
      <c r="E202" s="12">
        <f>-2848423.62*(-1)</f>
        <v>2848423.62</v>
      </c>
      <c r="F202" s="9"/>
      <c r="G202" s="8"/>
      <c r="H202" s="8"/>
      <c r="I202" s="8"/>
      <c r="J202" s="8"/>
      <c r="K202" s="8"/>
    </row>
    <row r="203" spans="1:11" x14ac:dyDescent="0.35">
      <c r="A203" s="9">
        <v>202</v>
      </c>
      <c r="B203" s="10" t="s">
        <v>215</v>
      </c>
      <c r="C203" s="11">
        <v>44523</v>
      </c>
      <c r="D203" s="11">
        <v>44523</v>
      </c>
      <c r="E203" s="12">
        <f>-2640564.6*(-1)</f>
        <v>2640564.6</v>
      </c>
      <c r="F203" s="9"/>
      <c r="G203" s="8"/>
      <c r="H203" s="8"/>
      <c r="I203" s="8"/>
      <c r="J203" s="8"/>
      <c r="K203" s="8"/>
    </row>
    <row r="204" spans="1:11" x14ac:dyDescent="0.35">
      <c r="A204" s="9">
        <v>203</v>
      </c>
      <c r="B204" s="10" t="s">
        <v>11</v>
      </c>
      <c r="C204" s="11">
        <v>44523</v>
      </c>
      <c r="D204" s="11">
        <v>44523</v>
      </c>
      <c r="E204" s="12">
        <f>-2502254.19*(-1)</f>
        <v>2502254.19</v>
      </c>
      <c r="F204" s="9"/>
      <c r="G204" s="8"/>
      <c r="H204" s="8"/>
      <c r="I204" s="8"/>
      <c r="J204" s="8"/>
      <c r="K204" s="8"/>
    </row>
    <row r="205" spans="1:11" x14ac:dyDescent="0.35">
      <c r="A205" s="9">
        <v>204</v>
      </c>
      <c r="B205" s="10" t="s">
        <v>216</v>
      </c>
      <c r="C205" s="11">
        <v>44524</v>
      </c>
      <c r="D205" s="11">
        <v>44524</v>
      </c>
      <c r="E205" s="12">
        <f>-2456072.07*(-1)</f>
        <v>2456072.0700000003</v>
      </c>
      <c r="F205" s="9"/>
      <c r="G205" s="8"/>
      <c r="H205" s="8"/>
      <c r="I205" s="8"/>
      <c r="J205" s="8"/>
      <c r="K205" s="8"/>
    </row>
    <row r="206" spans="1:11" x14ac:dyDescent="0.35">
      <c r="A206" s="9">
        <v>205</v>
      </c>
      <c r="B206" s="10" t="s">
        <v>217</v>
      </c>
      <c r="C206" s="11">
        <v>44525</v>
      </c>
      <c r="D206" s="11">
        <v>44525</v>
      </c>
      <c r="E206" s="12">
        <f>-2710742.6*(-1)</f>
        <v>2710742.6</v>
      </c>
      <c r="F206" s="9"/>
      <c r="G206" s="8"/>
      <c r="H206" s="8"/>
      <c r="I206" s="8"/>
      <c r="J206" s="8"/>
      <c r="K206" s="8"/>
    </row>
    <row r="207" spans="1:11" x14ac:dyDescent="0.35">
      <c r="A207" s="9">
        <v>206</v>
      </c>
      <c r="B207" s="10" t="s">
        <v>218</v>
      </c>
      <c r="C207" s="11">
        <v>44528</v>
      </c>
      <c r="D207" s="11">
        <v>44528</v>
      </c>
      <c r="E207" s="12">
        <f>-2505794.59*(-1)</f>
        <v>2505794.59</v>
      </c>
      <c r="F207" s="9"/>
      <c r="G207" s="8"/>
      <c r="H207" s="8"/>
      <c r="I207" s="8"/>
      <c r="J207" s="8"/>
      <c r="K207" s="8"/>
    </row>
    <row r="208" spans="1:11" x14ac:dyDescent="0.35">
      <c r="A208" s="9">
        <v>207</v>
      </c>
      <c r="B208" s="10" t="s">
        <v>219</v>
      </c>
      <c r="C208" s="11">
        <v>44529</v>
      </c>
      <c r="D208" s="11">
        <v>44529</v>
      </c>
      <c r="E208" s="12">
        <f>-2729467.2*(-1)</f>
        <v>2729467.2</v>
      </c>
      <c r="F208" s="9"/>
      <c r="G208" s="8"/>
      <c r="H208" s="8"/>
      <c r="I208" s="8"/>
      <c r="J208" s="8"/>
      <c r="K208" s="8"/>
    </row>
    <row r="209" spans="1:11" x14ac:dyDescent="0.35">
      <c r="A209" s="9">
        <v>208</v>
      </c>
      <c r="B209" s="10" t="s">
        <v>220</v>
      </c>
      <c r="C209" s="11">
        <v>44529</v>
      </c>
      <c r="D209" s="11">
        <v>44529</v>
      </c>
      <c r="E209" s="12">
        <f>-2506581.35*(-1)</f>
        <v>2506581.3499999996</v>
      </c>
      <c r="F209" s="9"/>
      <c r="G209" s="8"/>
      <c r="H209" s="8"/>
      <c r="I209" s="8"/>
      <c r="J209" s="8"/>
      <c r="K209" s="8"/>
    </row>
    <row r="210" spans="1:11" x14ac:dyDescent="0.35">
      <c r="A210" s="9">
        <v>209</v>
      </c>
      <c r="B210" s="10" t="s">
        <v>221</v>
      </c>
      <c r="C210" s="11">
        <v>44532</v>
      </c>
      <c r="D210" s="11">
        <v>44532</v>
      </c>
      <c r="E210" s="12">
        <f>-2659210.52*(-1)</f>
        <v>2659210.52</v>
      </c>
      <c r="F210" s="9"/>
      <c r="G210" s="8"/>
      <c r="H210" s="8"/>
      <c r="I210" s="8"/>
      <c r="J210" s="8"/>
      <c r="K210" s="8"/>
    </row>
    <row r="211" spans="1:11" x14ac:dyDescent="0.35">
      <c r="A211" s="9">
        <v>210</v>
      </c>
      <c r="B211" s="10" t="s">
        <v>222</v>
      </c>
      <c r="C211" s="11">
        <v>44536</v>
      </c>
      <c r="D211" s="11">
        <v>44536</v>
      </c>
      <c r="E211" s="12">
        <f>-2714676.34*(-1)</f>
        <v>2714676.34</v>
      </c>
      <c r="F211" s="9"/>
      <c r="G211" s="8"/>
      <c r="H211" s="8"/>
      <c r="I211" s="8"/>
      <c r="J211" s="8"/>
      <c r="K211" s="8"/>
    </row>
    <row r="212" spans="1:11" x14ac:dyDescent="0.35">
      <c r="A212" s="9">
        <v>211</v>
      </c>
      <c r="B212" s="10" t="s">
        <v>223</v>
      </c>
      <c r="C212" s="11">
        <v>44537</v>
      </c>
      <c r="D212" s="11">
        <v>44537</v>
      </c>
      <c r="E212" s="12">
        <f>-2978709.16*(-1)</f>
        <v>2978709.16</v>
      </c>
      <c r="F212" s="9"/>
      <c r="G212" s="8"/>
      <c r="H212" s="8"/>
      <c r="I212" s="8"/>
      <c r="J212" s="8"/>
      <c r="K212" s="8"/>
    </row>
    <row r="213" spans="1:11" x14ac:dyDescent="0.35">
      <c r="A213" s="9">
        <v>212</v>
      </c>
      <c r="B213" s="10" t="s">
        <v>224</v>
      </c>
      <c r="C213" s="11">
        <v>44541</v>
      </c>
      <c r="D213" s="11">
        <v>44541</v>
      </c>
      <c r="E213" s="12">
        <f>-2695007.62*(-1)</f>
        <v>2695007.62</v>
      </c>
      <c r="F213" s="9"/>
      <c r="G213" s="8"/>
      <c r="H213" s="8"/>
      <c r="I213" s="8"/>
      <c r="J213" s="8"/>
      <c r="K213" s="8"/>
    </row>
    <row r="214" spans="1:11" x14ac:dyDescent="0.35">
      <c r="A214" s="9">
        <v>213</v>
      </c>
      <c r="B214" s="10" t="s">
        <v>225</v>
      </c>
      <c r="C214" s="11">
        <v>44542</v>
      </c>
      <c r="D214" s="11">
        <v>44542</v>
      </c>
      <c r="E214" s="12">
        <f>-2702875.11*(-1)</f>
        <v>2702875.11</v>
      </c>
      <c r="F214" s="9"/>
      <c r="G214" s="8"/>
      <c r="H214" s="8"/>
      <c r="I214" s="8"/>
      <c r="J214" s="8"/>
      <c r="K214" s="8"/>
    </row>
    <row r="215" spans="1:11" x14ac:dyDescent="0.35">
      <c r="A215" s="9">
        <v>214</v>
      </c>
      <c r="B215" s="10" t="s">
        <v>226</v>
      </c>
      <c r="C215" s="11">
        <v>44542</v>
      </c>
      <c r="D215" s="11">
        <v>44542</v>
      </c>
      <c r="E215" s="12">
        <f>-3039524.84*(-1)</f>
        <v>3039524.84</v>
      </c>
      <c r="F215" s="9"/>
      <c r="G215" s="8"/>
      <c r="H215" s="8"/>
      <c r="I215" s="8"/>
      <c r="J215" s="8"/>
      <c r="K215" s="8"/>
    </row>
    <row r="216" spans="1:11" x14ac:dyDescent="0.35">
      <c r="A216" s="9">
        <v>215</v>
      </c>
      <c r="B216" s="10" t="s">
        <v>227</v>
      </c>
      <c r="C216" s="11">
        <v>44545</v>
      </c>
      <c r="D216" s="11">
        <v>44545</v>
      </c>
      <c r="E216" s="12">
        <f>-2717823.33*(-1)</f>
        <v>2717823.33</v>
      </c>
      <c r="F216" s="9"/>
      <c r="G216" s="8"/>
      <c r="H216" s="8"/>
      <c r="I216" s="8"/>
      <c r="J216" s="8"/>
      <c r="K216" s="8"/>
    </row>
    <row r="217" spans="1:11" x14ac:dyDescent="0.35">
      <c r="A217" s="9">
        <v>216</v>
      </c>
      <c r="B217" s="10" t="s">
        <v>228</v>
      </c>
      <c r="C217" s="11">
        <v>44550</v>
      </c>
      <c r="D217" s="11">
        <v>44550</v>
      </c>
      <c r="E217" s="12">
        <f>-2595011.85*(-1)</f>
        <v>2595011.8500000006</v>
      </c>
      <c r="F217" s="9"/>
      <c r="G217" s="8"/>
      <c r="H217" s="8"/>
      <c r="I217" s="8"/>
      <c r="J217" s="8"/>
      <c r="K217" s="8"/>
    </row>
    <row r="218" spans="1:11" x14ac:dyDescent="0.35">
      <c r="A218" s="9">
        <v>217</v>
      </c>
      <c r="B218" s="10" t="s">
        <v>229</v>
      </c>
      <c r="C218" s="11">
        <v>44551</v>
      </c>
      <c r="D218" s="11">
        <v>44551</v>
      </c>
      <c r="E218" s="12">
        <f>-2848423.62*(-1)</f>
        <v>2848423.62</v>
      </c>
      <c r="F218" s="9"/>
      <c r="G218" s="8"/>
      <c r="H218" s="8"/>
      <c r="I218" s="8"/>
      <c r="J218" s="8"/>
      <c r="K218" s="8"/>
    </row>
    <row r="219" spans="1:11" x14ac:dyDescent="0.35">
      <c r="A219" s="9">
        <v>218</v>
      </c>
      <c r="B219" s="10" t="s">
        <v>230</v>
      </c>
      <c r="C219" s="11">
        <v>44552</v>
      </c>
      <c r="D219" s="11">
        <v>44552</v>
      </c>
      <c r="E219" s="12">
        <f>-2798937.11*(-1)</f>
        <v>2798937.1099999994</v>
      </c>
      <c r="F219" s="9"/>
      <c r="G219" s="8"/>
      <c r="H219" s="8"/>
      <c r="I219" s="8"/>
      <c r="J219" s="8"/>
      <c r="K219" s="8"/>
    </row>
    <row r="220" spans="1:11" x14ac:dyDescent="0.35">
      <c r="A220" s="9">
        <v>219</v>
      </c>
      <c r="B220" s="10" t="s">
        <v>231</v>
      </c>
      <c r="C220" s="11">
        <v>44553</v>
      </c>
      <c r="D220" s="11">
        <v>44553</v>
      </c>
      <c r="E220" s="12">
        <f>-2800274.59*(-1)</f>
        <v>2800274.5900000003</v>
      </c>
      <c r="F220" s="9"/>
      <c r="G220" s="8"/>
      <c r="H220" s="8"/>
      <c r="I220" s="8"/>
      <c r="J220" s="8"/>
      <c r="K220" s="8"/>
    </row>
    <row r="221" spans="1:11" x14ac:dyDescent="0.35">
      <c r="A221" s="9">
        <v>220</v>
      </c>
      <c r="B221" s="10" t="s">
        <v>232</v>
      </c>
      <c r="C221" s="11">
        <v>44556</v>
      </c>
      <c r="D221" s="11">
        <v>44556</v>
      </c>
      <c r="E221" s="12">
        <f>-2907980.45*(-1)</f>
        <v>2907980.4499999997</v>
      </c>
      <c r="F221" s="9"/>
      <c r="G221" s="8"/>
      <c r="H221" s="8"/>
      <c r="I221" s="8"/>
      <c r="J221" s="8"/>
      <c r="K221" s="8"/>
    </row>
    <row r="222" spans="1:11" x14ac:dyDescent="0.35">
      <c r="A222" s="9">
        <v>221</v>
      </c>
      <c r="B222" s="10" t="s">
        <v>233</v>
      </c>
      <c r="C222" s="11">
        <v>44557</v>
      </c>
      <c r="D222" s="11">
        <v>44557</v>
      </c>
      <c r="E222" s="12">
        <f>-2687769.52*(-1)</f>
        <v>2687769.52</v>
      </c>
      <c r="F222" s="9"/>
      <c r="G222" s="8"/>
      <c r="H222" s="8"/>
      <c r="I222" s="8"/>
      <c r="J222" s="8"/>
      <c r="K222" s="8"/>
    </row>
    <row r="223" spans="1:11" x14ac:dyDescent="0.35">
      <c r="A223" s="9">
        <v>222</v>
      </c>
      <c r="B223" s="10" t="s">
        <v>234</v>
      </c>
      <c r="C223" s="11">
        <v>44558</v>
      </c>
      <c r="D223" s="11">
        <v>44558</v>
      </c>
      <c r="E223" s="12">
        <f>-2695007.63*(-1)</f>
        <v>2695007.63</v>
      </c>
      <c r="F223" s="9"/>
      <c r="G223" s="8"/>
      <c r="H223" s="8"/>
      <c r="I223" s="8"/>
      <c r="J223" s="8"/>
      <c r="K223" s="8"/>
    </row>
    <row r="224" spans="1:11" x14ac:dyDescent="0.35">
      <c r="A224" s="9">
        <v>223</v>
      </c>
      <c r="B224" s="10" t="s">
        <v>235</v>
      </c>
      <c r="C224" s="11">
        <v>44558</v>
      </c>
      <c r="D224" s="11">
        <v>44558</v>
      </c>
      <c r="E224" s="12">
        <f>-2059865.4*(-1)</f>
        <v>2059865.4</v>
      </c>
      <c r="F224" s="9"/>
      <c r="G224" s="8"/>
      <c r="H224" s="8"/>
      <c r="I224" s="8"/>
      <c r="J224" s="8"/>
      <c r="K224" s="8"/>
    </row>
    <row r="225" spans="1:11" x14ac:dyDescent="0.35">
      <c r="A225" s="9"/>
      <c r="B225" s="17" t="s">
        <v>236</v>
      </c>
      <c r="C225" s="17"/>
      <c r="D225" s="17"/>
      <c r="E225" s="18">
        <f>SUM(E2:E224)</f>
        <v>481115911.59999979</v>
      </c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19" t="s">
        <v>17</v>
      </c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20" t="s">
        <v>30</v>
      </c>
      <c r="C230" s="21" t="s">
        <v>237</v>
      </c>
      <c r="D230" s="21"/>
      <c r="E230" s="21"/>
      <c r="F230" s="21"/>
      <c r="G230" s="21"/>
      <c r="H230" s="21"/>
      <c r="I230" s="21"/>
      <c r="J230" s="21"/>
      <c r="K230" s="21"/>
    </row>
    <row r="231" spans="1:1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</sheetData>
  <mergeCells count="2">
    <mergeCell ref="B225:D225"/>
    <mergeCell ref="C230:K2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CB71-81D7-4A4E-845F-AED022719590}">
  <sheetPr>
    <tabColor rgb="FF4BD0FF"/>
  </sheetPr>
  <dimension ref="A1:F223"/>
  <sheetViews>
    <sheetView workbookViewId="0">
      <selection activeCell="E2" sqref="E2"/>
    </sheetView>
  </sheetViews>
  <sheetFormatPr defaultRowHeight="15" customHeight="1" x14ac:dyDescent="0.35"/>
  <cols>
    <col min="1" max="1" width="15.1796875" style="3" bestFit="1" customWidth="1"/>
    <col min="2" max="2" width="11.453125" style="3" bestFit="1" customWidth="1"/>
    <col min="3" max="3" width="20.26953125" style="3" bestFit="1" customWidth="1"/>
    <col min="4" max="4" width="15.6328125" style="3" bestFit="1" customWidth="1"/>
    <col min="5" max="5" width="17.7265625" style="3" bestFit="1" customWidth="1"/>
    <col min="6" max="6" width="30.26953125" style="3" bestFit="1" customWidth="1"/>
    <col min="7" max="16384" width="8.7265625" style="3"/>
  </cols>
  <sheetData>
    <row r="1" spans="1:6" s="1" customFormat="1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238</v>
      </c>
      <c r="F1" s="2" t="s">
        <v>4</v>
      </c>
    </row>
    <row r="2" spans="1:6" ht="15" customHeight="1" x14ac:dyDescent="0.35">
      <c r="A2" s="3">
        <v>1</v>
      </c>
      <c r="B2" s="3" t="s">
        <v>5</v>
      </c>
      <c r="C2" s="3">
        <v>1</v>
      </c>
      <c r="D2" s="3">
        <v>12</v>
      </c>
      <c r="E2" s="4" t="s">
        <v>6</v>
      </c>
      <c r="F2" s="5">
        <v>-2698547.95</v>
      </c>
    </row>
    <row r="3" spans="1:6" ht="15" customHeight="1" x14ac:dyDescent="0.35">
      <c r="A3" s="3">
        <v>2</v>
      </c>
      <c r="B3" s="3" t="s">
        <v>5</v>
      </c>
      <c r="C3" s="3">
        <v>1</v>
      </c>
      <c r="D3" s="3">
        <v>50</v>
      </c>
      <c r="E3" s="4" t="s">
        <v>7</v>
      </c>
      <c r="F3" s="5">
        <v>-2200732.75</v>
      </c>
    </row>
    <row r="4" spans="1:6" ht="15" customHeight="1" x14ac:dyDescent="0.35">
      <c r="A4" s="3">
        <v>3</v>
      </c>
      <c r="B4" s="3" t="s">
        <v>5</v>
      </c>
      <c r="C4" s="3">
        <v>1</v>
      </c>
      <c r="D4" s="3">
        <v>89</v>
      </c>
      <c r="E4" s="4" t="s">
        <v>8</v>
      </c>
      <c r="F4" s="5">
        <v>-2067968.92</v>
      </c>
    </row>
    <row r="5" spans="1:6" ht="15" customHeight="1" x14ac:dyDescent="0.35">
      <c r="A5" s="3">
        <v>4</v>
      </c>
      <c r="B5" s="3" t="s">
        <v>5</v>
      </c>
      <c r="C5" s="3">
        <v>1</v>
      </c>
      <c r="D5" s="3">
        <v>125</v>
      </c>
      <c r="E5" s="4" t="s">
        <v>9</v>
      </c>
      <c r="F5" s="5">
        <v>-2181850.7799999998</v>
      </c>
    </row>
    <row r="6" spans="1:6" ht="15" customHeight="1" x14ac:dyDescent="0.35">
      <c r="A6" s="3">
        <v>5</v>
      </c>
      <c r="B6" s="3" t="s">
        <v>5</v>
      </c>
      <c r="C6" s="3">
        <v>1</v>
      </c>
      <c r="D6" s="3">
        <v>168</v>
      </c>
      <c r="E6" s="4" t="s">
        <v>10</v>
      </c>
      <c r="F6" s="5">
        <v>-2303993.54</v>
      </c>
    </row>
    <row r="7" spans="1:6" ht="15" customHeight="1" x14ac:dyDescent="0.35">
      <c r="A7" s="3">
        <v>6</v>
      </c>
      <c r="B7" s="3" t="s">
        <v>5</v>
      </c>
      <c r="C7" s="3">
        <v>1</v>
      </c>
      <c r="D7" s="3">
        <v>202</v>
      </c>
      <c r="E7" s="4" t="s">
        <v>11</v>
      </c>
      <c r="F7" s="5">
        <v>-2502254.19</v>
      </c>
    </row>
    <row r="8" spans="1:6" ht="15" customHeight="1" x14ac:dyDescent="0.35">
      <c r="E8" s="4"/>
      <c r="F8" s="5"/>
    </row>
    <row r="9" spans="1:6" ht="15" customHeight="1" x14ac:dyDescent="0.35">
      <c r="E9" s="4"/>
      <c r="F9" s="5"/>
    </row>
    <row r="10" spans="1:6" ht="15" customHeight="1" x14ac:dyDescent="0.35">
      <c r="E10" s="4"/>
      <c r="F10" s="5"/>
    </row>
    <row r="11" spans="1:6" ht="15" customHeight="1" x14ac:dyDescent="0.35">
      <c r="E11" s="4"/>
      <c r="F11" s="5"/>
    </row>
    <row r="12" spans="1:6" ht="15" customHeight="1" x14ac:dyDescent="0.35">
      <c r="E12" s="4"/>
      <c r="F12" s="5"/>
    </row>
    <row r="13" spans="1:6" ht="15" customHeight="1" x14ac:dyDescent="0.35">
      <c r="E13" s="4"/>
      <c r="F13" s="5"/>
    </row>
    <row r="14" spans="1:6" ht="15" customHeight="1" x14ac:dyDescent="0.35">
      <c r="E14" s="4"/>
      <c r="F14" s="5"/>
    </row>
    <row r="15" spans="1:6" ht="15" customHeight="1" x14ac:dyDescent="0.35">
      <c r="E15" s="4"/>
      <c r="F15" s="5"/>
    </row>
    <row r="16" spans="1:6" ht="15" customHeight="1" x14ac:dyDescent="0.35">
      <c r="E16" s="4"/>
      <c r="F16" s="5"/>
    </row>
    <row r="17" spans="5:6" ht="15" customHeight="1" x14ac:dyDescent="0.35">
      <c r="E17" s="4"/>
      <c r="F17" s="5"/>
    </row>
    <row r="18" spans="5:6" ht="15" customHeight="1" x14ac:dyDescent="0.35">
      <c r="E18" s="4"/>
      <c r="F18" s="5"/>
    </row>
    <row r="19" spans="5:6" ht="15" customHeight="1" x14ac:dyDescent="0.35">
      <c r="E19" s="4"/>
      <c r="F19" s="5"/>
    </row>
    <row r="20" spans="5:6" ht="15" customHeight="1" x14ac:dyDescent="0.35">
      <c r="E20" s="4"/>
      <c r="F20" s="5"/>
    </row>
    <row r="21" spans="5:6" ht="15" customHeight="1" x14ac:dyDescent="0.35">
      <c r="E21" s="4"/>
      <c r="F21" s="5"/>
    </row>
    <row r="22" spans="5:6" ht="15" customHeight="1" x14ac:dyDescent="0.35">
      <c r="E22" s="4"/>
      <c r="F22" s="5"/>
    </row>
    <row r="23" spans="5:6" ht="15" customHeight="1" x14ac:dyDescent="0.35">
      <c r="E23" s="4"/>
      <c r="F23" s="5"/>
    </row>
    <row r="24" spans="5:6" ht="15" customHeight="1" x14ac:dyDescent="0.35">
      <c r="E24" s="4"/>
      <c r="F24" s="5"/>
    </row>
    <row r="25" spans="5:6" ht="15" customHeight="1" x14ac:dyDescent="0.35">
      <c r="E25" s="4"/>
      <c r="F25" s="5"/>
    </row>
    <row r="26" spans="5:6" ht="15" customHeight="1" x14ac:dyDescent="0.35">
      <c r="E26" s="4"/>
      <c r="F26" s="5"/>
    </row>
    <row r="27" spans="5:6" ht="15" customHeight="1" x14ac:dyDescent="0.35">
      <c r="E27" s="4"/>
      <c r="F27" s="5"/>
    </row>
    <row r="28" spans="5:6" ht="15" customHeight="1" x14ac:dyDescent="0.35">
      <c r="E28" s="4"/>
      <c r="F28" s="5"/>
    </row>
    <row r="29" spans="5:6" ht="15" customHeight="1" x14ac:dyDescent="0.35">
      <c r="E29" s="4"/>
      <c r="F29" s="5"/>
    </row>
    <row r="30" spans="5:6" ht="15" customHeight="1" x14ac:dyDescent="0.35">
      <c r="E30" s="4"/>
      <c r="F30" s="5"/>
    </row>
    <row r="31" spans="5:6" ht="15" customHeight="1" x14ac:dyDescent="0.35">
      <c r="E31" s="4"/>
      <c r="F31" s="5"/>
    </row>
    <row r="32" spans="5:6" ht="15" customHeight="1" x14ac:dyDescent="0.35">
      <c r="E32" s="4"/>
      <c r="F32" s="5"/>
    </row>
    <row r="33" spans="5:6" ht="15" customHeight="1" x14ac:dyDescent="0.35">
      <c r="E33" s="4"/>
      <c r="F33" s="5"/>
    </row>
    <row r="34" spans="5:6" ht="15" customHeight="1" x14ac:dyDescent="0.35">
      <c r="E34" s="4"/>
      <c r="F34" s="5"/>
    </row>
    <row r="35" spans="5:6" ht="15" customHeight="1" x14ac:dyDescent="0.35">
      <c r="E35" s="4"/>
      <c r="F35" s="5"/>
    </row>
    <row r="36" spans="5:6" ht="15" customHeight="1" x14ac:dyDescent="0.35">
      <c r="E36" s="4"/>
      <c r="F36" s="5"/>
    </row>
    <row r="37" spans="5:6" ht="15" customHeight="1" x14ac:dyDescent="0.35">
      <c r="E37" s="4"/>
      <c r="F37" s="5"/>
    </row>
    <row r="38" spans="5:6" ht="15" customHeight="1" x14ac:dyDescent="0.35">
      <c r="E38" s="4"/>
      <c r="F38" s="5"/>
    </row>
    <row r="39" spans="5:6" ht="15" customHeight="1" x14ac:dyDescent="0.35">
      <c r="E39" s="4"/>
      <c r="F39" s="5"/>
    </row>
    <row r="40" spans="5:6" ht="15" customHeight="1" x14ac:dyDescent="0.35">
      <c r="E40" s="4"/>
      <c r="F40" s="5"/>
    </row>
    <row r="41" spans="5:6" ht="15" customHeight="1" x14ac:dyDescent="0.35">
      <c r="E41" s="4"/>
      <c r="F41" s="5"/>
    </row>
    <row r="42" spans="5:6" ht="15" customHeight="1" x14ac:dyDescent="0.35">
      <c r="E42" s="4"/>
      <c r="F42" s="5"/>
    </row>
    <row r="43" spans="5:6" ht="15" customHeight="1" x14ac:dyDescent="0.35">
      <c r="E43" s="4"/>
      <c r="F43" s="5"/>
    </row>
    <row r="44" spans="5:6" ht="15" customHeight="1" x14ac:dyDescent="0.35">
      <c r="E44" s="4"/>
      <c r="F44" s="5"/>
    </row>
    <row r="45" spans="5:6" ht="15" customHeight="1" x14ac:dyDescent="0.35">
      <c r="E45" s="4"/>
      <c r="F45" s="5"/>
    </row>
    <row r="46" spans="5:6" ht="15" customHeight="1" x14ac:dyDescent="0.35">
      <c r="E46" s="4"/>
      <c r="F46" s="5"/>
    </row>
    <row r="47" spans="5:6" ht="15" customHeight="1" x14ac:dyDescent="0.35">
      <c r="E47" s="4"/>
      <c r="F47" s="5"/>
    </row>
    <row r="48" spans="5:6" ht="15" customHeight="1" x14ac:dyDescent="0.35">
      <c r="E48" s="4"/>
      <c r="F48" s="5"/>
    </row>
    <row r="49" spans="5:6" ht="15" customHeight="1" x14ac:dyDescent="0.35">
      <c r="E49" s="4"/>
      <c r="F49" s="5"/>
    </row>
    <row r="50" spans="5:6" ht="15" customHeight="1" x14ac:dyDescent="0.35">
      <c r="E50" s="4"/>
      <c r="F50" s="5"/>
    </row>
    <row r="51" spans="5:6" ht="15" customHeight="1" x14ac:dyDescent="0.35">
      <c r="E51" s="4"/>
      <c r="F51" s="5"/>
    </row>
    <row r="52" spans="5:6" ht="15" customHeight="1" x14ac:dyDescent="0.35">
      <c r="E52" s="4"/>
      <c r="F52" s="5"/>
    </row>
    <row r="53" spans="5:6" ht="15" customHeight="1" x14ac:dyDescent="0.35">
      <c r="E53" s="4"/>
      <c r="F53" s="5"/>
    </row>
    <row r="54" spans="5:6" ht="15" customHeight="1" x14ac:dyDescent="0.35">
      <c r="E54" s="4"/>
      <c r="F54" s="5"/>
    </row>
    <row r="55" spans="5:6" ht="15" customHeight="1" x14ac:dyDescent="0.35">
      <c r="E55" s="4"/>
      <c r="F55" s="5"/>
    </row>
    <row r="56" spans="5:6" ht="15" customHeight="1" x14ac:dyDescent="0.35">
      <c r="E56" s="4"/>
      <c r="F56" s="5"/>
    </row>
    <row r="57" spans="5:6" ht="15" customHeight="1" x14ac:dyDescent="0.35">
      <c r="E57" s="4"/>
      <c r="F57" s="5"/>
    </row>
    <row r="58" spans="5:6" ht="15" customHeight="1" x14ac:dyDescent="0.35">
      <c r="E58" s="4"/>
      <c r="F58" s="5"/>
    </row>
    <row r="59" spans="5:6" ht="15" customHeight="1" x14ac:dyDescent="0.35">
      <c r="E59" s="4"/>
      <c r="F59" s="5"/>
    </row>
    <row r="60" spans="5:6" ht="15" customHeight="1" x14ac:dyDescent="0.35">
      <c r="E60" s="4"/>
      <c r="F60" s="5"/>
    </row>
    <row r="61" spans="5:6" ht="15" customHeight="1" x14ac:dyDescent="0.35">
      <c r="E61" s="4"/>
      <c r="F61" s="5"/>
    </row>
    <row r="62" spans="5:6" ht="15" customHeight="1" x14ac:dyDescent="0.35">
      <c r="E62" s="4"/>
      <c r="F62" s="5"/>
    </row>
    <row r="63" spans="5:6" ht="15" customHeight="1" x14ac:dyDescent="0.35">
      <c r="E63" s="4"/>
      <c r="F63" s="5"/>
    </row>
    <row r="64" spans="5:6" ht="15" customHeight="1" x14ac:dyDescent="0.35">
      <c r="E64" s="4"/>
      <c r="F64" s="5"/>
    </row>
    <row r="65" spans="5:6" ht="15" customHeight="1" x14ac:dyDescent="0.35">
      <c r="E65" s="4"/>
      <c r="F65" s="5"/>
    </row>
    <row r="66" spans="5:6" ht="15" customHeight="1" x14ac:dyDescent="0.35">
      <c r="E66" s="4"/>
      <c r="F66" s="5"/>
    </row>
    <row r="67" spans="5:6" ht="15" customHeight="1" x14ac:dyDescent="0.35">
      <c r="E67" s="4"/>
      <c r="F67" s="5"/>
    </row>
    <row r="68" spans="5:6" ht="15" customHeight="1" x14ac:dyDescent="0.35">
      <c r="E68" s="4"/>
      <c r="F68" s="5"/>
    </row>
    <row r="69" spans="5:6" ht="15" customHeight="1" x14ac:dyDescent="0.35">
      <c r="E69" s="4"/>
      <c r="F69" s="5"/>
    </row>
    <row r="70" spans="5:6" ht="15" customHeight="1" x14ac:dyDescent="0.35">
      <c r="E70" s="4"/>
      <c r="F70" s="5"/>
    </row>
    <row r="71" spans="5:6" ht="15" customHeight="1" x14ac:dyDescent="0.35">
      <c r="E71" s="4"/>
      <c r="F71" s="5"/>
    </row>
    <row r="72" spans="5:6" ht="15" customHeight="1" x14ac:dyDescent="0.35">
      <c r="E72" s="4"/>
      <c r="F72" s="5"/>
    </row>
    <row r="73" spans="5:6" ht="15" customHeight="1" x14ac:dyDescent="0.35">
      <c r="E73" s="4"/>
      <c r="F73" s="5"/>
    </row>
    <row r="74" spans="5:6" ht="15" customHeight="1" x14ac:dyDescent="0.35">
      <c r="E74" s="4"/>
      <c r="F74" s="5"/>
    </row>
    <row r="75" spans="5:6" ht="15" customHeight="1" x14ac:dyDescent="0.35">
      <c r="E75" s="4"/>
      <c r="F75" s="5"/>
    </row>
    <row r="76" spans="5:6" ht="15" customHeight="1" x14ac:dyDescent="0.35">
      <c r="E76" s="4"/>
      <c r="F76" s="5"/>
    </row>
    <row r="77" spans="5:6" ht="15" customHeight="1" x14ac:dyDescent="0.35">
      <c r="E77" s="4"/>
      <c r="F77" s="5"/>
    </row>
    <row r="78" spans="5:6" ht="15" customHeight="1" x14ac:dyDescent="0.35">
      <c r="E78" s="4"/>
      <c r="F78" s="5"/>
    </row>
    <row r="79" spans="5:6" ht="15" customHeight="1" x14ac:dyDescent="0.35">
      <c r="E79" s="4"/>
      <c r="F79" s="5"/>
    </row>
    <row r="80" spans="5:6" ht="15" customHeight="1" x14ac:dyDescent="0.35">
      <c r="E80" s="4"/>
      <c r="F80" s="5"/>
    </row>
    <row r="81" spans="5:6" ht="15" customHeight="1" x14ac:dyDescent="0.35">
      <c r="E81" s="4"/>
      <c r="F81" s="5"/>
    </row>
    <row r="82" spans="5:6" ht="15" customHeight="1" x14ac:dyDescent="0.35">
      <c r="E82" s="4"/>
      <c r="F82" s="5"/>
    </row>
    <row r="83" spans="5:6" ht="15" customHeight="1" x14ac:dyDescent="0.35">
      <c r="E83" s="4"/>
      <c r="F83" s="5"/>
    </row>
    <row r="84" spans="5:6" ht="15" customHeight="1" x14ac:dyDescent="0.35">
      <c r="E84" s="4"/>
      <c r="F84" s="5"/>
    </row>
    <row r="85" spans="5:6" ht="15" customHeight="1" x14ac:dyDescent="0.35">
      <c r="E85" s="4"/>
      <c r="F85" s="5"/>
    </row>
    <row r="86" spans="5:6" ht="15" customHeight="1" x14ac:dyDescent="0.35">
      <c r="E86" s="4"/>
      <c r="F86" s="5"/>
    </row>
    <row r="87" spans="5:6" ht="15" customHeight="1" x14ac:dyDescent="0.35">
      <c r="E87" s="4"/>
      <c r="F87" s="5"/>
    </row>
    <row r="88" spans="5:6" ht="15" customHeight="1" x14ac:dyDescent="0.35">
      <c r="E88" s="4"/>
      <c r="F88" s="5"/>
    </row>
    <row r="89" spans="5:6" ht="15" customHeight="1" x14ac:dyDescent="0.35">
      <c r="E89" s="4"/>
      <c r="F89" s="5"/>
    </row>
    <row r="90" spans="5:6" ht="15" customHeight="1" x14ac:dyDescent="0.35">
      <c r="E90" s="4"/>
      <c r="F90" s="5"/>
    </row>
    <row r="91" spans="5:6" ht="15" customHeight="1" x14ac:dyDescent="0.35">
      <c r="E91" s="4"/>
      <c r="F91" s="5"/>
    </row>
    <row r="92" spans="5:6" ht="15" customHeight="1" x14ac:dyDescent="0.35">
      <c r="E92" s="4"/>
      <c r="F92" s="5"/>
    </row>
    <row r="93" spans="5:6" ht="15" customHeight="1" x14ac:dyDescent="0.35">
      <c r="E93" s="4"/>
      <c r="F93" s="5"/>
    </row>
    <row r="94" spans="5:6" ht="15" customHeight="1" x14ac:dyDescent="0.35">
      <c r="E94" s="4"/>
      <c r="F94" s="5"/>
    </row>
    <row r="95" spans="5:6" ht="15" customHeight="1" x14ac:dyDescent="0.35">
      <c r="E95" s="4"/>
      <c r="F95" s="5"/>
    </row>
    <row r="96" spans="5:6" ht="15" customHeight="1" x14ac:dyDescent="0.35">
      <c r="E96" s="4"/>
      <c r="F96" s="5"/>
    </row>
    <row r="97" spans="5:6" ht="15" customHeight="1" x14ac:dyDescent="0.35">
      <c r="E97" s="4"/>
      <c r="F97" s="5"/>
    </row>
    <row r="98" spans="5:6" ht="15" customHeight="1" x14ac:dyDescent="0.35">
      <c r="E98" s="4"/>
      <c r="F98" s="5"/>
    </row>
    <row r="99" spans="5:6" ht="15" customHeight="1" x14ac:dyDescent="0.35">
      <c r="E99" s="4"/>
      <c r="F99" s="5"/>
    </row>
    <row r="100" spans="5:6" ht="15" customHeight="1" x14ac:dyDescent="0.35">
      <c r="E100" s="4"/>
      <c r="F100" s="5"/>
    </row>
    <row r="101" spans="5:6" ht="15" customHeight="1" x14ac:dyDescent="0.35">
      <c r="E101" s="4"/>
      <c r="F101" s="5"/>
    </row>
    <row r="102" spans="5:6" ht="15" customHeight="1" x14ac:dyDescent="0.35">
      <c r="E102" s="4"/>
      <c r="F102" s="5"/>
    </row>
    <row r="103" spans="5:6" ht="15" customHeight="1" x14ac:dyDescent="0.35">
      <c r="E103" s="4"/>
      <c r="F103" s="5"/>
    </row>
    <row r="104" spans="5:6" ht="15" customHeight="1" x14ac:dyDescent="0.35">
      <c r="E104" s="4"/>
      <c r="F104" s="5"/>
    </row>
    <row r="105" spans="5:6" ht="15" customHeight="1" x14ac:dyDescent="0.35">
      <c r="E105" s="4"/>
      <c r="F105" s="5"/>
    </row>
    <row r="106" spans="5:6" ht="15" customHeight="1" x14ac:dyDescent="0.35">
      <c r="E106" s="4"/>
      <c r="F106" s="5"/>
    </row>
    <row r="107" spans="5:6" ht="15" customHeight="1" x14ac:dyDescent="0.35">
      <c r="E107" s="4"/>
      <c r="F107" s="5"/>
    </row>
    <row r="108" spans="5:6" ht="15" customHeight="1" x14ac:dyDescent="0.35">
      <c r="E108" s="4"/>
      <c r="F108" s="5"/>
    </row>
    <row r="109" spans="5:6" ht="15" customHeight="1" x14ac:dyDescent="0.35">
      <c r="E109" s="4"/>
      <c r="F109" s="5"/>
    </row>
    <row r="110" spans="5:6" ht="15" customHeight="1" x14ac:dyDescent="0.35">
      <c r="E110" s="4"/>
      <c r="F110" s="5"/>
    </row>
    <row r="111" spans="5:6" ht="15" customHeight="1" x14ac:dyDescent="0.35">
      <c r="E111" s="4"/>
      <c r="F111" s="5"/>
    </row>
    <row r="112" spans="5:6" ht="15" customHeight="1" x14ac:dyDescent="0.35">
      <c r="E112" s="4"/>
      <c r="F112" s="5"/>
    </row>
    <row r="113" spans="5:6" ht="15" customHeight="1" x14ac:dyDescent="0.35">
      <c r="E113" s="4"/>
      <c r="F113" s="5"/>
    </row>
    <row r="114" spans="5:6" ht="15" customHeight="1" x14ac:dyDescent="0.35">
      <c r="E114" s="4"/>
      <c r="F114" s="5"/>
    </row>
    <row r="115" spans="5:6" ht="15" customHeight="1" x14ac:dyDescent="0.35">
      <c r="E115" s="4"/>
      <c r="F115" s="5"/>
    </row>
    <row r="116" spans="5:6" ht="15" customHeight="1" x14ac:dyDescent="0.35">
      <c r="E116" s="4"/>
      <c r="F116" s="5"/>
    </row>
    <row r="117" spans="5:6" ht="15" customHeight="1" x14ac:dyDescent="0.35">
      <c r="E117" s="4"/>
      <c r="F117" s="5"/>
    </row>
    <row r="118" spans="5:6" ht="15" customHeight="1" x14ac:dyDescent="0.35">
      <c r="E118" s="4"/>
      <c r="F118" s="5"/>
    </row>
    <row r="119" spans="5:6" ht="15" customHeight="1" x14ac:dyDescent="0.35">
      <c r="E119" s="4"/>
      <c r="F119" s="5"/>
    </row>
    <row r="120" spans="5:6" ht="15" customHeight="1" x14ac:dyDescent="0.35">
      <c r="E120" s="4"/>
      <c r="F120" s="5"/>
    </row>
    <row r="121" spans="5:6" ht="15" customHeight="1" x14ac:dyDescent="0.35">
      <c r="E121" s="4"/>
      <c r="F121" s="5"/>
    </row>
    <row r="122" spans="5:6" ht="15" customHeight="1" x14ac:dyDescent="0.35">
      <c r="E122" s="4"/>
      <c r="F122" s="5"/>
    </row>
    <row r="123" spans="5:6" ht="15" customHeight="1" x14ac:dyDescent="0.35">
      <c r="E123" s="4"/>
      <c r="F123" s="5"/>
    </row>
    <row r="124" spans="5:6" ht="15" customHeight="1" x14ac:dyDescent="0.35">
      <c r="E124" s="4"/>
      <c r="F124" s="5"/>
    </row>
    <row r="125" spans="5:6" ht="15" customHeight="1" x14ac:dyDescent="0.35">
      <c r="E125" s="4"/>
      <c r="F125" s="5"/>
    </row>
    <row r="126" spans="5:6" ht="15" customHeight="1" x14ac:dyDescent="0.35">
      <c r="E126" s="4"/>
      <c r="F126" s="5"/>
    </row>
    <row r="127" spans="5:6" ht="15" customHeight="1" x14ac:dyDescent="0.35">
      <c r="E127" s="4"/>
      <c r="F127" s="5"/>
    </row>
    <row r="128" spans="5:6" ht="15" customHeight="1" x14ac:dyDescent="0.35">
      <c r="E128" s="4"/>
      <c r="F128" s="5"/>
    </row>
    <row r="129" spans="5:6" ht="15" customHeight="1" x14ac:dyDescent="0.35">
      <c r="E129" s="4"/>
      <c r="F129" s="5"/>
    </row>
    <row r="130" spans="5:6" ht="15" customHeight="1" x14ac:dyDescent="0.35">
      <c r="E130" s="4"/>
      <c r="F130" s="5"/>
    </row>
    <row r="131" spans="5:6" ht="15" customHeight="1" x14ac:dyDescent="0.35">
      <c r="E131" s="4"/>
      <c r="F131" s="5"/>
    </row>
    <row r="132" spans="5:6" ht="15" customHeight="1" x14ac:dyDescent="0.35">
      <c r="E132" s="4"/>
      <c r="F132" s="5"/>
    </row>
    <row r="133" spans="5:6" ht="15" customHeight="1" x14ac:dyDescent="0.35">
      <c r="E133" s="4"/>
      <c r="F133" s="5"/>
    </row>
    <row r="134" spans="5:6" ht="15" customHeight="1" x14ac:dyDescent="0.35">
      <c r="E134" s="4"/>
      <c r="F134" s="5"/>
    </row>
    <row r="135" spans="5:6" ht="15" customHeight="1" x14ac:dyDescent="0.35">
      <c r="E135" s="4"/>
      <c r="F135" s="5"/>
    </row>
    <row r="136" spans="5:6" ht="15" customHeight="1" x14ac:dyDescent="0.35">
      <c r="E136" s="4"/>
      <c r="F136" s="5"/>
    </row>
    <row r="137" spans="5:6" ht="15" customHeight="1" x14ac:dyDescent="0.35">
      <c r="E137" s="4"/>
      <c r="F137" s="5"/>
    </row>
    <row r="138" spans="5:6" ht="15" customHeight="1" x14ac:dyDescent="0.35">
      <c r="E138" s="4"/>
      <c r="F138" s="5"/>
    </row>
    <row r="139" spans="5:6" ht="15" customHeight="1" x14ac:dyDescent="0.35">
      <c r="E139" s="4"/>
      <c r="F139" s="5"/>
    </row>
    <row r="140" spans="5:6" ht="15" customHeight="1" x14ac:dyDescent="0.35">
      <c r="E140" s="4"/>
      <c r="F140" s="5"/>
    </row>
    <row r="141" spans="5:6" ht="15" customHeight="1" x14ac:dyDescent="0.35">
      <c r="E141" s="4"/>
      <c r="F141" s="5"/>
    </row>
    <row r="142" spans="5:6" ht="15" customHeight="1" x14ac:dyDescent="0.35">
      <c r="E142" s="4"/>
      <c r="F142" s="5"/>
    </row>
    <row r="143" spans="5:6" ht="15" customHeight="1" x14ac:dyDescent="0.35">
      <c r="E143" s="4"/>
      <c r="F143" s="5"/>
    </row>
    <row r="144" spans="5:6" ht="15" customHeight="1" x14ac:dyDescent="0.35">
      <c r="E144" s="4"/>
      <c r="F144" s="5"/>
    </row>
    <row r="145" spans="5:6" ht="15" customHeight="1" x14ac:dyDescent="0.35">
      <c r="E145" s="4"/>
      <c r="F145" s="5"/>
    </row>
    <row r="146" spans="5:6" ht="15" customHeight="1" x14ac:dyDescent="0.35">
      <c r="E146" s="4"/>
      <c r="F146" s="5"/>
    </row>
    <row r="147" spans="5:6" ht="15" customHeight="1" x14ac:dyDescent="0.35">
      <c r="E147" s="4"/>
      <c r="F147" s="5"/>
    </row>
    <row r="148" spans="5:6" ht="15" customHeight="1" x14ac:dyDescent="0.35">
      <c r="E148" s="4"/>
      <c r="F148" s="5"/>
    </row>
    <row r="149" spans="5:6" ht="15" customHeight="1" x14ac:dyDescent="0.35">
      <c r="E149" s="4"/>
      <c r="F149" s="5"/>
    </row>
    <row r="150" spans="5:6" ht="15" customHeight="1" x14ac:dyDescent="0.35">
      <c r="E150" s="4"/>
      <c r="F150" s="5"/>
    </row>
    <row r="151" spans="5:6" ht="15" customHeight="1" x14ac:dyDescent="0.35">
      <c r="E151" s="4"/>
      <c r="F151" s="5"/>
    </row>
    <row r="152" spans="5:6" ht="15" customHeight="1" x14ac:dyDescent="0.35">
      <c r="E152" s="4"/>
      <c r="F152" s="5"/>
    </row>
    <row r="153" spans="5:6" ht="15" customHeight="1" x14ac:dyDescent="0.35">
      <c r="E153" s="4"/>
      <c r="F153" s="5"/>
    </row>
    <row r="154" spans="5:6" ht="15" customHeight="1" x14ac:dyDescent="0.35">
      <c r="E154" s="4"/>
      <c r="F154" s="5"/>
    </row>
    <row r="155" spans="5:6" ht="15" customHeight="1" x14ac:dyDescent="0.35">
      <c r="E155" s="4"/>
      <c r="F155" s="5"/>
    </row>
    <row r="156" spans="5:6" ht="15" customHeight="1" x14ac:dyDescent="0.35">
      <c r="E156" s="4"/>
      <c r="F156" s="5"/>
    </row>
    <row r="157" spans="5:6" ht="15" customHeight="1" x14ac:dyDescent="0.35">
      <c r="E157" s="4"/>
      <c r="F157" s="5"/>
    </row>
    <row r="158" spans="5:6" ht="15" customHeight="1" x14ac:dyDescent="0.35">
      <c r="E158" s="4"/>
      <c r="F158" s="5"/>
    </row>
    <row r="159" spans="5:6" ht="15" customHeight="1" x14ac:dyDescent="0.35">
      <c r="E159" s="4"/>
      <c r="F159" s="5"/>
    </row>
    <row r="160" spans="5:6" ht="15" customHeight="1" x14ac:dyDescent="0.35">
      <c r="E160" s="4"/>
      <c r="F160" s="5"/>
    </row>
    <row r="161" spans="5:6" ht="15" customHeight="1" x14ac:dyDescent="0.35">
      <c r="E161" s="4"/>
      <c r="F161" s="5"/>
    </row>
    <row r="162" spans="5:6" ht="15" customHeight="1" x14ac:dyDescent="0.35">
      <c r="E162" s="4"/>
      <c r="F162" s="5"/>
    </row>
    <row r="163" spans="5:6" ht="15" customHeight="1" x14ac:dyDescent="0.35">
      <c r="E163" s="4"/>
      <c r="F163" s="5"/>
    </row>
    <row r="164" spans="5:6" ht="15" customHeight="1" x14ac:dyDescent="0.35">
      <c r="E164" s="4"/>
      <c r="F164" s="5"/>
    </row>
    <row r="165" spans="5:6" ht="15" customHeight="1" x14ac:dyDescent="0.35">
      <c r="E165" s="4"/>
      <c r="F165" s="5"/>
    </row>
    <row r="166" spans="5:6" ht="15" customHeight="1" x14ac:dyDescent="0.35">
      <c r="E166" s="4"/>
      <c r="F166" s="5"/>
    </row>
    <row r="167" spans="5:6" ht="15" customHeight="1" x14ac:dyDescent="0.35">
      <c r="E167" s="4"/>
      <c r="F167" s="5"/>
    </row>
    <row r="168" spans="5:6" ht="15" customHeight="1" x14ac:dyDescent="0.35">
      <c r="E168" s="4"/>
      <c r="F168" s="5"/>
    </row>
    <row r="169" spans="5:6" ht="15" customHeight="1" x14ac:dyDescent="0.35">
      <c r="E169" s="4"/>
      <c r="F169" s="5"/>
    </row>
    <row r="170" spans="5:6" ht="15" customHeight="1" x14ac:dyDescent="0.35">
      <c r="E170" s="4"/>
      <c r="F170" s="5"/>
    </row>
    <row r="171" spans="5:6" ht="15" customHeight="1" x14ac:dyDescent="0.35">
      <c r="E171" s="4"/>
      <c r="F171" s="5"/>
    </row>
    <row r="172" spans="5:6" ht="15" customHeight="1" x14ac:dyDescent="0.35">
      <c r="E172" s="4"/>
      <c r="F172" s="5"/>
    </row>
    <row r="173" spans="5:6" ht="15" customHeight="1" x14ac:dyDescent="0.35">
      <c r="E173" s="4"/>
      <c r="F173" s="5"/>
    </row>
    <row r="174" spans="5:6" ht="15" customHeight="1" x14ac:dyDescent="0.35">
      <c r="E174" s="4"/>
      <c r="F174" s="5"/>
    </row>
    <row r="175" spans="5:6" ht="15" customHeight="1" x14ac:dyDescent="0.35">
      <c r="E175" s="4"/>
      <c r="F175" s="5"/>
    </row>
    <row r="176" spans="5:6" ht="15" customHeight="1" x14ac:dyDescent="0.35">
      <c r="E176" s="4"/>
      <c r="F176" s="5"/>
    </row>
    <row r="177" spans="5:6" ht="15" customHeight="1" x14ac:dyDescent="0.35">
      <c r="E177" s="4"/>
      <c r="F177" s="5"/>
    </row>
    <row r="178" spans="5:6" ht="15" customHeight="1" x14ac:dyDescent="0.35">
      <c r="E178" s="4"/>
      <c r="F178" s="5"/>
    </row>
    <row r="179" spans="5:6" ht="15" customHeight="1" x14ac:dyDescent="0.35">
      <c r="E179" s="4"/>
      <c r="F179" s="5"/>
    </row>
    <row r="180" spans="5:6" ht="15" customHeight="1" x14ac:dyDescent="0.35">
      <c r="E180" s="4"/>
      <c r="F180" s="5"/>
    </row>
    <row r="181" spans="5:6" ht="15" customHeight="1" x14ac:dyDescent="0.35">
      <c r="E181" s="4"/>
      <c r="F181" s="5"/>
    </row>
    <row r="182" spans="5:6" ht="15" customHeight="1" x14ac:dyDescent="0.35">
      <c r="E182" s="4"/>
      <c r="F182" s="5"/>
    </row>
    <row r="183" spans="5:6" ht="15" customHeight="1" x14ac:dyDescent="0.35">
      <c r="E183" s="4"/>
      <c r="F183" s="5"/>
    </row>
    <row r="184" spans="5:6" ht="15" customHeight="1" x14ac:dyDescent="0.35">
      <c r="E184" s="4"/>
      <c r="F184" s="5"/>
    </row>
    <row r="185" spans="5:6" ht="15" customHeight="1" x14ac:dyDescent="0.35">
      <c r="E185" s="4"/>
      <c r="F185" s="5"/>
    </row>
    <row r="186" spans="5:6" ht="15" customHeight="1" x14ac:dyDescent="0.35">
      <c r="E186" s="4"/>
      <c r="F186" s="5"/>
    </row>
    <row r="187" spans="5:6" ht="15" customHeight="1" x14ac:dyDescent="0.35">
      <c r="E187" s="4"/>
      <c r="F187" s="5"/>
    </row>
    <row r="188" spans="5:6" ht="15" customHeight="1" x14ac:dyDescent="0.35">
      <c r="E188" s="4"/>
      <c r="F188" s="5"/>
    </row>
    <row r="189" spans="5:6" ht="15" customHeight="1" x14ac:dyDescent="0.35">
      <c r="E189" s="4"/>
      <c r="F189" s="5"/>
    </row>
    <row r="190" spans="5:6" ht="15" customHeight="1" x14ac:dyDescent="0.35">
      <c r="E190" s="4"/>
      <c r="F190" s="5"/>
    </row>
    <row r="191" spans="5:6" ht="15" customHeight="1" x14ac:dyDescent="0.35">
      <c r="E191" s="4"/>
      <c r="F191" s="5"/>
    </row>
    <row r="192" spans="5:6" ht="15" customHeight="1" x14ac:dyDescent="0.35">
      <c r="E192" s="4"/>
      <c r="F192" s="5"/>
    </row>
    <row r="193" spans="5:6" ht="15" customHeight="1" x14ac:dyDescent="0.35">
      <c r="E193" s="4"/>
      <c r="F193" s="5"/>
    </row>
    <row r="194" spans="5:6" ht="15" customHeight="1" x14ac:dyDescent="0.35">
      <c r="E194" s="4"/>
      <c r="F194" s="5"/>
    </row>
    <row r="195" spans="5:6" ht="15" customHeight="1" x14ac:dyDescent="0.35">
      <c r="E195" s="4"/>
      <c r="F195" s="5"/>
    </row>
    <row r="196" spans="5:6" ht="15" customHeight="1" x14ac:dyDescent="0.35">
      <c r="E196" s="4"/>
      <c r="F196" s="5"/>
    </row>
    <row r="197" spans="5:6" ht="15" customHeight="1" x14ac:dyDescent="0.35">
      <c r="E197" s="4"/>
      <c r="F197" s="5"/>
    </row>
    <row r="198" spans="5:6" ht="15" customHeight="1" x14ac:dyDescent="0.35">
      <c r="E198" s="4"/>
      <c r="F198" s="5"/>
    </row>
    <row r="199" spans="5:6" ht="15" customHeight="1" x14ac:dyDescent="0.35">
      <c r="E199" s="4"/>
      <c r="F199" s="5"/>
    </row>
    <row r="200" spans="5:6" ht="15" customHeight="1" x14ac:dyDescent="0.35">
      <c r="E200" s="4"/>
      <c r="F200" s="5"/>
    </row>
    <row r="201" spans="5:6" ht="15" customHeight="1" x14ac:dyDescent="0.35">
      <c r="E201" s="4"/>
      <c r="F201" s="5"/>
    </row>
    <row r="202" spans="5:6" ht="15" customHeight="1" x14ac:dyDescent="0.35">
      <c r="E202" s="4"/>
      <c r="F202" s="5"/>
    </row>
    <row r="203" spans="5:6" ht="15" customHeight="1" x14ac:dyDescent="0.35">
      <c r="E203" s="4"/>
      <c r="F203" s="5"/>
    </row>
    <row r="204" spans="5:6" ht="15" customHeight="1" x14ac:dyDescent="0.35">
      <c r="E204" s="4"/>
      <c r="F204" s="5"/>
    </row>
    <row r="205" spans="5:6" ht="15" customHeight="1" x14ac:dyDescent="0.35">
      <c r="E205" s="4"/>
      <c r="F205" s="5"/>
    </row>
    <row r="206" spans="5:6" ht="15" customHeight="1" x14ac:dyDescent="0.35">
      <c r="E206" s="4"/>
      <c r="F206" s="5"/>
    </row>
    <row r="207" spans="5:6" ht="15" customHeight="1" x14ac:dyDescent="0.35">
      <c r="E207" s="4"/>
      <c r="F207" s="5"/>
    </row>
    <row r="208" spans="5:6" ht="15" customHeight="1" x14ac:dyDescent="0.35">
      <c r="E208" s="4"/>
      <c r="F208" s="5"/>
    </row>
    <row r="209" spans="5:6" ht="15" customHeight="1" x14ac:dyDescent="0.35">
      <c r="E209" s="4"/>
      <c r="F209" s="5"/>
    </row>
    <row r="210" spans="5:6" ht="15" customHeight="1" x14ac:dyDescent="0.35">
      <c r="E210" s="4"/>
      <c r="F210" s="5"/>
    </row>
    <row r="211" spans="5:6" ht="15" customHeight="1" x14ac:dyDescent="0.35">
      <c r="E211" s="4"/>
      <c r="F211" s="5"/>
    </row>
    <row r="212" spans="5:6" ht="15" customHeight="1" x14ac:dyDescent="0.35">
      <c r="E212" s="4"/>
      <c r="F212" s="5"/>
    </row>
    <row r="213" spans="5:6" ht="15" customHeight="1" x14ac:dyDescent="0.35">
      <c r="E213" s="4"/>
      <c r="F213" s="5"/>
    </row>
    <row r="214" spans="5:6" ht="15" customHeight="1" x14ac:dyDescent="0.35">
      <c r="E214" s="4"/>
      <c r="F214" s="5"/>
    </row>
    <row r="215" spans="5:6" ht="15" customHeight="1" x14ac:dyDescent="0.35">
      <c r="E215" s="4"/>
      <c r="F215" s="5"/>
    </row>
    <row r="216" spans="5:6" ht="15" customHeight="1" x14ac:dyDescent="0.35">
      <c r="E216" s="4"/>
      <c r="F216" s="5"/>
    </row>
    <row r="217" spans="5:6" ht="15" customHeight="1" x14ac:dyDescent="0.35">
      <c r="E217" s="4"/>
      <c r="F217" s="5"/>
    </row>
    <row r="218" spans="5:6" ht="15" customHeight="1" x14ac:dyDescent="0.35">
      <c r="E218" s="4"/>
      <c r="F218" s="5"/>
    </row>
    <row r="219" spans="5:6" ht="15" customHeight="1" x14ac:dyDescent="0.35">
      <c r="E219" s="4"/>
      <c r="F219" s="5"/>
    </row>
    <row r="220" spans="5:6" ht="15" customHeight="1" x14ac:dyDescent="0.35">
      <c r="E220" s="4"/>
      <c r="F220" s="5"/>
    </row>
    <row r="221" spans="5:6" ht="15" customHeight="1" x14ac:dyDescent="0.35">
      <c r="E221" s="4"/>
      <c r="F221" s="5"/>
    </row>
    <row r="222" spans="5:6" ht="15" customHeight="1" x14ac:dyDescent="0.35">
      <c r="E222" s="4"/>
      <c r="F222" s="5"/>
    </row>
    <row r="223" spans="5:6" ht="15" customHeight="1" x14ac:dyDescent="0.35">
      <c r="E223" s="4"/>
      <c r="F22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for substantive</vt:lpstr>
      <vt:lpstr>MUS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2015-06-05T18:17:20Z</dcterms:created>
  <dcterms:modified xsi:type="dcterms:W3CDTF">2022-01-25T07:32:47Z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2022-01-25T07:04:01Z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0a688ceb-384f-4ddc-916c-a20e0c5d2e40</vt:lpwstr>
  </property>
  <property fmtid="{D5CDD505-2E9C-101B-9397-08002B2CF9AE}" pid="8" name="MSIP_Label_ea60d57e-af5b-4752-ac57-3e4f28ca11dc_ContentBits">
    <vt:lpwstr>0</vt:lpwstr>
  </property>
</Properties>
</file>