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jects\Excel - Awesome Chocolates - Clean, Analyze and Present Data\"/>
    </mc:Choice>
  </mc:AlternateContent>
  <xr:revisionPtr revIDLastSave="0" documentId="13_ncr:1_{F5C264FD-5367-4AAF-93A5-67CB3C0600A4}" xr6:coauthVersionLast="47" xr6:coauthVersionMax="47" xr10:uidLastSave="{00000000-0000-0000-0000-000000000000}"/>
  <bookViews>
    <workbookView xWindow="-120" yWindow="-120" windowWidth="24240" windowHeight="13020" tabRatio="736" firstSheet="2" activeTab="8" xr2:uid="{26D4546B-D2A1-4444-8EAF-A6228F96F0C1}"/>
  </bookViews>
  <sheets>
    <sheet name="Data" sheetId="1" r:id="rId1"/>
    <sheet name="India Staff" sheetId="2" r:id="rId2"/>
    <sheet name="All Staff" sheetId="3" r:id="rId3"/>
    <sheet name="Info Finder 2.0" sheetId="4" r:id="rId4"/>
    <sheet name="Male vs Female" sheetId="5" r:id="rId5"/>
    <sheet name="Salary Spread" sheetId="6" r:id="rId6"/>
    <sheet name="Salary vs Rating" sheetId="7" r:id="rId7"/>
    <sheet name="Employee Trend" sheetId="9" r:id="rId8"/>
    <sheet name="Ind vs. Nz" sheetId="10" r:id="rId9"/>
    <sheet name="Sheet6" sheetId="8" r:id="rId10"/>
  </sheets>
  <definedNames>
    <definedName name="_xlnm._FilterDatabase" localSheetId="0" hidden="1">Data!$C$5:$I$105</definedName>
    <definedName name="_xlnm._FilterDatabase" localSheetId="1" hidden="1">'India Staff'!$B$2:$H$114</definedName>
    <definedName name="_xlchart.v1.0" hidden="1">'All Staff'!$G$1</definedName>
    <definedName name="_xlchart.v1.1" hidden="1">'All Staff'!$G$2:$G$184</definedName>
    <definedName name="_xlchart.v1.2" hidden="1">'All Staff'!$G$1</definedName>
    <definedName name="_xlchart.v1.3" hidden="1">'All Staff'!$G$2:$G$184</definedName>
    <definedName name="_xlchart.v1.4" hidden="1">'All Staff'!$G$1</definedName>
    <definedName name="_xlchart.v1.5" hidden="1">'All Staff'!$G$2:$G$184</definedName>
    <definedName name="_xlcn.WorksheetConnection_2.SolvingBusinessQuestions.xlsxTable_staff1" hidden="1">Table_staff[]</definedName>
    <definedName name="ExternalData_1" localSheetId="2" hidden="1">'All Staff'!$A$1:$H$184</definedName>
    <definedName name="Slicer_Country">#N/A</definedName>
  </definedNames>
  <calcPr calcId="191029"/>
  <pivotCaches>
    <pivotCache cacheId="135" r:id="rId11"/>
    <pivotCache cacheId="139" r:id="rId12"/>
    <pivotCache cacheId="199" r:id="rId13"/>
    <pivotCache cacheId="247" r:id="rId14"/>
    <pivotCache cacheId="250" r:id="rId15"/>
  </pivotCaches>
  <extLst>
    <ext xmlns:x14="http://schemas.microsoft.com/office/spreadsheetml/2009/9/main" uri="{876F7934-8845-4945-9796-88D515C7AA90}">
      <x14:pivotCaches>
        <pivotCache cacheId="138"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taff" name="Table_staff" connection="WorksheetConnection_2. Solving Business Questions.xlsx!Table_staff"/>
        </x15:modelTables>
        <x15:extLst>
          <ext xmlns:x16="http://schemas.microsoft.com/office/spreadsheetml/2014/11/main" uri="{9835A34E-60A6-4A7C-AAB8-D5F71C897F49}">
            <x16:modelTimeGroupings>
              <x16:modelTimeGrouping tableName="Table_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0" l="1"/>
  <c r="I4" i="10"/>
  <c r="K4" i="10" s="1"/>
  <c r="F4" i="10"/>
  <c r="D4" i="10"/>
  <c r="B4" i="10"/>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5" i="9"/>
  <c r="O5" i="9" a="1"/>
  <c r="O5" i="9" s="1"/>
  <c r="N5" i="9" a="1"/>
  <c r="N5"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6" i="4"/>
  <c r="O10" i="3"/>
  <c r="O7" i="3"/>
  <c r="I2" i="3"/>
  <c r="J2" i="3" s="1"/>
  <c r="I3" i="3"/>
  <c r="J3"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P5" i="3"/>
  <c r="O5" i="3"/>
  <c r="P4" i="3"/>
  <c r="O4" i="3"/>
  <c r="O3" i="3"/>
  <c r="F106" i="1"/>
  <c r="H106" i="1"/>
  <c r="H115" i="2"/>
  <c r="I106" i="1"/>
  <c r="O18" i="3" l="1" a="1"/>
  <c r="O18" i="3" s="1"/>
  <c r="B9" i="4" a="1"/>
  <c r="B9" i="4" s="1"/>
  <c r="O8" i="3"/>
  <c r="O11" i="3"/>
  <c r="O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ED7A22-2992-4EE4-A2B2-58A06AB93527}"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2656E33B-52D9-41BD-BB7C-490ECE39DA2E}"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DD2EC4DF-E560-4EA6-8CF7-8073F376D7B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09EEB944-70BC-4CAB-8BF5-1445D9936B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3DC8FE-0231-4DD7-BE70-E9B99C1F064A}" name="WorksheetConnection_2. Solving Business Questions.xlsx!Table_staff" type="102" refreshedVersion="8" minRefreshableVersion="5">
    <extLst>
      <ext xmlns:x15="http://schemas.microsoft.com/office/spreadsheetml/2010/11/main" uri="{DE250136-89BD-433C-8126-D09CA5730AF9}">
        <x15:connection id="Table_staff" autoDelete="1">
          <x15:rangePr sourceName="_xlcn.WorksheetConnection_2.SolvingBusinessQuestions.xlsxTable_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Table_staff].[Country].&amp;[IND]}"/>
    <s v="{[Table_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<sst xmlns="http://schemas.openxmlformats.org/spreadsheetml/2006/main" count="1894" uniqueCount="254">
  <si>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</si>
  <si>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</si>
  <si>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</si>
  <si>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</si>
  <si>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</si>
  <si>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</si>
  <si>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</si>
  <si>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</si>
  <si>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</si>
  <si>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</si>
  <si>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</si>
  <si>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</si>
  <si>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</si>
  <si>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</si>
  <si>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</si>
  <si>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</si>
  <si>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</si>
  <si>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</si>
  <si>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</si>
  <si>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</si>
  <si>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</si>
  <si>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</si>
  <si>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</si>
  <si>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</si>
  <si>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</si>
  <si>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</si>
  <si>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</si>
  <si>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</si>
  <si>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</si>
  <si>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</si>
  <si>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</si>
  <si>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</si>
  <si>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</si>
  <si>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</si>
  <si>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</si>
  <si>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</si>
  <si>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</si>
  <si>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</si>
  <si>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</si>
  <si>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</si>
  <si>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</si>
  <si>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</si>
  <si>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</si>
  <si>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</si>
  <si>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</si>
  <si>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</si>
  <si>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</si>
  <si>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</si>
  <si>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</si>
  <si>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</si>
  <si>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</si>
  <si>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</si>
  <si>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</si>
  <si>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</si>
  <si>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</si>
  <si>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</si>
  <si>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</si>
  <si>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</si>
  <si>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</si>
  <si>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</si>
  <si>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</si>
  <si>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</si>
  <si>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</si>
  <si>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</si>
  <si>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</si>
  <si>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</si>
  <si>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</si>
  <si>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</si>
  <si>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</si>
  <si>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</si>
  <si>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</si>
  <si>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</si>
  <si>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</si>
  <si>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</si>
  <si>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</si>
  <si>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</si>
  <si>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</si>
  <si>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</si>
  <si>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</si>
  <si>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</si>
  <si>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</si>
  <si>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</si>
  <si>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</si>
  <si>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</si>
  <si>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</si>
  <si>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</si>
  <si>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</si>
  <si>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</si>
  <si>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</si>
  <si>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</si>
  <si>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</si>
  <si>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</si>
  <si>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</si>
  <si>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</si>
  <si>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</si>
  <si>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</si>
  <si>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</si>
  <si>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</si>
  <si>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</si>
  <si>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</si>
  <si>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</si>
  <si>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</si>
  <si>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</si>
  <si>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</si>
  <si>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</si>
  <si>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</si>
  <si>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</si>
  <si>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</si>
  <si>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</si>
  <si>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</si>
  <si>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</si>
  <si>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</si>
  <si>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</si>
  <si>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</si>
  <si>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</si>
  <si>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</si>
  <si>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</si>
  <si>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</si>
  <si>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</si>
  <si>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</si>
  <si>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</si>
  <si>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</si>
  <si>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</si>
  <si>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</si>
  <si>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</si>
  <si>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</si>
  <si>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</si>
  <si>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</si>
  <si>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</si>
  <si>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</si>
  <si>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</si>
  <si>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</si>
  <si>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</si>
  <si>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</si>
  <si>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</si>
  <si>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</si>
  <si>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</si>
  <si>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</si>
  <si>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</si>
  <si>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</si>
  <si>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</si>
  <si>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</si>
  <si>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</si>
  <si>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</si>
  <si>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</si>
  <si>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</si>
  <si>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</si>
  <si>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</si>
  <si>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</si>
  <si>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</si>
  <si>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</si>
  <si>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</si>
  <si>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</si>
  <si>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</si>
  <si>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</si>
  <si>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</si>
  <si>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</si>
  <si>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</si>
  <si>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</si>
  <si>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</si>
  <si>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</si>
  <si>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</si>
  <si>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</si>
  <si>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</si>
  <si>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</si>
  <si>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</si>
  <si>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</si>
  <si>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</si>
  <si>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</si>
  <si>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</si>
  <si>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</si>
  <si>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</si>
  <si>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</si>
  <si>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</si>
  <si>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</si>
  <si>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</si>
  <si>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</si>
  <si>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</si>
  <si>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</si>
  <si>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</si>
  <si>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</si>
  <si>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</si>
  <si>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</si>
  <si>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</si>
  <si>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</si>
  <si>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</si>
  <si>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</si>
  <si>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</si>
  <si>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</si>
  <si>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</si>
  <si>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</si>
  <si>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</si>
  <si>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</si>
  <si>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</si>
  <si>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</si>
  <si>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</si>
  <si>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</si>
  <si>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</si>
  <si>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</si>
  <si>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</si>
  <si>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</si>
  <si>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</si>
  <si>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</si>
  <si>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</si>
  <si>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</si>
  <si>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</si>
  <si>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</si>
  <si>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</si>
  <si>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t>
  </si>
  <si>
    <t>Average Salary</t>
  </si>
  <si>
    <t>Average Age</t>
  </si>
  <si>
    <t>Average Tenure</t>
  </si>
  <si>
    <t>Tenure</t>
  </si>
  <si>
    <t>Female Count</t>
  </si>
  <si>
    <t>Female Ratio%</t>
  </si>
  <si>
    <t>Count of Above 90,000</t>
  </si>
  <si>
    <t>Ration of Above 90,000</t>
  </si>
  <si>
    <t>Quick Analysis of the Data</t>
  </si>
  <si>
    <t>Information Finder</t>
  </si>
  <si>
    <t>Information Finder 2.0</t>
  </si>
  <si>
    <t>Number of People</t>
  </si>
  <si>
    <t>Male vs Female Comparison</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</si>
  <si>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</si>
  <si>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</si>
  <si>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</si>
  <si>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</si>
  <si>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</si>
  <si>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</si>
  <si>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</si>
  <si>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</si>
  <si>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</si>
  <si>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</si>
  <si>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</si>
  <si>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</si>
  <si>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</si>
  <si>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</si>
  <si>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</si>
  <si>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</si>
  <si>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</si>
  <si>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</si>
  <si>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</si>
  <si>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</si>
  <si>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</si>
  <si>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</si>
  <si>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</si>
  <si>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</si>
  <si>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</si>
  <si>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</si>
  <si>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</si>
  <si>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</si>
  <si>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</si>
  <si>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Head 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</si>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</sst>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74" formatCode="&quot;$&quot;#,##0"/>
  </numFmts>
  <fonts count="9"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sz val="48"/>
      <color theme="0"/>
      <name val="Segoe UI Black"/>
      <family val="2"/>
    </font>
    <font>
      <sz val="18"/>
      <color theme="0"/>
      <name val="Segoe UI Black"/>
      <family val="2"/>
    </font>
    <font>
      <sz val="22"/>
      <color theme="0"/>
      <name val="Segoe UI Black"/>
      <family val="2"/>
    </font>
    <font>
      <sz val="24"/>
      <color theme="1"/>
      <name val="ADLaM Display"/>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34998626667073579"/>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0" fontId="0" fillId="0" borderId="0" xfId="0" applyNumberFormat="1"/>
    <xf numFmtId="14" fontId="0" fillId="0" borderId="0" xfId="0" applyNumberFormat="1"/>
    <xf numFmtId="2" fontId="0" fillId="0" borderId="0" xfId="0" applyNumberFormat="1"/>
    <xf numFmtId="9" fontId="0" fillId="0" borderId="0" xfId="1" applyFont="1"/>
    <xf numFmtId="9" fontId="0" fillId="0" borderId="0" xfId="0" applyNumberFormat="1" applyFont="1"/>
    <xf numFmtId="0" fontId="0" fillId="0" borderId="0" xfId="0" applyAlignment="1">
      <alignment horizontal="center"/>
    </xf>
    <xf numFmtId="0" fontId="0" fillId="4" borderId="0" xfId="0" applyFill="1" applyAlignment="1">
      <alignment horizontal="center"/>
    </xf>
    <xf numFmtId="0" fontId="0" fillId="4" borderId="0" xfId="0" applyFill="1"/>
    <xf numFmtId="0" fontId="0" fillId="0" borderId="0" xfId="0" applyAlignment="1">
      <alignment horizontal="left"/>
    </xf>
    <xf numFmtId="0" fontId="0" fillId="0" borderId="0" xfId="0" applyBorder="1"/>
    <xf numFmtId="0" fontId="0" fillId="0" borderId="1" xfId="0" applyBorder="1"/>
    <xf numFmtId="0" fontId="0" fillId="0" borderId="2" xfId="0" applyBorder="1"/>
    <xf numFmtId="0" fontId="0" fillId="0" borderId="2" xfId="0" applyBorder="1" applyAlignment="1">
      <alignment horizontal="left"/>
    </xf>
    <xf numFmtId="0" fontId="0" fillId="6" borderId="0" xfId="0" applyFill="1"/>
    <xf numFmtId="15" fontId="0" fillId="0" borderId="2" xfId="0" applyNumberFormat="1" applyBorder="1" applyAlignment="1">
      <alignment horizontal="left"/>
    </xf>
    <xf numFmtId="0" fontId="4" fillId="0" borderId="0" xfId="0" applyFont="1"/>
    <xf numFmtId="0" fontId="4" fillId="7" borderId="2" xfId="0" applyFont="1" applyFill="1" applyBorder="1"/>
    <xf numFmtId="0" fontId="3" fillId="8" borderId="2" xfId="0" applyFont="1" applyFill="1" applyBorder="1"/>
    <xf numFmtId="0" fontId="0" fillId="9" borderId="2" xfId="0" applyFill="1" applyBorder="1"/>
    <xf numFmtId="0" fontId="0" fillId="0" borderId="0" xfId="0" pivotButton="1"/>
    <xf numFmtId="6" fontId="0" fillId="0" borderId="0" xfId="0" applyNumberFormat="1"/>
    <xf numFmtId="174" fontId="0" fillId="0" borderId="0" xfId="0" applyNumberFormat="1"/>
    <xf numFmtId="0" fontId="0" fillId="0" borderId="0" xfId="0" applyAlignment="1">
      <alignment horizontal="left" inden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5" fillId="10" borderId="0" xfId="0" applyFont="1" applyFill="1" applyAlignment="1">
      <alignment horizontal="center" vertical="center"/>
    </xf>
    <xf numFmtId="9" fontId="6" fillId="10" borderId="0" xfId="0" applyNumberFormat="1" applyFont="1" applyFill="1" applyAlignment="1">
      <alignment horizontal="center" vertical="center"/>
    </xf>
    <xf numFmtId="0" fontId="5" fillId="5" borderId="0" xfId="0" applyFont="1" applyFill="1" applyAlignment="1">
      <alignment horizontal="center" vertical="center"/>
    </xf>
    <xf numFmtId="9" fontId="7" fillId="5" borderId="0" xfId="1" applyFont="1" applyFill="1" applyAlignment="1">
      <alignment horizontal="center" vertical="center"/>
    </xf>
    <xf numFmtId="6" fontId="7" fillId="5" borderId="0" xfId="0" applyNumberFormat="1" applyFont="1" applyFill="1" applyAlignment="1">
      <alignment horizontal="center" vertical="center"/>
    </xf>
    <xf numFmtId="6" fontId="6" fillId="10" borderId="0" xfId="0" applyNumberFormat="1" applyFont="1" applyFill="1" applyAlignment="1">
      <alignment horizontal="center" vertical="center"/>
    </xf>
    <xf numFmtId="0" fontId="8" fillId="11" borderId="0" xfId="0" applyFont="1" applyFill="1" applyAlignment="1">
      <alignment horizontal="center" vertical="center"/>
    </xf>
  </cellXfs>
  <cellStyles count="2">
    <cellStyle name="Normal" xfId="0" builtinId="0"/>
    <cellStyle name="Percent" xfId="1" builtinId="5"/>
  </cellStyles>
  <dxfs count="15">
    <dxf>
      <font>
        <color rgb="FF9C0006"/>
      </font>
      <fill>
        <patternFill>
          <bgColor rgb="FFFFC7CE"/>
        </patternFill>
      </fill>
    </dxf>
    <dxf>
      <numFmt numFmtId="2" formatCode="0.00"/>
    </dxf>
    <dxf>
      <numFmt numFmtId="2" formatCode="0.00"/>
    </dxf>
    <dxf>
      <numFmt numFmtId="2" formatCode="0.00"/>
    </dxf>
    <dxf>
      <numFmt numFmtId="2" formatCode="0.00"/>
    </dxf>
    <dxf>
      <numFmt numFmtId="0" formatCode="General"/>
    </dxf>
    <dxf>
      <numFmt numFmtId="10" formatCode="&quot;$&quot;#,##0_);[Red]\(&quot;$&quot;#,##0\)"/>
    </dxf>
    <dxf>
      <numFmt numFmtId="0" formatCode="General"/>
    </dxf>
    <dxf>
      <numFmt numFmtId="10" formatCode="&quot;$&quot;#,##0_);[Red]\(&quot;$&quot;#,##0\)"/>
    </dxf>
    <dxf>
      <numFmt numFmtId="2" formatCode="0.00"/>
    </dxf>
    <dxf>
      <numFmt numFmtId="19" formatCode="m/d/yyyy"/>
    </dxf>
    <dxf>
      <numFmt numFmtId="0" formatCode="General"/>
    </dxf>
    <dxf>
      <numFmt numFmtId="0" formatCode="General"/>
    </dxf>
    <dxf>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Number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"$"#,##0_);[Red]\("$"#,##0\)</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 Staff'!$K$2:$K$184</c:f>
              <c:numCache>
                <c:formatCode>General</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9758-4A5E-805F-1E333471DFE3}"/>
            </c:ext>
          </c:extLst>
        </c:ser>
        <c:dLbls>
          <c:showLegendKey val="0"/>
          <c:showVal val="0"/>
          <c:showCatName val="0"/>
          <c:showSerName val="0"/>
          <c:showPercent val="0"/>
          <c:showBubbleSize val="0"/>
        </c:dLbls>
        <c:axId val="1284256431"/>
        <c:axId val="189794127"/>
      </c:scatterChart>
      <c:valAx>
        <c:axId val="12842564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4127"/>
        <c:crosses val="autoZero"/>
        <c:crossBetween val="midCat"/>
      </c:valAx>
      <c:valAx>
        <c:axId val="18979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2564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Charts and Visualization.xlsx]Employee Trend!PivotTable5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Trend'!$C$3</c:f>
              <c:strCache>
                <c:ptCount val="1"/>
                <c:pt idx="0">
                  <c:v>Total</c:v>
                </c:pt>
              </c:strCache>
            </c:strRef>
          </c:tx>
          <c:spPr>
            <a:ln w="28575" cap="rnd">
              <a:solidFill>
                <a:schemeClr val="accent1"/>
              </a:solidFill>
              <a:round/>
            </a:ln>
            <a:effectLst/>
          </c:spPr>
          <c:marker>
            <c:symbol val="none"/>
          </c:marker>
          <c:cat>
            <c:multiLvlStrRef>
              <c:f>'Employee Trend'!$B$4:$B$40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A13B-47B0-9B41-1A7344EC6ADA}"/>
            </c:ext>
          </c:extLst>
        </c:ser>
        <c:dLbls>
          <c:showLegendKey val="0"/>
          <c:showVal val="0"/>
          <c:showCatName val="0"/>
          <c:showSerName val="0"/>
          <c:showPercent val="0"/>
          <c:showBubbleSize val="0"/>
        </c:dLbls>
        <c:smooth val="0"/>
        <c:axId val="2016717759"/>
        <c:axId val="1289573775"/>
      </c:lineChart>
      <c:catAx>
        <c:axId val="201671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573775"/>
        <c:crosses val="autoZero"/>
        <c:auto val="1"/>
        <c:lblAlgn val="ctr"/>
        <c:lblOffset val="100"/>
        <c:noMultiLvlLbl val="0"/>
      </c:catAx>
      <c:valAx>
        <c:axId val="128957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71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Trend'!$O$5:$O$40</c:f>
              <c:numCache>
                <c:formatCode>d\-mmm\-yy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Trend'!$Q$5:$Q$40</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08E3-4BB0-BE1D-1AB52D4454F7}"/>
            </c:ext>
          </c:extLst>
        </c:ser>
        <c:dLbls>
          <c:showLegendKey val="0"/>
          <c:showVal val="0"/>
          <c:showCatName val="0"/>
          <c:showSerName val="0"/>
          <c:showPercent val="0"/>
          <c:showBubbleSize val="0"/>
        </c:dLbls>
        <c:marker val="1"/>
        <c:smooth val="0"/>
        <c:axId val="1068743248"/>
        <c:axId val="263219231"/>
      </c:lineChart>
      <c:dateAx>
        <c:axId val="1068743248"/>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219231"/>
        <c:crosses val="autoZero"/>
        <c:auto val="1"/>
        <c:lblOffset val="100"/>
        <c:baseTimeUnit val="months"/>
      </c:dateAx>
      <c:valAx>
        <c:axId val="263219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74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Charts and Visualization.xlsx]Sheet6!PivotTable7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Sheet6!$N$6</c:f>
              <c:strCache>
                <c:ptCount val="1"/>
                <c:pt idx="0">
                  <c:v>Total</c:v>
                </c:pt>
              </c:strCache>
            </c:strRef>
          </c:tx>
          <c:spPr>
            <a:solidFill>
              <a:schemeClr val="accent1"/>
            </a:solidFill>
            <a:ln>
              <a:noFill/>
            </a:ln>
            <a:effectLst/>
          </c:spPr>
          <c:invertIfNegative val="0"/>
          <c:cat>
            <c:strRef>
              <c:f>Sheet6!$M$7:$M$12</c:f>
              <c:strCache>
                <c:ptCount val="5"/>
                <c:pt idx="0">
                  <c:v>Website</c:v>
                </c:pt>
                <c:pt idx="1">
                  <c:v>Procurement</c:v>
                </c:pt>
                <c:pt idx="2">
                  <c:v>Finance</c:v>
                </c:pt>
                <c:pt idx="3">
                  <c:v>Sales</c:v>
                </c:pt>
                <c:pt idx="4">
                  <c:v>HR</c:v>
                </c:pt>
              </c:strCache>
            </c:strRef>
          </c:cat>
          <c:val>
            <c:numRef>
              <c:f>Sheet6!$N$7:$N$12</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C08E-47B0-A68F-FE300A47AE22}"/>
            </c:ext>
          </c:extLst>
        </c:ser>
        <c:dLbls>
          <c:showLegendKey val="0"/>
          <c:showVal val="0"/>
          <c:showCatName val="0"/>
          <c:showSerName val="0"/>
          <c:showPercent val="0"/>
          <c:showBubbleSize val="0"/>
        </c:dLbls>
        <c:gapWidth val="80"/>
        <c:axId val="2022157247"/>
        <c:axId val="1143615055"/>
      </c:barChart>
      <c:catAx>
        <c:axId val="202215724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615055"/>
        <c:crosses val="autoZero"/>
        <c:auto val="1"/>
        <c:lblAlgn val="ctr"/>
        <c:lblOffset val="100"/>
        <c:noMultiLvlLbl val="0"/>
      </c:catAx>
      <c:valAx>
        <c:axId val="114361505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15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Charts and Visualization.xlsx]Sheet6!PivotTable6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Sheet6!$K$6</c:f>
              <c:strCache>
                <c:ptCount val="1"/>
                <c:pt idx="0">
                  <c:v>Total</c:v>
                </c:pt>
              </c:strCache>
            </c:strRef>
          </c:tx>
          <c:spPr>
            <a:solidFill>
              <a:schemeClr val="accent2">
                <a:lumMod val="75000"/>
              </a:schemeClr>
            </a:solidFill>
            <a:ln>
              <a:noFill/>
            </a:ln>
            <a:effectLst/>
          </c:spPr>
          <c:invertIfNegative val="0"/>
          <c:cat>
            <c:strRef>
              <c:f>Sheet6!$J$7:$J$12</c:f>
              <c:strCache>
                <c:ptCount val="5"/>
                <c:pt idx="0">
                  <c:v>Procurement</c:v>
                </c:pt>
                <c:pt idx="1">
                  <c:v>Website</c:v>
                </c:pt>
                <c:pt idx="2">
                  <c:v>Finance</c:v>
                </c:pt>
                <c:pt idx="3">
                  <c:v>Sales</c:v>
                </c:pt>
                <c:pt idx="4">
                  <c:v>HR</c:v>
                </c:pt>
              </c:strCache>
            </c:strRef>
          </c:cat>
          <c:val>
            <c:numRef>
              <c:f>Sheet6!$K$7:$K$12</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7DFB-4009-B8D0-9F30927A6F29}"/>
            </c:ext>
          </c:extLst>
        </c:ser>
        <c:dLbls>
          <c:showLegendKey val="0"/>
          <c:showVal val="0"/>
          <c:showCatName val="0"/>
          <c:showSerName val="0"/>
          <c:showPercent val="0"/>
          <c:showBubbleSize val="0"/>
        </c:dLbls>
        <c:gapWidth val="80"/>
        <c:axId val="2022674831"/>
        <c:axId val="883927135"/>
      </c:barChart>
      <c:catAx>
        <c:axId val="2022674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927135"/>
        <c:crosses val="autoZero"/>
        <c:auto val="1"/>
        <c:lblAlgn val="ctr"/>
        <c:lblOffset val="100"/>
        <c:noMultiLvlLbl val="0"/>
      </c:catAx>
      <c:valAx>
        <c:axId val="88392713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674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8C93F43E-749F-4151-967B-BEEE80F20176}">
          <cx:tx>
            <cx:txData>
              <cx:f>_xlchart.v1.4</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boxWhisker" uniqueId="{5B64A6A4-C6B9-4DE0-8641-8F4BC5307910}">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4</xdr:row>
      <xdr:rowOff>0</xdr:rowOff>
    </xdr:from>
    <xdr:to>
      <xdr:col>6</xdr:col>
      <xdr:colOff>352425</xdr:colOff>
      <xdr:row>17</xdr:row>
      <xdr:rowOff>47625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DCBF4E14-11A1-4D03-F360-1993C71F8D8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095750"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38100</xdr:rowOff>
    </xdr:from>
    <xdr:to>
      <xdr:col>10</xdr:col>
      <xdr:colOff>104775</xdr:colOff>
      <xdr:row>20</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008BC76-D07C-4421-964B-37FEDB2D14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300" y="228600"/>
              <a:ext cx="6086475"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400050</xdr:colOff>
      <xdr:row>1</xdr:row>
      <xdr:rowOff>19050</xdr:rowOff>
    </xdr:from>
    <xdr:to>
      <xdr:col>16</xdr:col>
      <xdr:colOff>200025</xdr:colOff>
      <xdr:row>20</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4943121-73E7-45F7-9F25-D503F3F051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105650" y="209550"/>
              <a:ext cx="2847975" cy="3714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209550</xdr:colOff>
      <xdr:row>2</xdr:row>
      <xdr:rowOff>123825</xdr:rowOff>
    </xdr:from>
    <xdr:to>
      <xdr:col>14</xdr:col>
      <xdr:colOff>342900</xdr:colOff>
      <xdr:row>19</xdr:row>
      <xdr:rowOff>104775</xdr:rowOff>
    </xdr:to>
    <xdr:graphicFrame macro="">
      <xdr:nvGraphicFramePr>
        <xdr:cNvPr id="2" name="Chart 1">
          <a:extLst>
            <a:ext uri="{FF2B5EF4-FFF2-40B4-BE49-F238E27FC236}">
              <a16:creationId xmlns:a16="http://schemas.microsoft.com/office/drawing/2014/main" id="{BCDC2C9D-F97E-4813-8267-9B860AEDE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14286</xdr:colOff>
      <xdr:row>18</xdr:row>
      <xdr:rowOff>152400</xdr:rowOff>
    </xdr:from>
    <xdr:to>
      <xdr:col>12</xdr:col>
      <xdr:colOff>400049</xdr:colOff>
      <xdr:row>32</xdr:row>
      <xdr:rowOff>100012</xdr:rowOff>
    </xdr:to>
    <xdr:graphicFrame macro="">
      <xdr:nvGraphicFramePr>
        <xdr:cNvPr id="2" name="Chart 1">
          <a:extLst>
            <a:ext uri="{FF2B5EF4-FFF2-40B4-BE49-F238E27FC236}">
              <a16:creationId xmlns:a16="http://schemas.microsoft.com/office/drawing/2014/main" id="{98ADDFEB-3B6C-5743-010A-3C5D96B4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9524</xdr:colOff>
      <xdr:row>2</xdr:row>
      <xdr:rowOff>23811</xdr:rowOff>
    </xdr:from>
    <xdr:to>
      <xdr:col>12</xdr:col>
      <xdr:colOff>361949</xdr:colOff>
      <xdr:row>17</xdr:row>
      <xdr:rowOff>104774</xdr:rowOff>
    </xdr:to>
    <xdr:graphicFrame macro="">
      <xdr:nvGraphicFramePr>
        <xdr:cNvPr id="3" name="Chart 2">
          <a:extLst>
            <a:ext uri="{FF2B5EF4-FFF2-40B4-BE49-F238E27FC236}">
              <a16:creationId xmlns:a16="http://schemas.microsoft.com/office/drawing/2014/main" id="{1F252D6A-A0E5-E340-A90B-856E4D005D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609599</xdr:colOff>
      <xdr:row>6</xdr:row>
      <xdr:rowOff>171449</xdr:rowOff>
    </xdr:from>
    <xdr:to>
      <xdr:col>6</xdr:col>
      <xdr:colOff>9524</xdr:colOff>
      <xdr:row>22</xdr:row>
      <xdr:rowOff>28575</xdr:rowOff>
    </xdr:to>
    <xdr:graphicFrame macro="">
      <xdr:nvGraphicFramePr>
        <xdr:cNvPr id="2" name="Chart 1">
          <a:extLst>
            <a:ext uri="{FF2B5EF4-FFF2-40B4-BE49-F238E27FC236}">
              <a16:creationId xmlns:a16="http://schemas.microsoft.com/office/drawing/2014/main" id="{1CD1212A-1C51-49C1-94FC-0B640316C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7</xdr:row>
      <xdr:rowOff>0</xdr:rowOff>
    </xdr:from>
    <xdr:to>
      <xdr:col>13</xdr:col>
      <xdr:colOff>28575</xdr:colOff>
      <xdr:row>22</xdr:row>
      <xdr:rowOff>0</xdr:rowOff>
    </xdr:to>
    <xdr:graphicFrame macro="">
      <xdr:nvGraphicFramePr>
        <xdr:cNvPr id="3" name="Chart 2">
          <a:extLst>
            <a:ext uri="{FF2B5EF4-FFF2-40B4-BE49-F238E27FC236}">
              <a16:creationId xmlns:a16="http://schemas.microsoft.com/office/drawing/2014/main" id="{2B451FCC-EB3E-4968-84A2-E87B6A797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501385185184" backgroundQuery="1" createdVersion="8" refreshedVersion="8" minRefreshableVersion="3" recordCount="0" supportSubquery="1" supportAdvancedDrill="1" xr:uid="{F62F4DE3-809B-4B32-A0F6-216BB0F142EC}">
  <cacheSource type="external" connectionId="4"/>
  <cacheFields count="3">
    <cacheField name="[Table_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2" memberValueDatatype="130" unbalanced="0">
      <fieldsUsage count="2">
        <fieldUsage x="-1"/>
        <fieldUsage x="0"/>
      </fieldsUsage>
    </cacheHierarchy>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501386805554" backgroundQuery="1" createdVersion="8" refreshedVersion="8" minRefreshableVersion="3" recordCount="0" supportSubquery="1" supportAdvancedDrill="1" xr:uid="{FD74ACA8-14B7-4D28-8CF3-60F7794EAE91}">
  <cacheSource type="external" connectionId="4"/>
  <cacheFields count="6">
    <cacheField name="[Table_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5"/>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50475428241" backgroundQuery="1" createdVersion="8" refreshedVersion="8" minRefreshableVersion="3" recordCount="0" supportSubquery="1" supportAdvancedDrill="1" xr:uid="{311C0ECD-1459-4A05-8209-1670B29C4062}">
  <cacheSource type="external" connectionId="4"/>
  <cacheFields count="3">
    <cacheField name="[Table_staff].[Date Joined (Month)].[Date Joined (Month)]" caption="Date Joined (Month)" numFmtId="0" hierarchy="11" level="1">
      <sharedItems count="12">
        <s v="May"/>
        <s v="Jun"/>
        <s v="Jul"/>
        <s v="Aug"/>
        <s v="Sep"/>
        <s v="Oct"/>
        <s v="Nov"/>
        <s v="Dec"/>
        <s v="Jan"/>
        <s v="Feb"/>
        <s v="Mar"/>
        <s v="Apr"/>
      </sharedItems>
    </cacheField>
    <cacheField name="[Table_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2"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0"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2" memberValueDatatype="130" unbalanced="0">
      <fieldsUsage count="2">
        <fieldUsage x="-1"/>
        <fieldUsage x="1"/>
      </fieldsUsage>
    </cacheHierarchy>
    <cacheHierarchy uniqueName="[Table_staff].[Date Joined (Quarter)]" caption="Date Joined (Quarter)" attribute="1" defaultMemberUniqueName="[Table_staff].[Date Joined (Quarter)].[All]" allUniqueName="[Table_staff].[Date Joined (Quarter)].[All]" dimensionUniqueName="[Table_staff]" displayFolder="" count="2" memberValueDatatype="130" unbalanced="0"/>
    <cacheHierarchy uniqueName="[Table_staff].[Date Joined (Month)]" caption="Date Joined (Month)" attribute="1" defaultMemberUniqueName="[Table_staff].[Date Joined (Month)].[All]" allUniqueName="[Table_staff].[Date Joined (Month)].[All]" dimensionUniqueName="[Table_staff]" displayFolder="" count="2" memberValueDatatype="130" unbalanced="0">
      <fieldsUsage count="2">
        <fieldUsage x="-1"/>
        <fieldUsage x="0"/>
      </fieldsUsage>
    </cacheHierarchy>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595768865744" backgroundQuery="1" createdVersion="8" refreshedVersion="8" minRefreshableVersion="3" recordCount="0" supportSubquery="1" supportAdvancedDrill="1" xr:uid="{E5037919-4E34-425C-866F-0280CB2DC1C9}">
  <cacheSource type="external" connectionId="4"/>
  <cacheFields count="3">
    <cacheField name="[Table_staff].[Department].[Department]" caption="Department" numFmtId="0" hierarchy="5" level="1">
      <sharedItems count="5">
        <s v="Finance"/>
        <s v="HR"/>
        <s v="Procurement"/>
        <s v="Sales"/>
        <s v="Website"/>
      </sharedItems>
    </cacheField>
    <cacheField name="[Measures].[Count of Name]" caption="Count of Name" numFmtId="0" hierarchy="15"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2"/>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595829282407" backgroundQuery="1" createdVersion="8" refreshedVersion="8" minRefreshableVersion="3" recordCount="0" supportSubquery="1" supportAdvancedDrill="1" xr:uid="{8DCDAAAF-AA4E-48B9-8668-A5DAD9E7EEF3}">
  <cacheSource type="external" connectionId="4"/>
  <cacheFields count="3">
    <cacheField name="[Table_staff].[Department].[Department]" caption="Department" numFmtId="0" hierarchy="5" level="1">
      <sharedItems count="5">
        <s v="Finance"/>
        <s v="HR"/>
        <s v="Procurement"/>
        <s v="Sales"/>
        <s v="Website"/>
      </sharedItems>
    </cacheField>
    <cacheField name="[Measures].[Count of Name]" caption="Count of Name" numFmtId="0" hierarchy="15" level="32767"/>
    <cacheField name="[Table_staff].[Country].[Country]" caption="Country" numFmtId="0" hierarchy="7" level="1">
      <sharedItems containsSemiMixedTypes="0" containsNonDate="0" containsString="0"/>
    </cacheField>
  </cacheFields>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fieldsUsage count="2">
        <fieldUsage x="-1"/>
        <fieldUsage x="0"/>
      </fieldsUsage>
    </cacheHierarchy>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2"/>
      </fieldsUsage>
    </cacheHierarchy>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50138587963" backgroundQuery="1" createdVersion="3" refreshedVersion="8" minRefreshableVersion="3" recordCount="0" supportSubquery="1" supportAdvancedDrill="1" xr:uid="{75F3BBC3-093C-475F-82A5-726A6F76603F}">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Table_staff].[Date Joined (Year)]" caption="Date Joined (Year)" attribute="1" defaultMemberUniqueName="[Table_staff].[Date Joined (Year)].[All]" allUniqueName="[Table_staff].[Date Joined (Year)].[All]" dimensionUniqueName="[Table_staff]" displayFolder="" count="0" memberValueDatatype="130" unbalanced="0"/>
    <cacheHierarchy uniqueName="[Table_staff].[Date Joined (Quarter)]" caption="Date Joined (Quarter)" attribute="1" defaultMemberUniqueName="[Table_staff].[Date Joined (Quarter)].[All]" allUniqueName="[Table_staff].[Date Joined (Quarter)].[All]" dimensionUniqueName="[Table_staff]" displayFolder="" count="0" memberValueDatatype="130" unbalanced="0"/>
    <cacheHierarchy uniqueName="[Table_staff].[Date Joined (Month)]" caption="Date Joined (Month)" attribute="1" defaultMemberUniqueName="[Table_staff].[Date Joined (Month)].[All]" allUniqueName="[Table_staff].[Date Joined (Month)].[All]" dimensionUniqueName="[Table_staff]" displayFolder="" count="0" memberValueDatatype="130" unbalanced="0"/>
    <cacheHierarchy uniqueName="[Table_staff].[Date Joined (Month Index)]" caption="Date Joined (Month Index)" attribute="1" defaultMemberUniqueName="[Table_staff].[Date Joined (Month Index)].[All]" allUniqueName="[Table_staff].[Date Joined (Month Index)].[All]" dimensionUniqueName="[Table_staff]" displayFolder="" count="0" memberValueDatatype="20" unbalanced="0" hidden="1"/>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5202338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4DF51D-5806-40B7-8DB1-AC0CA9211219}" name="PivotTable1" cacheId="139"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2"/>
    <dataField name="Average of Salary" fld="3" subtotal="average" baseField="0" baseItem="0" numFmtId="2"/>
    <dataField name="Average of Tenure" fld="4" subtotal="average" baseField="0" baseItem="0" numFmtId="2"/>
  </dataFields>
  <formats count="4">
    <format dxfId="1">
      <pivotArea outline="0" collapsedLevelsAreSubtotals="1" fieldPosition="0">
        <references count="2">
          <reference field="4294967294" count="1" selected="0">
            <x v="1"/>
          </reference>
          <reference field="0" count="1" selected="0">
            <x v="0"/>
          </reference>
        </references>
      </pivotArea>
    </format>
    <format dxfId="2">
      <pivotArea outline="0" fieldPosition="0">
        <references count="1">
          <reference field="4294967294" count="1">
            <x v="1"/>
          </reference>
        </references>
      </pivotArea>
    </format>
    <format dxfId="3">
      <pivotArea outline="0" fieldPosition="0">
        <references count="1">
          <reference field="4294967294" count="1">
            <x v="2"/>
          </reference>
        </references>
      </pivotArea>
    </format>
    <format dxfId="4">
      <pivotArea outline="0" fieldPosition="0">
        <references count="1">
          <reference field="4294967294" count="1">
            <x v="3"/>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 Solving Business Questions.xlsx!Table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F91A9A-2314-485B-BFA7-B69569CF9379}" name="PivotTable3" cacheId="1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74"/>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800702-BF8D-4874-88C0-B458D9DE5045}" name="PivotTable5" cacheId="1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7345E1-631D-420F-84EA-41904C9063AD}" name="PivotTable7" cacheId="2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6:N12"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Table_staff].[Country].&amp;[NZ]" cap="NZ"/>
  </pageFields>
  <dataFields count="1">
    <dataField name="Count of Name"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39FC28-21FB-41AA-9DFB-6C62799662FC}" name="PivotTable6" cacheId="2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6:K12"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Table_staff].[Country].&amp;[IND]" cap="IND"/>
  </pageFields>
  <dataFields count="1">
    <dataField name="Count of Name"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EC96BD6-0F92-473A-9D42-2D6C637800DA}"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8D306FD-0A05-4BE6-B86A-0CC5AD1399BD}" sourceName="[Table_staff].[Country]">
  <pivotTables>
    <pivotTable tabId="5" name="PivotTable1"/>
  </pivotTables>
  <data>
    <olap pivotCacheId="1520233834">
      <levels count="2">
        <level uniqueName="[Table_staff].[Country].[(All)]" sourceCaption="(All)" count="0"/>
        <level uniqueName="[Table_staff].[Country].[Country]" sourceCaption="Country" count="2">
          <ranges>
            <range startItem="0">
              <i n="[Table_staff].[Country].&amp;[IND]" c="IND"/>
              <i n="[Table_staff].[Country].&amp;[NZ]" c="NZ"/>
            </range>
          </ranges>
        </level>
      </levels>
      <selections count="1">
        <selection n="[Table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30ABDCE-D155-4CA6-A467-9301F9D66088}"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7C6A0-8659-4FEC-A25E-B978FAF5A98D}" name="nz_staff" displayName="nz_staff" ref="C5:I106" totalsRowCount="1">
  <autoFilter ref="C5:I105" xr:uid="{FEC7C6A0-8659-4FEC-A25E-B978FAF5A98D}"/>
  <tableColumns count="7">
    <tableColumn id="1" xr3:uid="{4E7C4502-7B24-41F4-AD89-DBC44E442D24}" name="Name" totalsRowLabel="Total"/>
    <tableColumn id="2" xr3:uid="{1E7638BE-F5CC-4F11-9BCD-745278D83EE1}" name="Gender"/>
    <tableColumn id="3" xr3:uid="{2A56EA63-8C16-4D71-86B8-D1C3F82812F9}" name="Department"/>
    <tableColumn id="4" xr3:uid="{9C24E65E-8931-4C4D-8724-7CAAA580CC1F}" name="Age" totalsRowFunction="average"/>
    <tableColumn id="5" xr3:uid="{8D237506-F07C-4D5A-9414-9559100E1FF4}" name="Date Joined"/>
    <tableColumn id="6" xr3:uid="{72C9FF6A-55A1-4B19-954E-05E8D8435110}" name="Salary" totalsRowFunction="average" dataDxfId="13"/>
    <tableColumn id="7" xr3:uid="{3C4068CB-8B8C-4C49-9B17-D43CD6E92349}"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FD26AE-BB01-47C2-8983-5CE90C4DA954}" name="india_staff" displayName="india_staff" ref="B2:H115" totalsRowCount="1">
  <autoFilter ref="B2:H114" xr:uid="{C1FD26AE-BB01-47C2-8983-5CE90C4DA954}"/>
  <tableColumns count="7">
    <tableColumn id="1" xr3:uid="{3FB4C015-9228-4192-92A2-FE4DA20BE770}" name="Name" totalsRowLabel="Total"/>
    <tableColumn id="2" xr3:uid="{DED3BD93-BBC6-465F-A9BC-AFD00C3D6583}" name="Gender"/>
    <tableColumn id="3" xr3:uid="{42518026-C3A2-49FB-9570-ABC6C54D8EFB}" name="Age"/>
    <tableColumn id="4" xr3:uid="{781754A9-8C68-467A-A1B5-DD39A8702D71}" name="Rating"/>
    <tableColumn id="5" xr3:uid="{672DB7D3-6CC3-4CD5-9F5D-A05F103011E7}" name="Date Joined" dataDxfId="14"/>
    <tableColumn id="6" xr3:uid="{05EC8C3C-6BF5-4558-A6B7-E93AAE3AB022}" name="Department"/>
    <tableColumn id="7" xr3:uid="{65C5619F-2335-48BA-9B4D-565BCFC1B590}"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01D466-8B6A-4ACA-946F-17E8A3AA9664}" name="Table_staff" displayName="Table_staff" ref="A1:K184" tableType="queryTable" totalsRowShown="0">
  <autoFilter ref="A1:K184" xr:uid="{4F01D466-8B6A-4ACA-946F-17E8A3AA9664}"/>
  <tableColumns count="11">
    <tableColumn id="1" xr3:uid="{AF20151F-386A-4E95-B9A9-B254F7E8F902}" uniqueName="1" name="Name" queryTableFieldId="1" dataDxfId="12"/>
    <tableColumn id="2" xr3:uid="{5944B2D9-74FE-4D01-8FBE-013AA6CF7CDD}" uniqueName="2" name="Gender" queryTableFieldId="2" dataDxfId="11"/>
    <tableColumn id="3" xr3:uid="{85BB386B-BA34-439D-9910-AF01022C615E}" uniqueName="3" name="Age" queryTableFieldId="3"/>
    <tableColumn id="4" xr3:uid="{7FA0BC2B-19BD-48AC-98A3-EA415C8D6B8B}" uniqueName="4" name="Rating" queryTableFieldId="4"/>
    <tableColumn id="5" xr3:uid="{1443600E-6048-4C16-B77D-A7A4E22BD47C}" uniqueName="5" name="Date Joined" queryTableFieldId="5" dataDxfId="10"/>
    <tableColumn id="6" xr3:uid="{1907CACB-5862-4B84-8FA5-471A91C8E120}" uniqueName="6" name="Department" queryTableFieldId="6" dataDxfId="7"/>
    <tableColumn id="7" xr3:uid="{D363726F-6C5B-4D1C-BACD-11E7CA4A9AFC}" uniqueName="7" name="Salary" queryTableFieldId="7" dataDxfId="6"/>
    <tableColumn id="8" xr3:uid="{63552EA4-E66A-479D-A7C7-22AE50E2A4D5}" uniqueName="8" name="Country" queryTableFieldId="8"/>
    <tableColumn id="9" xr3:uid="{F247424E-8F8B-4AA7-8AB6-3AC62EE569D8}" uniqueName="9" name="Tenure" queryTableFieldId="9" dataDxfId="9">
      <calculatedColumnFormula>(TODAY()-Table_staff[[#This Row],[Date Joined]])/365</calculatedColumnFormula>
    </tableColumn>
    <tableColumn id="10" xr3:uid="{7CF077C8-1C11-4620-BE4C-5C82AF999F80}" uniqueName="10" name="Bonus" queryTableFieldId="10" dataDxfId="8">
      <calculatedColumnFormula>ROUNDUP(IF(Table_staff[[#This Row],[Tenure]]&gt;3,3%,2%)*Table_staff[[#This Row],[Salary]],0)</calculatedColumnFormula>
    </tableColumn>
    <tableColumn id="12" xr3:uid="{C7A09DC2-D76B-4644-BA60-E5423558D427}" uniqueName="12" name="Rating as Number" queryTableFieldId="12" dataDxfId="5">
      <calculatedColumnFormula>_xlfn.XLOOKUP(Table_staff[[#This Row],[Rating]],Sheet6!$E$4:$E$8,Sheet6!$F$4:$F$8 )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E10" sqref="E10"/>
    </sheetView>
  </sheetViews>
  <sheetFormatPr defaultRowHeight="15" x14ac:dyDescent="0.25"/>
  <cols>
    <col min="1" max="1" width="1.7109375" customWidth="1"/>
    <col min="2" max="2" width="3.7109375" customWidth="1"/>
    <col min="3" max="3" width="22.7109375" customWidth="1"/>
    <col min="4" max="4" width="9.85546875" customWidth="1"/>
    <col min="5" max="5" width="13.85546875" customWidth="1"/>
    <col min="6" max="6" width="6.5703125" customWidth="1"/>
    <col min="7" max="7" width="13.5703125" customWidth="1"/>
    <col min="8" max="8" width="11.8554687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C3" sqref="C3"/>
    </sheetView>
  </sheetViews>
  <sheetFormatPr defaultRowHeight="15" x14ac:dyDescent="0.25"/>
  <cols>
    <col min="2" max="2" width="30" bestFit="1" customWidth="1"/>
    <col min="3" max="3" width="9.85546875" customWidth="1"/>
    <col min="4" max="4" width="6.5703125" customWidth="1"/>
    <col min="5" max="5" width="9.42578125" customWidth="1"/>
    <col min="6" max="6" width="13.5703125" customWidth="1"/>
    <col min="7" max="7" width="13.85546875" customWidth="1"/>
    <col min="8" max="8" width="8.42578125"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row r="115" spans="2:8" x14ac:dyDescent="0.25">
      <c r="B115" t="s">
        <v>203</v>
      </c>
      <c r="H11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DC27B-BE74-42A9-BB15-940DB8886FEE}">
  <sheetPr>
    <tabColor theme="9"/>
  </sheetPr>
  <dimension ref="A1:P184"/>
  <sheetViews>
    <sheetView workbookViewId="0">
      <selection activeCell="K1" activeCellId="1" sqref="G1:G1048576 K1:K1048576"/>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1.85546875" bestFit="1" customWidth="1"/>
    <col min="8" max="8" width="10.28515625" bestFit="1" customWidth="1"/>
    <col min="9" max="9" width="10.7109375" style="8" bestFit="1" customWidth="1"/>
    <col min="10" max="10" width="9.85546875" bestFit="1" customWidth="1"/>
    <col min="13" max="13" width="10.42578125" style="11" customWidth="1"/>
    <col min="14" max="14" width="24.28515625" bestFit="1" customWidth="1"/>
    <col min="15" max="15" width="14.28515625" bestFit="1" customWidth="1"/>
    <col min="16" max="16" width="6" bestFit="1" customWidth="1"/>
    <col min="17" max="17" width="21.5703125" bestFit="1" customWidth="1"/>
  </cols>
  <sheetData>
    <row r="1" spans="1:16" x14ac:dyDescent="0.25">
      <c r="A1" t="s">
        <v>0</v>
      </c>
      <c r="B1" t="s">
        <v>1</v>
      </c>
      <c r="C1" t="s">
        <v>3</v>
      </c>
      <c r="D1" t="s">
        <v>6</v>
      </c>
      <c r="E1" t="s">
        <v>4</v>
      </c>
      <c r="F1" t="s">
        <v>2</v>
      </c>
      <c r="G1" t="s">
        <v>5</v>
      </c>
      <c r="H1" t="s">
        <v>204</v>
      </c>
      <c r="I1" s="8" t="s">
        <v>212</v>
      </c>
      <c r="J1" t="s">
        <v>229</v>
      </c>
      <c r="K1" t="s">
        <v>231</v>
      </c>
    </row>
    <row r="2" spans="1:16" x14ac:dyDescent="0.25">
      <c r="A2" s="6" t="s">
        <v>156</v>
      </c>
      <c r="B2" s="6" t="s">
        <v>15</v>
      </c>
      <c r="C2">
        <v>20</v>
      </c>
      <c r="D2" t="s">
        <v>16</v>
      </c>
      <c r="E2" s="7">
        <v>44122</v>
      </c>
      <c r="F2" s="6" t="s">
        <v>12</v>
      </c>
      <c r="G2" s="26">
        <v>112650</v>
      </c>
      <c r="H2" t="s">
        <v>205</v>
      </c>
      <c r="I2" s="8">
        <f ca="1">(TODAY()-Table_staff[[#This Row],[Date Joined]])/365</f>
        <v>2.7945205479452055</v>
      </c>
      <c r="J2" s="26">
        <f ca="1">ROUNDUP(IF(Table_staff[[#This Row],[Tenure]]&gt;3,3%,2%)*Table_staff[[#This Row],[Salary]],0)</f>
        <v>2253</v>
      </c>
      <c r="K2">
        <f>_xlfn.XLOOKUP(Table_staff[[#This Row],[Rating]],Sheet6!$E$4:$E$8,Sheet6!$F$4:$F$8 )</f>
        <v>3</v>
      </c>
      <c r="M2" s="12">
        <v>1</v>
      </c>
      <c r="N2" s="13" t="s">
        <v>217</v>
      </c>
    </row>
    <row r="3" spans="1:16" x14ac:dyDescent="0.25">
      <c r="A3" s="6" t="s">
        <v>176</v>
      </c>
      <c r="B3" s="6" t="s">
        <v>8</v>
      </c>
      <c r="C3">
        <v>32</v>
      </c>
      <c r="D3" t="s">
        <v>13</v>
      </c>
      <c r="E3" s="7">
        <v>44293</v>
      </c>
      <c r="F3" s="6" t="s">
        <v>12</v>
      </c>
      <c r="G3" s="26">
        <v>43840</v>
      </c>
      <c r="H3" t="s">
        <v>205</v>
      </c>
      <c r="I3" s="8">
        <f ca="1">(TODAY()-Table_staff[[#This Row],[Date Joined]])/365</f>
        <v>2.3260273972602739</v>
      </c>
      <c r="J3" s="26">
        <f ca="1">ROUNDUP(IF(Table_staff[[#This Row],[Tenure]]&gt;3,3%,2%)*Table_staff[[#This Row],[Salary]],0)</f>
        <v>877</v>
      </c>
      <c r="K3">
        <f>_xlfn.XLOOKUP(Table_staff[[#This Row],[Rating]],Sheet6!$E$4:$E$8,Sheet6!$F$4:$F$8 )</f>
        <v>4</v>
      </c>
      <c r="N3" t="s">
        <v>208</v>
      </c>
      <c r="O3">
        <f>COUNTA(Table_staff[Name])</f>
        <v>183</v>
      </c>
    </row>
    <row r="4" spans="1:16" x14ac:dyDescent="0.25">
      <c r="A4" s="6" t="s">
        <v>143</v>
      </c>
      <c r="B4" s="6" t="s">
        <v>15</v>
      </c>
      <c r="C4">
        <v>31</v>
      </c>
      <c r="D4" t="s">
        <v>16</v>
      </c>
      <c r="E4" s="7">
        <v>44663</v>
      </c>
      <c r="F4" s="6" t="s">
        <v>9</v>
      </c>
      <c r="G4" s="26">
        <v>103550</v>
      </c>
      <c r="H4" t="s">
        <v>205</v>
      </c>
      <c r="I4" s="8">
        <f ca="1">(TODAY()-Table_staff[[#This Row],[Date Joined]])/365</f>
        <v>1.3123287671232877</v>
      </c>
      <c r="J4" s="26">
        <f ca="1">ROUNDUP(IF(Table_staff[[#This Row],[Tenure]]&gt;3,3%,2%)*Table_staff[[#This Row],[Salary]],0)</f>
        <v>2071</v>
      </c>
      <c r="K4">
        <f>_xlfn.XLOOKUP(Table_staff[[#This Row],[Rating]],Sheet6!$E$4:$E$8,Sheet6!$F$4:$F$8 )</f>
        <v>3</v>
      </c>
      <c r="N4" t="s">
        <v>209</v>
      </c>
      <c r="O4">
        <f>AVERAGE(Table_staff[Salary])</f>
        <v>77173.715846994543</v>
      </c>
      <c r="P4">
        <f>MEDIAN(Table_staff[Salary])</f>
        <v>75000</v>
      </c>
    </row>
    <row r="5" spans="1:16" x14ac:dyDescent="0.25">
      <c r="A5" s="6" t="s">
        <v>201</v>
      </c>
      <c r="B5" s="6" t="s">
        <v>8</v>
      </c>
      <c r="C5">
        <v>32</v>
      </c>
      <c r="D5" t="s">
        <v>16</v>
      </c>
      <c r="E5" s="7">
        <v>44339</v>
      </c>
      <c r="F5" s="6" t="s">
        <v>56</v>
      </c>
      <c r="G5" s="26">
        <v>45510</v>
      </c>
      <c r="H5" t="s">
        <v>205</v>
      </c>
      <c r="I5" s="8">
        <f ca="1">(TODAY()-Table_staff[[#This Row],[Date Joined]])/365</f>
        <v>2.2000000000000002</v>
      </c>
      <c r="J5" s="26">
        <f ca="1">ROUNDUP(IF(Table_staff[[#This Row],[Tenure]]&gt;3,3%,2%)*Table_staff[[#This Row],[Salary]],0)</f>
        <v>911</v>
      </c>
      <c r="K5">
        <f>_xlfn.XLOOKUP(Table_staff[[#This Row],[Rating]],Sheet6!$E$4:$E$8,Sheet6!$F$4:$F$8 )</f>
        <v>3</v>
      </c>
      <c r="N5" t="s">
        <v>210</v>
      </c>
      <c r="O5">
        <f>AVERAGE(C:C)</f>
        <v>30.42622950819672</v>
      </c>
      <c r="P5">
        <f>MEDIAN(Table_staff[Age])</f>
        <v>30</v>
      </c>
    </row>
    <row r="6" spans="1:16" x14ac:dyDescent="0.25">
      <c r="A6" s="6" t="s">
        <v>142</v>
      </c>
      <c r="B6" s="6" t="s">
        <v>206</v>
      </c>
      <c r="C6">
        <v>37</v>
      </c>
      <c r="D6" t="s">
        <v>24</v>
      </c>
      <c r="E6" s="7">
        <v>44085</v>
      </c>
      <c r="F6" s="6" t="s">
        <v>21</v>
      </c>
      <c r="G6" s="26">
        <v>115440</v>
      </c>
      <c r="H6" t="s">
        <v>205</v>
      </c>
      <c r="I6" s="8">
        <f ca="1">(TODAY()-Table_staff[[#This Row],[Date Joined]])/365</f>
        <v>2.8958904109589043</v>
      </c>
      <c r="J6" s="26">
        <f ca="1">ROUNDUP(IF(Table_staff[[#This Row],[Tenure]]&gt;3,3%,2%)*Table_staff[[#This Row],[Salary]],0)</f>
        <v>2309</v>
      </c>
      <c r="K6">
        <f>_xlfn.XLOOKUP(Table_staff[[#This Row],[Rating]],Sheet6!$E$4:$E$8,Sheet6!$F$4:$F$8 )</f>
        <v>2</v>
      </c>
      <c r="N6" t="s">
        <v>211</v>
      </c>
      <c r="O6">
        <f ca="1">AVERAGE(Table_staff[Tenure])</f>
        <v>1.9423759263417912</v>
      </c>
    </row>
    <row r="7" spans="1:16" x14ac:dyDescent="0.25">
      <c r="A7" s="6" t="s">
        <v>202</v>
      </c>
      <c r="B7" s="6" t="s">
        <v>8</v>
      </c>
      <c r="C7">
        <v>38</v>
      </c>
      <c r="D7" t="s">
        <v>13</v>
      </c>
      <c r="E7" s="7">
        <v>44268</v>
      </c>
      <c r="F7" s="6" t="s">
        <v>19</v>
      </c>
      <c r="G7" s="26">
        <v>56870</v>
      </c>
      <c r="H7" t="s">
        <v>205</v>
      </c>
      <c r="I7" s="8">
        <f ca="1">(TODAY()-Table_staff[[#This Row],[Date Joined]])/365</f>
        <v>2.3945205479452056</v>
      </c>
      <c r="J7" s="26">
        <f ca="1">ROUNDUP(IF(Table_staff[[#This Row],[Tenure]]&gt;3,3%,2%)*Table_staff[[#This Row],[Salary]],0)</f>
        <v>1138</v>
      </c>
      <c r="K7">
        <f>_xlfn.XLOOKUP(Table_staff[[#This Row],[Rating]],Sheet6!$E$4:$E$8,Sheet6!$F$4:$F$8 )</f>
        <v>4</v>
      </c>
      <c r="N7" t="s">
        <v>213</v>
      </c>
      <c r="O7">
        <f>COUNTIFS(Table_staff[Gender], "Female")</f>
        <v>86</v>
      </c>
    </row>
    <row r="8" spans="1:16" x14ac:dyDescent="0.25">
      <c r="A8" s="6" t="s">
        <v>169</v>
      </c>
      <c r="B8" s="6" t="s">
        <v>8</v>
      </c>
      <c r="C8">
        <v>25</v>
      </c>
      <c r="D8" t="s">
        <v>16</v>
      </c>
      <c r="E8" s="7">
        <v>44144</v>
      </c>
      <c r="F8" s="6" t="s">
        <v>19</v>
      </c>
      <c r="G8" s="26">
        <v>92700</v>
      </c>
      <c r="H8" t="s">
        <v>205</v>
      </c>
      <c r="I8" s="8">
        <f ca="1">(TODAY()-Table_staff[[#This Row],[Date Joined]])/365</f>
        <v>2.7342465753424658</v>
      </c>
      <c r="J8" s="26">
        <f ca="1">ROUNDUP(IF(Table_staff[[#This Row],[Tenure]]&gt;3,3%,2%)*Table_staff[[#This Row],[Salary]],0)</f>
        <v>1854</v>
      </c>
      <c r="K8">
        <f>_xlfn.XLOOKUP(Table_staff[[#This Row],[Rating]],Sheet6!$E$4:$E$8,Sheet6!$F$4:$F$8 )</f>
        <v>3</v>
      </c>
      <c r="N8" t="s">
        <v>214</v>
      </c>
      <c r="O8" s="10">
        <f>O7/O3</f>
        <v>0.46994535519125685</v>
      </c>
    </row>
    <row r="9" spans="1:16" x14ac:dyDescent="0.25">
      <c r="A9" s="6" t="s">
        <v>145</v>
      </c>
      <c r="B9" s="6" t="s">
        <v>206</v>
      </c>
      <c r="C9">
        <v>32</v>
      </c>
      <c r="D9" t="s">
        <v>16</v>
      </c>
      <c r="E9" s="7">
        <v>44713</v>
      </c>
      <c r="F9" s="6" t="s">
        <v>12</v>
      </c>
      <c r="G9" s="26">
        <v>91310</v>
      </c>
      <c r="H9" t="s">
        <v>205</v>
      </c>
      <c r="I9" s="8">
        <f ca="1">(TODAY()-Table_staff[[#This Row],[Date Joined]])/365</f>
        <v>1.1753424657534246</v>
      </c>
      <c r="J9" s="26">
        <f ca="1">ROUNDUP(IF(Table_staff[[#This Row],[Tenure]]&gt;3,3%,2%)*Table_staff[[#This Row],[Salary]],0)</f>
        <v>1827</v>
      </c>
      <c r="K9">
        <f>_xlfn.XLOOKUP(Table_staff[[#This Row],[Rating]],Sheet6!$E$4:$E$8,Sheet6!$F$4:$F$8 )</f>
        <v>3</v>
      </c>
    </row>
    <row r="10" spans="1:16" x14ac:dyDescent="0.25">
      <c r="A10" s="6" t="s">
        <v>115</v>
      </c>
      <c r="B10" s="6" t="s">
        <v>15</v>
      </c>
      <c r="C10">
        <v>33</v>
      </c>
      <c r="D10" t="s">
        <v>16</v>
      </c>
      <c r="E10" s="7">
        <v>44324</v>
      </c>
      <c r="F10" s="6" t="s">
        <v>19</v>
      </c>
      <c r="G10" s="26">
        <v>74550</v>
      </c>
      <c r="H10" t="s">
        <v>205</v>
      </c>
      <c r="I10" s="8">
        <f ca="1">(TODAY()-Table_staff[[#This Row],[Date Joined]])/365</f>
        <v>2.2410958904109588</v>
      </c>
      <c r="J10" s="26">
        <f ca="1">ROUNDUP(IF(Table_staff[[#This Row],[Tenure]]&gt;3,3%,2%)*Table_staff[[#This Row],[Salary]],0)</f>
        <v>1491</v>
      </c>
      <c r="K10">
        <f>_xlfn.XLOOKUP(Table_staff[[#This Row],[Rating]],Sheet6!$E$4:$E$8,Sheet6!$F$4:$F$8 )</f>
        <v>3</v>
      </c>
      <c r="N10" t="s">
        <v>215</v>
      </c>
      <c r="O10">
        <f>COUNTIFS(Table_staff[Salary], "&gt; 90000")</f>
        <v>63</v>
      </c>
    </row>
    <row r="11" spans="1:16" x14ac:dyDescent="0.25">
      <c r="A11" s="6" t="s">
        <v>128</v>
      </c>
      <c r="B11" s="6" t="s">
        <v>15</v>
      </c>
      <c r="C11">
        <v>25</v>
      </c>
      <c r="D11" t="s">
        <v>13</v>
      </c>
      <c r="E11" s="7">
        <v>44665</v>
      </c>
      <c r="F11" s="6" t="s">
        <v>9</v>
      </c>
      <c r="G11" s="26">
        <v>109190</v>
      </c>
      <c r="H11" t="s">
        <v>205</v>
      </c>
      <c r="I11" s="8">
        <f ca="1">(TODAY()-Table_staff[[#This Row],[Date Joined]])/365</f>
        <v>1.3068493150684932</v>
      </c>
      <c r="J11" s="26">
        <f ca="1">ROUNDUP(IF(Table_staff[[#This Row],[Tenure]]&gt;3,3%,2%)*Table_staff[[#This Row],[Salary]],0)</f>
        <v>2184</v>
      </c>
      <c r="K11">
        <f>_xlfn.XLOOKUP(Table_staff[[#This Row],[Rating]],Sheet6!$E$4:$E$8,Sheet6!$F$4:$F$8 )</f>
        <v>4</v>
      </c>
      <c r="N11" t="s">
        <v>216</v>
      </c>
      <c r="O11" s="9">
        <f>O10/O3</f>
        <v>0.34426229508196721</v>
      </c>
    </row>
    <row r="12" spans="1:16" x14ac:dyDescent="0.25">
      <c r="A12" s="6" t="s">
        <v>194</v>
      </c>
      <c r="B12" s="6" t="s">
        <v>8</v>
      </c>
      <c r="C12">
        <v>40</v>
      </c>
      <c r="D12" t="s">
        <v>16</v>
      </c>
      <c r="E12" s="7">
        <v>44320</v>
      </c>
      <c r="F12" s="6" t="s">
        <v>12</v>
      </c>
      <c r="G12" s="26">
        <v>104410</v>
      </c>
      <c r="H12" t="s">
        <v>205</v>
      </c>
      <c r="I12" s="8">
        <f ca="1">(TODAY()-Table_staff[[#This Row],[Date Joined]])/365</f>
        <v>2.2520547945205478</v>
      </c>
      <c r="J12" s="26">
        <f ca="1">ROUNDUP(IF(Table_staff[[#This Row],[Tenure]]&gt;3,3%,2%)*Table_staff[[#This Row],[Salary]],0)</f>
        <v>2089</v>
      </c>
      <c r="K12">
        <f>_xlfn.XLOOKUP(Table_staff[[#This Row],[Rating]],Sheet6!$E$4:$E$8,Sheet6!$F$4:$F$8 )</f>
        <v>3</v>
      </c>
    </row>
    <row r="13" spans="1:16" x14ac:dyDescent="0.25">
      <c r="A13" s="6" t="s">
        <v>177</v>
      </c>
      <c r="B13" s="6" t="s">
        <v>15</v>
      </c>
      <c r="C13">
        <v>30</v>
      </c>
      <c r="D13" t="s">
        <v>16</v>
      </c>
      <c r="E13" s="7">
        <v>44544</v>
      </c>
      <c r="F13" s="6" t="s">
        <v>21</v>
      </c>
      <c r="G13" s="26">
        <v>96800</v>
      </c>
      <c r="H13" t="s">
        <v>205</v>
      </c>
      <c r="I13" s="8">
        <f ca="1">(TODAY()-Table_staff[[#This Row],[Date Joined]])/365</f>
        <v>1.6383561643835616</v>
      </c>
      <c r="J13" s="26">
        <f ca="1">ROUNDUP(IF(Table_staff[[#This Row],[Tenure]]&gt;3,3%,2%)*Table_staff[[#This Row],[Salary]],0)</f>
        <v>1936</v>
      </c>
      <c r="K13">
        <f>_xlfn.XLOOKUP(Table_staff[[#This Row],[Rating]],Sheet6!$E$4:$E$8,Sheet6!$F$4:$F$8 )</f>
        <v>3</v>
      </c>
    </row>
    <row r="14" spans="1:16" x14ac:dyDescent="0.25">
      <c r="A14" s="6" t="s">
        <v>123</v>
      </c>
      <c r="B14" s="6" t="s">
        <v>15</v>
      </c>
      <c r="C14">
        <v>28</v>
      </c>
      <c r="D14" t="s">
        <v>13</v>
      </c>
      <c r="E14" s="7">
        <v>43980</v>
      </c>
      <c r="F14" s="6" t="s">
        <v>21</v>
      </c>
      <c r="G14" s="26">
        <v>48170</v>
      </c>
      <c r="H14" t="s">
        <v>205</v>
      </c>
      <c r="I14" s="8">
        <f ca="1">(TODAY()-Table_staff[[#This Row],[Date Joined]])/365</f>
        <v>3.1835616438356165</v>
      </c>
      <c r="J14" s="26">
        <f ca="1">ROUNDUP(IF(Table_staff[[#This Row],[Tenure]]&gt;3,3%,2%)*Table_staff[[#This Row],[Salary]],0)</f>
        <v>1446</v>
      </c>
      <c r="K14">
        <f>_xlfn.XLOOKUP(Table_staff[[#This Row],[Rating]],Sheet6!$E$4:$E$8,Sheet6!$F$4:$F$8 )</f>
        <v>4</v>
      </c>
      <c r="M14" s="12">
        <v>2</v>
      </c>
      <c r="N14" s="13" t="s">
        <v>218</v>
      </c>
    </row>
    <row r="15" spans="1:16" x14ac:dyDescent="0.25">
      <c r="A15" s="6" t="s">
        <v>140</v>
      </c>
      <c r="B15" s="6" t="s">
        <v>15</v>
      </c>
      <c r="C15">
        <v>21</v>
      </c>
      <c r="D15" t="s">
        <v>16</v>
      </c>
      <c r="E15" s="7">
        <v>44042</v>
      </c>
      <c r="F15" s="6" t="s">
        <v>9</v>
      </c>
      <c r="G15" s="26">
        <v>37920</v>
      </c>
      <c r="H15" t="s">
        <v>205</v>
      </c>
      <c r="I15" s="8">
        <f ca="1">(TODAY()-Table_staff[[#This Row],[Date Joined]])/365</f>
        <v>3.0136986301369864</v>
      </c>
      <c r="J15" s="26">
        <f ca="1">ROUNDUP(IF(Table_staff[[#This Row],[Tenure]]&gt;3,3%,2%)*Table_staff[[#This Row],[Salary]],0)</f>
        <v>1138</v>
      </c>
      <c r="K15">
        <f>_xlfn.XLOOKUP(Table_staff[[#This Row],[Rating]],Sheet6!$E$4:$E$8,Sheet6!$F$4:$F$8 )</f>
        <v>3</v>
      </c>
      <c r="N15" s="19" t="s">
        <v>176</v>
      </c>
    </row>
    <row r="16" spans="1:16" x14ac:dyDescent="0.25">
      <c r="A16" s="6" t="s">
        <v>178</v>
      </c>
      <c r="B16" s="6" t="s">
        <v>15</v>
      </c>
      <c r="C16">
        <v>34</v>
      </c>
      <c r="D16" t="s">
        <v>16</v>
      </c>
      <c r="E16" s="7">
        <v>44642</v>
      </c>
      <c r="F16" s="6" t="s">
        <v>9</v>
      </c>
      <c r="G16" s="26">
        <v>112650</v>
      </c>
      <c r="H16" t="s">
        <v>205</v>
      </c>
      <c r="I16" s="8">
        <f ca="1">(TODAY()-Table_staff[[#This Row],[Date Joined]])/365</f>
        <v>1.3698630136986301</v>
      </c>
      <c r="J16" s="26">
        <f ca="1">ROUNDUP(IF(Table_staff[[#This Row],[Tenure]]&gt;3,3%,2%)*Table_staff[[#This Row],[Salary]],0)</f>
        <v>2253</v>
      </c>
      <c r="K16">
        <f>_xlfn.XLOOKUP(Table_staff[[#This Row],[Rating]],Sheet6!$E$4:$E$8,Sheet6!$F$4:$F$8 )</f>
        <v>3</v>
      </c>
    </row>
    <row r="17" spans="1:15" x14ac:dyDescent="0.25">
      <c r="A17" s="6" t="s">
        <v>165</v>
      </c>
      <c r="B17" s="6" t="s">
        <v>8</v>
      </c>
      <c r="C17">
        <v>34</v>
      </c>
      <c r="D17" t="s">
        <v>24</v>
      </c>
      <c r="E17" s="7">
        <v>44660</v>
      </c>
      <c r="F17" s="6" t="s">
        <v>19</v>
      </c>
      <c r="G17" s="26">
        <v>49630</v>
      </c>
      <c r="H17" t="s">
        <v>205</v>
      </c>
      <c r="I17" s="8">
        <f ca="1">(TODAY()-Table_staff[[#This Row],[Date Joined]])/365</f>
        <v>1.3205479452054794</v>
      </c>
      <c r="J17" s="26">
        <f ca="1">ROUNDUP(IF(Table_staff[[#This Row],[Tenure]]&gt;3,3%,2%)*Table_staff[[#This Row],[Salary]],0)</f>
        <v>993</v>
      </c>
      <c r="K17">
        <f>_xlfn.XLOOKUP(Table_staff[[#This Row],[Rating]],Sheet6!$E$4:$E$8,Sheet6!$F$4:$F$8 )</f>
        <v>2</v>
      </c>
    </row>
    <row r="18" spans="1:15" x14ac:dyDescent="0.25">
      <c r="A18" s="6" t="s">
        <v>199</v>
      </c>
      <c r="B18" s="6" t="s">
        <v>15</v>
      </c>
      <c r="C18">
        <v>36</v>
      </c>
      <c r="D18" t="s">
        <v>16</v>
      </c>
      <c r="E18" s="7">
        <v>43958</v>
      </c>
      <c r="F18" s="6" t="s">
        <v>12</v>
      </c>
      <c r="G18" s="26">
        <v>118840</v>
      </c>
      <c r="H18" t="s">
        <v>205</v>
      </c>
      <c r="I18" s="8">
        <f ca="1">(TODAY()-Table_staff[[#This Row],[Date Joined]])/365</f>
        <v>3.2438356164383562</v>
      </c>
      <c r="J18" s="26">
        <f ca="1">ROUNDUP(IF(Table_staff[[#This Row],[Tenure]]&gt;3,3%,2%)*Table_staff[[#This Row],[Salary]],0)</f>
        <v>3566</v>
      </c>
      <c r="K18">
        <f>_xlfn.XLOOKUP(Table_staff[[#This Row],[Rating]],Sheet6!$E$4:$E$8,Sheet6!$F$4:$F$8 )</f>
        <v>3</v>
      </c>
      <c r="N18" s="17" t="s">
        <v>1</v>
      </c>
      <c r="O18" s="18" t="str" cm="1">
        <f t="array" aca="1" ref="O18:O25" ca="1">TRANSPOSE(_xlfn.XLOOKUP(N15,Table_staff[Name], Table_staff[[Gender]:[Tenure]]))</f>
        <v>Female</v>
      </c>
    </row>
    <row r="19" spans="1:15" x14ac:dyDescent="0.25">
      <c r="A19" s="6" t="s">
        <v>159</v>
      </c>
      <c r="B19" s="6" t="s">
        <v>15</v>
      </c>
      <c r="C19">
        <v>30</v>
      </c>
      <c r="D19" t="s">
        <v>16</v>
      </c>
      <c r="E19" s="7">
        <v>44789</v>
      </c>
      <c r="F19" s="6" t="s">
        <v>12</v>
      </c>
      <c r="G19" s="26">
        <v>69710</v>
      </c>
      <c r="H19" t="s">
        <v>205</v>
      </c>
      <c r="I19" s="8">
        <f ca="1">(TODAY()-Table_staff[[#This Row],[Date Joined]])/365</f>
        <v>0.9671232876712329</v>
      </c>
      <c r="J19" s="26">
        <f ca="1">ROUNDUP(IF(Table_staff[[#This Row],[Tenure]]&gt;3,3%,2%)*Table_staff[[#This Row],[Salary]],0)</f>
        <v>1395</v>
      </c>
      <c r="K19">
        <f>_xlfn.XLOOKUP(Table_staff[[#This Row],[Rating]],Sheet6!$E$4:$E$8,Sheet6!$F$4:$F$8 )</f>
        <v>3</v>
      </c>
      <c r="N19" s="17" t="s">
        <v>3</v>
      </c>
      <c r="O19" s="18">
        <f ca="1"/>
        <v>32</v>
      </c>
    </row>
    <row r="20" spans="1:15" x14ac:dyDescent="0.25">
      <c r="A20" s="6" t="s">
        <v>197</v>
      </c>
      <c r="B20" s="6" t="s">
        <v>15</v>
      </c>
      <c r="C20">
        <v>20</v>
      </c>
      <c r="D20" t="s">
        <v>16</v>
      </c>
      <c r="E20" s="7">
        <v>44683</v>
      </c>
      <c r="F20" s="6" t="s">
        <v>9</v>
      </c>
      <c r="G20" s="26">
        <v>79570</v>
      </c>
      <c r="H20" t="s">
        <v>205</v>
      </c>
      <c r="I20" s="8">
        <f ca="1">(TODAY()-Table_staff[[#This Row],[Date Joined]])/365</f>
        <v>1.2575342465753425</v>
      </c>
      <c r="J20" s="26">
        <f ca="1">ROUNDUP(IF(Table_staff[[#This Row],[Tenure]]&gt;3,3%,2%)*Table_staff[[#This Row],[Salary]],0)</f>
        <v>1592</v>
      </c>
      <c r="K20">
        <f>_xlfn.XLOOKUP(Table_staff[[#This Row],[Rating]],Sheet6!$E$4:$E$8,Sheet6!$F$4:$F$8 )</f>
        <v>3</v>
      </c>
      <c r="N20" s="17" t="s">
        <v>6</v>
      </c>
      <c r="O20" s="18" t="str">
        <f ca="1"/>
        <v>Above average</v>
      </c>
    </row>
    <row r="21" spans="1:15" x14ac:dyDescent="0.25">
      <c r="A21" s="6" t="s">
        <v>154</v>
      </c>
      <c r="B21" s="6" t="s">
        <v>8</v>
      </c>
      <c r="C21">
        <v>22</v>
      </c>
      <c r="D21" t="s">
        <v>13</v>
      </c>
      <c r="E21" s="7">
        <v>44388</v>
      </c>
      <c r="F21" s="6" t="s">
        <v>9</v>
      </c>
      <c r="G21" s="26">
        <v>76900</v>
      </c>
      <c r="H21" t="s">
        <v>205</v>
      </c>
      <c r="I21" s="8">
        <f ca="1">(TODAY()-Table_staff[[#This Row],[Date Joined]])/365</f>
        <v>2.0657534246575344</v>
      </c>
      <c r="J21" s="26">
        <f ca="1">ROUNDUP(IF(Table_staff[[#This Row],[Tenure]]&gt;3,3%,2%)*Table_staff[[#This Row],[Salary]],0)</f>
        <v>1538</v>
      </c>
      <c r="K21">
        <f>_xlfn.XLOOKUP(Table_staff[[#This Row],[Rating]],Sheet6!$E$4:$E$8,Sheet6!$F$4:$F$8 )</f>
        <v>4</v>
      </c>
      <c r="N21" s="17" t="s">
        <v>4</v>
      </c>
      <c r="O21" s="20">
        <f ca="1"/>
        <v>44293</v>
      </c>
    </row>
    <row r="22" spans="1:15" x14ac:dyDescent="0.25">
      <c r="A22" s="6" t="s">
        <v>182</v>
      </c>
      <c r="B22" s="6" t="s">
        <v>15</v>
      </c>
      <c r="C22">
        <v>27</v>
      </c>
      <c r="D22" t="s">
        <v>16</v>
      </c>
      <c r="E22" s="7">
        <v>44073</v>
      </c>
      <c r="F22" s="6" t="s">
        <v>19</v>
      </c>
      <c r="G22" s="26">
        <v>54970</v>
      </c>
      <c r="H22" t="s">
        <v>205</v>
      </c>
      <c r="I22" s="8">
        <f ca="1">(TODAY()-Table_staff[[#This Row],[Date Joined]])/365</f>
        <v>2.9287671232876713</v>
      </c>
      <c r="J22" s="26">
        <f ca="1">ROUNDUP(IF(Table_staff[[#This Row],[Tenure]]&gt;3,3%,2%)*Table_staff[[#This Row],[Salary]],0)</f>
        <v>1100</v>
      </c>
      <c r="K22">
        <f>_xlfn.XLOOKUP(Table_staff[[#This Row],[Rating]],Sheet6!$E$4:$E$8,Sheet6!$F$4:$F$8 )</f>
        <v>3</v>
      </c>
      <c r="N22" s="17" t="s">
        <v>2</v>
      </c>
      <c r="O22" s="18" t="str">
        <f ca="1"/>
        <v>Website</v>
      </c>
    </row>
    <row r="23" spans="1:15" x14ac:dyDescent="0.25">
      <c r="A23" s="6" t="s">
        <v>118</v>
      </c>
      <c r="B23" s="6" t="s">
        <v>15</v>
      </c>
      <c r="C23">
        <v>37</v>
      </c>
      <c r="D23" t="s">
        <v>24</v>
      </c>
      <c r="E23" s="7">
        <v>44277</v>
      </c>
      <c r="F23" s="6" t="s">
        <v>12</v>
      </c>
      <c r="G23" s="26">
        <v>88050</v>
      </c>
      <c r="H23" t="s">
        <v>205</v>
      </c>
      <c r="I23" s="8">
        <f ca="1">(TODAY()-Table_staff[[#This Row],[Date Joined]])/365</f>
        <v>2.3698630136986303</v>
      </c>
      <c r="J23" s="26">
        <f ca="1">ROUNDUP(IF(Table_staff[[#This Row],[Tenure]]&gt;3,3%,2%)*Table_staff[[#This Row],[Salary]],0)</f>
        <v>1761</v>
      </c>
      <c r="K23">
        <f>_xlfn.XLOOKUP(Table_staff[[#This Row],[Rating]],Sheet6!$E$4:$E$8,Sheet6!$F$4:$F$8 )</f>
        <v>2</v>
      </c>
      <c r="N23" s="17" t="s">
        <v>5</v>
      </c>
      <c r="O23" s="18">
        <f ca="1"/>
        <v>43840</v>
      </c>
    </row>
    <row r="24" spans="1:15" x14ac:dyDescent="0.25">
      <c r="A24" s="6" t="s">
        <v>192</v>
      </c>
      <c r="B24" s="6" t="s">
        <v>15</v>
      </c>
      <c r="C24">
        <v>43</v>
      </c>
      <c r="D24" t="s">
        <v>16</v>
      </c>
      <c r="E24" s="7">
        <v>44558</v>
      </c>
      <c r="F24" s="6" t="s">
        <v>19</v>
      </c>
      <c r="G24" s="26">
        <v>36040</v>
      </c>
      <c r="H24" t="s">
        <v>205</v>
      </c>
      <c r="I24" s="8">
        <f ca="1">(TODAY()-Table_staff[[#This Row],[Date Joined]])/365</f>
        <v>1.6</v>
      </c>
      <c r="J24" s="26">
        <f ca="1">ROUNDUP(IF(Table_staff[[#This Row],[Tenure]]&gt;3,3%,2%)*Table_staff[[#This Row],[Salary]],0)</f>
        <v>721</v>
      </c>
      <c r="K24">
        <f>_xlfn.XLOOKUP(Table_staff[[#This Row],[Rating]],Sheet6!$E$4:$E$8,Sheet6!$F$4:$F$8 )</f>
        <v>3</v>
      </c>
      <c r="N24" s="17" t="s">
        <v>204</v>
      </c>
      <c r="O24" s="18" t="str">
        <f ca="1"/>
        <v>IND</v>
      </c>
    </row>
    <row r="25" spans="1:15" x14ac:dyDescent="0.25">
      <c r="A25" s="6" t="s">
        <v>111</v>
      </c>
      <c r="B25" s="6" t="s">
        <v>8</v>
      </c>
      <c r="C25">
        <v>42</v>
      </c>
      <c r="D25" t="s">
        <v>10</v>
      </c>
      <c r="E25" s="7">
        <v>44718</v>
      </c>
      <c r="F25" s="6" t="s">
        <v>9</v>
      </c>
      <c r="G25" s="26">
        <v>75000</v>
      </c>
      <c r="H25" t="s">
        <v>205</v>
      </c>
      <c r="I25" s="8">
        <f ca="1">(TODAY()-Table_staff[[#This Row],[Date Joined]])/365</f>
        <v>1.1616438356164382</v>
      </c>
      <c r="J25" s="26">
        <f ca="1">ROUNDUP(IF(Table_staff[[#This Row],[Tenure]]&gt;3,3%,2%)*Table_staff[[#This Row],[Salary]],0)</f>
        <v>1500</v>
      </c>
      <c r="K25">
        <f>_xlfn.XLOOKUP(Table_staff[[#This Row],[Rating]],Sheet6!$E$4:$E$8,Sheet6!$F$4:$F$8 )</f>
        <v>5</v>
      </c>
      <c r="N25" s="17" t="s">
        <v>212</v>
      </c>
      <c r="O25" s="18">
        <f ca="1"/>
        <v>2.3260273972602739</v>
      </c>
    </row>
    <row r="26" spans="1:15" x14ac:dyDescent="0.25">
      <c r="A26" s="6" t="s">
        <v>149</v>
      </c>
      <c r="B26" s="6" t="s">
        <v>15</v>
      </c>
      <c r="C26">
        <v>35</v>
      </c>
      <c r="D26" t="s">
        <v>16</v>
      </c>
      <c r="E26" s="7">
        <v>44666</v>
      </c>
      <c r="F26" s="6" t="s">
        <v>9</v>
      </c>
      <c r="G26" s="26">
        <v>40400</v>
      </c>
      <c r="H26" t="s">
        <v>205</v>
      </c>
      <c r="I26" s="8">
        <f ca="1">(TODAY()-Table_staff[[#This Row],[Date Joined]])/365</f>
        <v>1.3041095890410959</v>
      </c>
      <c r="J26" s="26">
        <f ca="1">ROUNDUP(IF(Table_staff[[#This Row],[Tenure]]&gt;3,3%,2%)*Table_staff[[#This Row],[Salary]],0)</f>
        <v>808</v>
      </c>
      <c r="K26">
        <f>_xlfn.XLOOKUP(Table_staff[[#This Row],[Rating]],Sheet6!$E$4:$E$8,Sheet6!$F$4:$F$8 )</f>
        <v>3</v>
      </c>
    </row>
    <row r="27" spans="1:15" x14ac:dyDescent="0.25">
      <c r="A27" s="6" t="s">
        <v>196</v>
      </c>
      <c r="B27" s="6" t="s">
        <v>15</v>
      </c>
      <c r="C27">
        <v>24</v>
      </c>
      <c r="D27" t="s">
        <v>16</v>
      </c>
      <c r="E27" s="7">
        <v>44625</v>
      </c>
      <c r="F27" s="6" t="s">
        <v>12</v>
      </c>
      <c r="G27" s="26">
        <v>100420</v>
      </c>
      <c r="H27" t="s">
        <v>205</v>
      </c>
      <c r="I27" s="8">
        <f ca="1">(TODAY()-Table_staff[[#This Row],[Date Joined]])/365</f>
        <v>1.4164383561643836</v>
      </c>
      <c r="J27" s="26">
        <f ca="1">ROUNDUP(IF(Table_staff[[#This Row],[Tenure]]&gt;3,3%,2%)*Table_staff[[#This Row],[Salary]],0)</f>
        <v>2009</v>
      </c>
      <c r="K27">
        <f>_xlfn.XLOOKUP(Table_staff[[#This Row],[Rating]],Sheet6!$E$4:$E$8,Sheet6!$F$4:$F$8 )</f>
        <v>3</v>
      </c>
    </row>
    <row r="28" spans="1:15" x14ac:dyDescent="0.25">
      <c r="A28" s="6" t="s">
        <v>120</v>
      </c>
      <c r="B28" s="6" t="s">
        <v>8</v>
      </c>
      <c r="C28">
        <v>31</v>
      </c>
      <c r="D28" t="s">
        <v>16</v>
      </c>
      <c r="E28" s="7">
        <v>44604</v>
      </c>
      <c r="F28" s="6" t="s">
        <v>12</v>
      </c>
      <c r="G28" s="26">
        <v>58100</v>
      </c>
      <c r="H28" t="s">
        <v>205</v>
      </c>
      <c r="I28" s="8">
        <f ca="1">(TODAY()-Table_staff[[#This Row],[Date Joined]])/365</f>
        <v>1.473972602739726</v>
      </c>
      <c r="J28" s="26">
        <f ca="1">ROUNDUP(IF(Table_staff[[#This Row],[Tenure]]&gt;3,3%,2%)*Table_staff[[#This Row],[Salary]],0)</f>
        <v>1162</v>
      </c>
      <c r="K28">
        <f>_xlfn.XLOOKUP(Table_staff[[#This Row],[Rating]],Sheet6!$E$4:$E$8,Sheet6!$F$4:$F$8 )</f>
        <v>3</v>
      </c>
    </row>
    <row r="29" spans="1:15" x14ac:dyDescent="0.25">
      <c r="A29" s="6" t="s">
        <v>114</v>
      </c>
      <c r="B29" s="6" t="s">
        <v>8</v>
      </c>
      <c r="C29">
        <v>44</v>
      </c>
      <c r="D29" t="s">
        <v>16</v>
      </c>
      <c r="E29" s="7">
        <v>44985</v>
      </c>
      <c r="F29" s="6" t="s">
        <v>12</v>
      </c>
      <c r="G29" s="26">
        <v>114870</v>
      </c>
      <c r="H29" t="s">
        <v>205</v>
      </c>
      <c r="I29" s="8">
        <f ca="1">(TODAY()-Table_staff[[#This Row],[Date Joined]])/365</f>
        <v>0.43013698630136987</v>
      </c>
      <c r="J29" s="26">
        <f ca="1">ROUNDUP(IF(Table_staff[[#This Row],[Tenure]]&gt;3,3%,2%)*Table_staff[[#This Row],[Salary]],0)</f>
        <v>2298</v>
      </c>
      <c r="K29">
        <f>_xlfn.XLOOKUP(Table_staff[[#This Row],[Rating]],Sheet6!$E$4:$E$8,Sheet6!$F$4:$F$8 )</f>
        <v>3</v>
      </c>
    </row>
    <row r="30" spans="1:15" x14ac:dyDescent="0.25">
      <c r="A30" s="6" t="s">
        <v>158</v>
      </c>
      <c r="B30" s="6" t="s">
        <v>8</v>
      </c>
      <c r="C30">
        <v>32</v>
      </c>
      <c r="D30" t="s">
        <v>16</v>
      </c>
      <c r="E30" s="7">
        <v>44549</v>
      </c>
      <c r="F30" s="6" t="s">
        <v>9</v>
      </c>
      <c r="G30" s="26">
        <v>41570</v>
      </c>
      <c r="H30" t="s">
        <v>205</v>
      </c>
      <c r="I30" s="8">
        <f ca="1">(TODAY()-Table_staff[[#This Row],[Date Joined]])/365</f>
        <v>1.6246575342465754</v>
      </c>
      <c r="J30" s="26">
        <f ca="1">ROUNDUP(IF(Table_staff[[#This Row],[Tenure]]&gt;3,3%,2%)*Table_staff[[#This Row],[Salary]],0)</f>
        <v>832</v>
      </c>
      <c r="K30">
        <f>_xlfn.XLOOKUP(Table_staff[[#This Row],[Rating]],Sheet6!$E$4:$E$8,Sheet6!$F$4:$F$8 )</f>
        <v>3</v>
      </c>
    </row>
    <row r="31" spans="1:15" x14ac:dyDescent="0.25">
      <c r="A31" s="6" t="s">
        <v>173</v>
      </c>
      <c r="B31" s="6" t="s">
        <v>8</v>
      </c>
      <c r="C31">
        <v>30</v>
      </c>
      <c r="D31" t="s">
        <v>16</v>
      </c>
      <c r="E31" s="7">
        <v>44800</v>
      </c>
      <c r="F31" s="6" t="s">
        <v>9</v>
      </c>
      <c r="G31" s="26">
        <v>112570</v>
      </c>
      <c r="H31" t="s">
        <v>205</v>
      </c>
      <c r="I31" s="8">
        <f ca="1">(TODAY()-Table_staff[[#This Row],[Date Joined]])/365</f>
        <v>0.93698630136986305</v>
      </c>
      <c r="J31" s="26">
        <f ca="1">ROUNDUP(IF(Table_staff[[#This Row],[Tenure]]&gt;3,3%,2%)*Table_staff[[#This Row],[Salary]],0)</f>
        <v>2252</v>
      </c>
      <c r="K31">
        <f>_xlfn.XLOOKUP(Table_staff[[#This Row],[Rating]],Sheet6!$E$4:$E$8,Sheet6!$F$4:$F$8 )</f>
        <v>3</v>
      </c>
    </row>
    <row r="32" spans="1:15" x14ac:dyDescent="0.25">
      <c r="A32" s="6" t="s">
        <v>151</v>
      </c>
      <c r="B32" s="6" t="s">
        <v>15</v>
      </c>
      <c r="C32">
        <v>26</v>
      </c>
      <c r="D32" t="s">
        <v>16</v>
      </c>
      <c r="E32" s="7">
        <v>44164</v>
      </c>
      <c r="F32" s="6" t="s">
        <v>9</v>
      </c>
      <c r="G32" s="26">
        <v>47360</v>
      </c>
      <c r="H32" t="s">
        <v>205</v>
      </c>
      <c r="I32" s="8">
        <f ca="1">(TODAY()-Table_staff[[#This Row],[Date Joined]])/365</f>
        <v>2.6794520547945204</v>
      </c>
      <c r="J32" s="26">
        <f ca="1">ROUNDUP(IF(Table_staff[[#This Row],[Tenure]]&gt;3,3%,2%)*Table_staff[[#This Row],[Salary]],0)</f>
        <v>948</v>
      </c>
      <c r="K32">
        <f>_xlfn.XLOOKUP(Table_staff[[#This Row],[Rating]],Sheet6!$E$4:$E$8,Sheet6!$F$4:$F$8 )</f>
        <v>3</v>
      </c>
    </row>
    <row r="33" spans="1:11" x14ac:dyDescent="0.25">
      <c r="A33" s="6" t="s">
        <v>126</v>
      </c>
      <c r="B33" s="6" t="s">
        <v>8</v>
      </c>
      <c r="C33">
        <v>21</v>
      </c>
      <c r="D33" t="s">
        <v>16</v>
      </c>
      <c r="E33" s="7">
        <v>44256</v>
      </c>
      <c r="F33" s="6" t="s">
        <v>21</v>
      </c>
      <c r="G33" s="26">
        <v>65920</v>
      </c>
      <c r="H33" t="s">
        <v>205</v>
      </c>
      <c r="I33" s="8">
        <f ca="1">(TODAY()-Table_staff[[#This Row],[Date Joined]])/365</f>
        <v>2.4273972602739726</v>
      </c>
      <c r="J33" s="26">
        <f ca="1">ROUNDUP(IF(Table_staff[[#This Row],[Tenure]]&gt;3,3%,2%)*Table_staff[[#This Row],[Salary]],0)</f>
        <v>1319</v>
      </c>
      <c r="K33">
        <f>_xlfn.XLOOKUP(Table_staff[[#This Row],[Rating]],Sheet6!$E$4:$E$8,Sheet6!$F$4:$F$8 )</f>
        <v>3</v>
      </c>
    </row>
    <row r="34" spans="1:11" x14ac:dyDescent="0.25">
      <c r="A34" s="6" t="s">
        <v>200</v>
      </c>
      <c r="B34" s="6" t="s">
        <v>8</v>
      </c>
      <c r="C34">
        <v>28</v>
      </c>
      <c r="D34" t="s">
        <v>16</v>
      </c>
      <c r="E34" s="7">
        <v>44571</v>
      </c>
      <c r="F34" s="6" t="s">
        <v>9</v>
      </c>
      <c r="G34" s="26">
        <v>99970</v>
      </c>
      <c r="H34" t="s">
        <v>205</v>
      </c>
      <c r="I34" s="8">
        <f ca="1">(TODAY()-Table_staff[[#This Row],[Date Joined]])/365</f>
        <v>1.5643835616438355</v>
      </c>
      <c r="J34" s="26">
        <f ca="1">ROUNDUP(IF(Table_staff[[#This Row],[Tenure]]&gt;3,3%,2%)*Table_staff[[#This Row],[Salary]],0)</f>
        <v>2000</v>
      </c>
      <c r="K34">
        <f>_xlfn.XLOOKUP(Table_staff[[#This Row],[Rating]],Sheet6!$E$4:$E$8,Sheet6!$F$4:$F$8 )</f>
        <v>3</v>
      </c>
    </row>
    <row r="35" spans="1:11" x14ac:dyDescent="0.25">
      <c r="A35" s="6" t="s">
        <v>133</v>
      </c>
      <c r="B35" s="6" t="s">
        <v>8</v>
      </c>
      <c r="C35">
        <v>25</v>
      </c>
      <c r="D35" t="s">
        <v>13</v>
      </c>
      <c r="E35" s="7">
        <v>44633</v>
      </c>
      <c r="F35" s="6" t="s">
        <v>12</v>
      </c>
      <c r="G35" s="26">
        <v>80700</v>
      </c>
      <c r="H35" t="s">
        <v>205</v>
      </c>
      <c r="I35" s="8">
        <f ca="1">(TODAY()-Table_staff[[#This Row],[Date Joined]])/365</f>
        <v>1.3945205479452054</v>
      </c>
      <c r="J35" s="26">
        <f ca="1">ROUNDUP(IF(Table_staff[[#This Row],[Tenure]]&gt;3,3%,2%)*Table_staff[[#This Row],[Salary]],0)</f>
        <v>1614</v>
      </c>
      <c r="K35">
        <f>_xlfn.XLOOKUP(Table_staff[[#This Row],[Rating]],Sheet6!$E$4:$E$8,Sheet6!$F$4:$F$8 )</f>
        <v>4</v>
      </c>
    </row>
    <row r="36" spans="1:11" x14ac:dyDescent="0.25">
      <c r="A36" s="6" t="s">
        <v>155</v>
      </c>
      <c r="B36" s="6" t="s">
        <v>15</v>
      </c>
      <c r="C36">
        <v>24</v>
      </c>
      <c r="D36" t="s">
        <v>24</v>
      </c>
      <c r="E36" s="7">
        <v>44375</v>
      </c>
      <c r="F36" s="6" t="s">
        <v>21</v>
      </c>
      <c r="G36" s="26">
        <v>52610</v>
      </c>
      <c r="H36" t="s">
        <v>205</v>
      </c>
      <c r="I36" s="8">
        <f ca="1">(TODAY()-Table_staff[[#This Row],[Date Joined]])/365</f>
        <v>2.1013698630136988</v>
      </c>
      <c r="J36" s="26">
        <f ca="1">ROUNDUP(IF(Table_staff[[#This Row],[Tenure]]&gt;3,3%,2%)*Table_staff[[#This Row],[Salary]],0)</f>
        <v>1053</v>
      </c>
      <c r="K36">
        <f>_xlfn.XLOOKUP(Table_staff[[#This Row],[Rating]],Sheet6!$E$4:$E$8,Sheet6!$F$4:$F$8 )</f>
        <v>2</v>
      </c>
    </row>
    <row r="37" spans="1:11" x14ac:dyDescent="0.25">
      <c r="A37" s="6" t="s">
        <v>180</v>
      </c>
      <c r="B37" s="6" t="s">
        <v>15</v>
      </c>
      <c r="C37">
        <v>29</v>
      </c>
      <c r="D37" t="s">
        <v>24</v>
      </c>
      <c r="E37" s="7">
        <v>44119</v>
      </c>
      <c r="F37" s="6" t="s">
        <v>12</v>
      </c>
      <c r="G37" s="26">
        <v>112110</v>
      </c>
      <c r="H37" t="s">
        <v>205</v>
      </c>
      <c r="I37" s="8">
        <f ca="1">(TODAY()-Table_staff[[#This Row],[Date Joined]])/365</f>
        <v>2.8027397260273972</v>
      </c>
      <c r="J37" s="26">
        <f ca="1">ROUNDUP(IF(Table_staff[[#This Row],[Tenure]]&gt;3,3%,2%)*Table_staff[[#This Row],[Salary]],0)</f>
        <v>2243</v>
      </c>
      <c r="K37">
        <f>_xlfn.XLOOKUP(Table_staff[[#This Row],[Rating]],Sheet6!$E$4:$E$8,Sheet6!$F$4:$F$8 )</f>
        <v>2</v>
      </c>
    </row>
    <row r="38" spans="1:11" x14ac:dyDescent="0.25">
      <c r="A38" s="6" t="s">
        <v>152</v>
      </c>
      <c r="B38" s="6" t="s">
        <v>8</v>
      </c>
      <c r="C38">
        <v>27</v>
      </c>
      <c r="D38" t="s">
        <v>16</v>
      </c>
      <c r="E38" s="7">
        <v>44061</v>
      </c>
      <c r="F38" s="6" t="s">
        <v>56</v>
      </c>
      <c r="G38" s="26">
        <v>119110</v>
      </c>
      <c r="H38" t="s">
        <v>205</v>
      </c>
      <c r="I38" s="8">
        <f ca="1">(TODAY()-Table_staff[[#This Row],[Date Joined]])/365</f>
        <v>2.9616438356164383</v>
      </c>
      <c r="J38" s="26">
        <f ca="1">ROUNDUP(IF(Table_staff[[#This Row],[Tenure]]&gt;3,3%,2%)*Table_staff[[#This Row],[Salary]],0)</f>
        <v>2383</v>
      </c>
      <c r="K38">
        <f>_xlfn.XLOOKUP(Table_staff[[#This Row],[Rating]],Sheet6!$E$4:$E$8,Sheet6!$F$4:$F$8 )</f>
        <v>3</v>
      </c>
    </row>
    <row r="39" spans="1:11" x14ac:dyDescent="0.25">
      <c r="A39" s="6" t="s">
        <v>150</v>
      </c>
      <c r="B39" s="6" t="s">
        <v>15</v>
      </c>
      <c r="C39">
        <v>22</v>
      </c>
      <c r="D39" t="s">
        <v>13</v>
      </c>
      <c r="E39" s="7">
        <v>44384</v>
      </c>
      <c r="F39" s="6" t="s">
        <v>19</v>
      </c>
      <c r="G39" s="26">
        <v>112780</v>
      </c>
      <c r="H39" t="s">
        <v>205</v>
      </c>
      <c r="I39" s="8">
        <f ca="1">(TODAY()-Table_staff[[#This Row],[Date Joined]])/365</f>
        <v>2.0767123287671234</v>
      </c>
      <c r="J39" s="26">
        <f ca="1">ROUNDUP(IF(Table_staff[[#This Row],[Tenure]]&gt;3,3%,2%)*Table_staff[[#This Row],[Salary]],0)</f>
        <v>2256</v>
      </c>
      <c r="K39">
        <f>_xlfn.XLOOKUP(Table_staff[[#This Row],[Rating]],Sheet6!$E$4:$E$8,Sheet6!$F$4:$F$8 )</f>
        <v>4</v>
      </c>
    </row>
    <row r="40" spans="1:11" x14ac:dyDescent="0.25">
      <c r="A40" s="6" t="s">
        <v>175</v>
      </c>
      <c r="B40" s="6" t="s">
        <v>8</v>
      </c>
      <c r="C40">
        <v>36</v>
      </c>
      <c r="D40" t="s">
        <v>16</v>
      </c>
      <c r="E40" s="7">
        <v>44023</v>
      </c>
      <c r="F40" s="6" t="s">
        <v>9</v>
      </c>
      <c r="G40" s="26">
        <v>114890</v>
      </c>
      <c r="H40" t="s">
        <v>205</v>
      </c>
      <c r="I40" s="8">
        <f ca="1">(TODAY()-Table_staff[[#This Row],[Date Joined]])/365</f>
        <v>3.0657534246575344</v>
      </c>
      <c r="J40" s="26">
        <f ca="1">ROUNDUP(IF(Table_staff[[#This Row],[Tenure]]&gt;3,3%,2%)*Table_staff[[#This Row],[Salary]],0)</f>
        <v>3447</v>
      </c>
      <c r="K40">
        <f>_xlfn.XLOOKUP(Table_staff[[#This Row],[Rating]],Sheet6!$E$4:$E$8,Sheet6!$F$4:$F$8 )</f>
        <v>3</v>
      </c>
    </row>
    <row r="41" spans="1:11" x14ac:dyDescent="0.25">
      <c r="A41" s="6" t="s">
        <v>146</v>
      </c>
      <c r="B41" s="6" t="s">
        <v>15</v>
      </c>
      <c r="C41">
        <v>27</v>
      </c>
      <c r="D41" t="s">
        <v>16</v>
      </c>
      <c r="E41" s="7">
        <v>44506</v>
      </c>
      <c r="F41" s="6" t="s">
        <v>21</v>
      </c>
      <c r="G41" s="26">
        <v>48980</v>
      </c>
      <c r="H41" t="s">
        <v>205</v>
      </c>
      <c r="I41" s="8">
        <f ca="1">(TODAY()-Table_staff[[#This Row],[Date Joined]])/365</f>
        <v>1.7424657534246575</v>
      </c>
      <c r="J41" s="26">
        <f ca="1">ROUNDUP(IF(Table_staff[[#This Row],[Tenure]]&gt;3,3%,2%)*Table_staff[[#This Row],[Salary]],0)</f>
        <v>980</v>
      </c>
      <c r="K41">
        <f>_xlfn.XLOOKUP(Table_staff[[#This Row],[Rating]],Sheet6!$E$4:$E$8,Sheet6!$F$4:$F$8 )</f>
        <v>3</v>
      </c>
    </row>
    <row r="42" spans="1:11" x14ac:dyDescent="0.25">
      <c r="A42" s="6" t="s">
        <v>170</v>
      </c>
      <c r="B42" s="6" t="s">
        <v>15</v>
      </c>
      <c r="C42">
        <v>21</v>
      </c>
      <c r="D42" t="s">
        <v>16</v>
      </c>
      <c r="E42" s="7">
        <v>44180</v>
      </c>
      <c r="F42" s="6" t="s">
        <v>56</v>
      </c>
      <c r="G42" s="26">
        <v>75880</v>
      </c>
      <c r="H42" t="s">
        <v>205</v>
      </c>
      <c r="I42" s="8">
        <f ca="1">(TODAY()-Table_staff[[#This Row],[Date Joined]])/365</f>
        <v>2.6356164383561644</v>
      </c>
      <c r="J42" s="26">
        <f ca="1">ROUNDUP(IF(Table_staff[[#This Row],[Tenure]]&gt;3,3%,2%)*Table_staff[[#This Row],[Salary]],0)</f>
        <v>1518</v>
      </c>
      <c r="K42">
        <f>_xlfn.XLOOKUP(Table_staff[[#This Row],[Rating]],Sheet6!$E$4:$E$8,Sheet6!$F$4:$F$8 )</f>
        <v>3</v>
      </c>
    </row>
    <row r="43" spans="1:11" x14ac:dyDescent="0.25">
      <c r="A43" s="6" t="s">
        <v>167</v>
      </c>
      <c r="B43" s="6" t="s">
        <v>8</v>
      </c>
      <c r="C43">
        <v>28</v>
      </c>
      <c r="D43" t="s">
        <v>16</v>
      </c>
      <c r="E43" s="7">
        <v>44296</v>
      </c>
      <c r="F43" s="6" t="s">
        <v>19</v>
      </c>
      <c r="G43" s="26">
        <v>53240</v>
      </c>
      <c r="H43" t="s">
        <v>205</v>
      </c>
      <c r="I43" s="8">
        <f ca="1">(TODAY()-Table_staff[[#This Row],[Date Joined]])/365</f>
        <v>2.3178082191780822</v>
      </c>
      <c r="J43" s="26">
        <f ca="1">ROUNDUP(IF(Table_staff[[#This Row],[Tenure]]&gt;3,3%,2%)*Table_staff[[#This Row],[Salary]],0)</f>
        <v>1065</v>
      </c>
      <c r="K43">
        <f>_xlfn.XLOOKUP(Table_staff[[#This Row],[Rating]],Sheet6!$E$4:$E$8,Sheet6!$F$4:$F$8 )</f>
        <v>3</v>
      </c>
    </row>
    <row r="44" spans="1:11" x14ac:dyDescent="0.25">
      <c r="A44" s="6" t="s">
        <v>122</v>
      </c>
      <c r="B44" s="6" t="s">
        <v>8</v>
      </c>
      <c r="C44">
        <v>34</v>
      </c>
      <c r="D44" t="s">
        <v>16</v>
      </c>
      <c r="E44" s="7">
        <v>44397</v>
      </c>
      <c r="F44" s="6" t="s">
        <v>21</v>
      </c>
      <c r="G44" s="26">
        <v>85000</v>
      </c>
      <c r="H44" t="s">
        <v>205</v>
      </c>
      <c r="I44" s="8">
        <f ca="1">(TODAY()-Table_staff[[#This Row],[Date Joined]])/365</f>
        <v>2.0410958904109591</v>
      </c>
      <c r="J44" s="26">
        <f ca="1">ROUNDUP(IF(Table_staff[[#This Row],[Tenure]]&gt;3,3%,2%)*Table_staff[[#This Row],[Salary]],0)</f>
        <v>1700</v>
      </c>
      <c r="K44">
        <f>_xlfn.XLOOKUP(Table_staff[[#This Row],[Rating]],Sheet6!$E$4:$E$8,Sheet6!$F$4:$F$8 )</f>
        <v>3</v>
      </c>
    </row>
    <row r="45" spans="1:11" x14ac:dyDescent="0.25">
      <c r="A45" s="6" t="s">
        <v>179</v>
      </c>
      <c r="B45" s="6" t="s">
        <v>8</v>
      </c>
      <c r="C45">
        <v>21</v>
      </c>
      <c r="D45" t="s">
        <v>16</v>
      </c>
      <c r="E45" s="7">
        <v>44619</v>
      </c>
      <c r="F45" s="6" t="s">
        <v>12</v>
      </c>
      <c r="G45" s="26">
        <v>33920</v>
      </c>
      <c r="H45" t="s">
        <v>205</v>
      </c>
      <c r="I45" s="8">
        <f ca="1">(TODAY()-Table_staff[[#This Row],[Date Joined]])/365</f>
        <v>1.4328767123287671</v>
      </c>
      <c r="J45" s="26">
        <f ca="1">ROUNDUP(IF(Table_staff[[#This Row],[Tenure]]&gt;3,3%,2%)*Table_staff[[#This Row],[Salary]],0)</f>
        <v>679</v>
      </c>
      <c r="K45">
        <f>_xlfn.XLOOKUP(Table_staff[[#This Row],[Rating]],Sheet6!$E$4:$E$8,Sheet6!$F$4:$F$8 )</f>
        <v>3</v>
      </c>
    </row>
    <row r="46" spans="1:11" x14ac:dyDescent="0.25">
      <c r="A46" s="6" t="s">
        <v>188</v>
      </c>
      <c r="B46" s="6" t="s">
        <v>8</v>
      </c>
      <c r="C46">
        <v>33</v>
      </c>
      <c r="D46" t="s">
        <v>16</v>
      </c>
      <c r="E46" s="7">
        <v>44253</v>
      </c>
      <c r="F46" s="6" t="s">
        <v>12</v>
      </c>
      <c r="G46" s="26">
        <v>75280</v>
      </c>
      <c r="H46" t="s">
        <v>205</v>
      </c>
      <c r="I46" s="8">
        <f ca="1">(TODAY()-Table_staff[[#This Row],[Date Joined]])/365</f>
        <v>2.4356164383561643</v>
      </c>
      <c r="J46" s="26">
        <f ca="1">ROUNDUP(IF(Table_staff[[#This Row],[Tenure]]&gt;3,3%,2%)*Table_staff[[#This Row],[Salary]],0)</f>
        <v>1506</v>
      </c>
      <c r="K46">
        <f>_xlfn.XLOOKUP(Table_staff[[#This Row],[Rating]],Sheet6!$E$4:$E$8,Sheet6!$F$4:$F$8 )</f>
        <v>3</v>
      </c>
    </row>
    <row r="47" spans="1:11" x14ac:dyDescent="0.25">
      <c r="A47" s="6" t="s">
        <v>130</v>
      </c>
      <c r="B47" s="6" t="s">
        <v>8</v>
      </c>
      <c r="C47">
        <v>34</v>
      </c>
      <c r="D47" t="s">
        <v>16</v>
      </c>
      <c r="E47" s="7">
        <v>44594</v>
      </c>
      <c r="F47" s="6" t="s">
        <v>21</v>
      </c>
      <c r="G47" s="26">
        <v>58940</v>
      </c>
      <c r="H47" t="s">
        <v>205</v>
      </c>
      <c r="I47" s="8">
        <f ca="1">(TODAY()-Table_staff[[#This Row],[Date Joined]])/365</f>
        <v>1.5013698630136987</v>
      </c>
      <c r="J47" s="26">
        <f ca="1">ROUNDUP(IF(Table_staff[[#This Row],[Tenure]]&gt;3,3%,2%)*Table_staff[[#This Row],[Salary]],0)</f>
        <v>1179</v>
      </c>
      <c r="K47">
        <f>_xlfn.XLOOKUP(Table_staff[[#This Row],[Rating]],Sheet6!$E$4:$E$8,Sheet6!$F$4:$F$8 )</f>
        <v>3</v>
      </c>
    </row>
    <row r="48" spans="1:11" x14ac:dyDescent="0.25">
      <c r="A48" s="6" t="s">
        <v>136</v>
      </c>
      <c r="B48" s="6" t="s">
        <v>8</v>
      </c>
      <c r="C48">
        <v>28</v>
      </c>
      <c r="D48" t="s">
        <v>16</v>
      </c>
      <c r="E48" s="7">
        <v>44425</v>
      </c>
      <c r="F48" s="6" t="s">
        <v>9</v>
      </c>
      <c r="G48" s="26">
        <v>104770</v>
      </c>
      <c r="H48" t="s">
        <v>205</v>
      </c>
      <c r="I48" s="8">
        <f ca="1">(TODAY()-Table_staff[[#This Row],[Date Joined]])/365</f>
        <v>1.9643835616438357</v>
      </c>
      <c r="J48" s="26">
        <f ca="1">ROUNDUP(IF(Table_staff[[#This Row],[Tenure]]&gt;3,3%,2%)*Table_staff[[#This Row],[Salary]],0)</f>
        <v>2096</v>
      </c>
      <c r="K48">
        <f>_xlfn.XLOOKUP(Table_staff[[#This Row],[Rating]],Sheet6!$E$4:$E$8,Sheet6!$F$4:$F$8 )</f>
        <v>3</v>
      </c>
    </row>
    <row r="49" spans="1:11" x14ac:dyDescent="0.25">
      <c r="A49" s="6" t="s">
        <v>125</v>
      </c>
      <c r="B49" s="6" t="s">
        <v>15</v>
      </c>
      <c r="C49">
        <v>21</v>
      </c>
      <c r="D49" t="s">
        <v>16</v>
      </c>
      <c r="E49" s="7">
        <v>44701</v>
      </c>
      <c r="F49" s="6" t="s">
        <v>9</v>
      </c>
      <c r="G49" s="26">
        <v>57090</v>
      </c>
      <c r="H49" t="s">
        <v>205</v>
      </c>
      <c r="I49" s="8">
        <f ca="1">(TODAY()-Table_staff[[#This Row],[Date Joined]])/365</f>
        <v>1.2082191780821918</v>
      </c>
      <c r="J49" s="26">
        <f ca="1">ROUNDUP(IF(Table_staff[[#This Row],[Tenure]]&gt;3,3%,2%)*Table_staff[[#This Row],[Salary]],0)</f>
        <v>1142</v>
      </c>
      <c r="K49">
        <f>_xlfn.XLOOKUP(Table_staff[[#This Row],[Rating]],Sheet6!$E$4:$E$8,Sheet6!$F$4:$F$8 )</f>
        <v>3</v>
      </c>
    </row>
    <row r="50" spans="1:11" x14ac:dyDescent="0.25">
      <c r="A50" s="6" t="s">
        <v>160</v>
      </c>
      <c r="B50" s="6" t="s">
        <v>15</v>
      </c>
      <c r="C50">
        <v>27</v>
      </c>
      <c r="D50" t="s">
        <v>13</v>
      </c>
      <c r="E50" s="7">
        <v>44174</v>
      </c>
      <c r="F50" s="6" t="s">
        <v>21</v>
      </c>
      <c r="G50" s="26">
        <v>91650</v>
      </c>
      <c r="H50" t="s">
        <v>205</v>
      </c>
      <c r="I50" s="8">
        <f ca="1">(TODAY()-Table_staff[[#This Row],[Date Joined]])/365</f>
        <v>2.6520547945205482</v>
      </c>
      <c r="J50" s="26">
        <f ca="1">ROUNDUP(IF(Table_staff[[#This Row],[Tenure]]&gt;3,3%,2%)*Table_staff[[#This Row],[Salary]],0)</f>
        <v>1833</v>
      </c>
      <c r="K50">
        <f>_xlfn.XLOOKUP(Table_staff[[#This Row],[Rating]],Sheet6!$E$4:$E$8,Sheet6!$F$4:$F$8 )</f>
        <v>4</v>
      </c>
    </row>
    <row r="51" spans="1:11" x14ac:dyDescent="0.25">
      <c r="A51" s="6" t="s">
        <v>183</v>
      </c>
      <c r="B51" s="6" t="s">
        <v>15</v>
      </c>
      <c r="C51">
        <v>42</v>
      </c>
      <c r="D51" t="s">
        <v>24</v>
      </c>
      <c r="E51" s="7">
        <v>44670</v>
      </c>
      <c r="F51" s="6" t="s">
        <v>21</v>
      </c>
      <c r="G51" s="26">
        <v>70270</v>
      </c>
      <c r="H51" t="s">
        <v>205</v>
      </c>
      <c r="I51" s="8">
        <f ca="1">(TODAY()-Table_staff[[#This Row],[Date Joined]])/365</f>
        <v>1.2931506849315069</v>
      </c>
      <c r="J51" s="26">
        <f ca="1">ROUNDUP(IF(Table_staff[[#This Row],[Tenure]]&gt;3,3%,2%)*Table_staff[[#This Row],[Salary]],0)</f>
        <v>1406</v>
      </c>
      <c r="K51">
        <f>_xlfn.XLOOKUP(Table_staff[[#This Row],[Rating]],Sheet6!$E$4:$E$8,Sheet6!$F$4:$F$8 )</f>
        <v>2</v>
      </c>
    </row>
    <row r="52" spans="1:11" x14ac:dyDescent="0.25">
      <c r="A52" s="6" t="s">
        <v>129</v>
      </c>
      <c r="B52" s="6" t="s">
        <v>8</v>
      </c>
      <c r="C52">
        <v>28</v>
      </c>
      <c r="D52" t="s">
        <v>16</v>
      </c>
      <c r="E52" s="7">
        <v>44124</v>
      </c>
      <c r="F52" s="6" t="s">
        <v>21</v>
      </c>
      <c r="G52" s="26">
        <v>75970</v>
      </c>
      <c r="H52" t="s">
        <v>205</v>
      </c>
      <c r="I52" s="8">
        <f ca="1">(TODAY()-Table_staff[[#This Row],[Date Joined]])/365</f>
        <v>2.7890410958904108</v>
      </c>
      <c r="J52" s="26">
        <f ca="1">ROUNDUP(IF(Table_staff[[#This Row],[Tenure]]&gt;3,3%,2%)*Table_staff[[#This Row],[Salary]],0)</f>
        <v>1520</v>
      </c>
      <c r="K52">
        <f>_xlfn.XLOOKUP(Table_staff[[#This Row],[Rating]],Sheet6!$E$4:$E$8,Sheet6!$F$4:$F$8 )</f>
        <v>3</v>
      </c>
    </row>
    <row r="53" spans="1:11" x14ac:dyDescent="0.25">
      <c r="A53" s="6" t="s">
        <v>112</v>
      </c>
      <c r="B53" s="6" t="s">
        <v>206</v>
      </c>
      <c r="C53">
        <v>27</v>
      </c>
      <c r="D53" t="s">
        <v>13</v>
      </c>
      <c r="E53" s="7">
        <v>44212</v>
      </c>
      <c r="F53" s="6" t="s">
        <v>12</v>
      </c>
      <c r="G53" s="26">
        <v>90700</v>
      </c>
      <c r="H53" t="s">
        <v>205</v>
      </c>
      <c r="I53" s="8">
        <f ca="1">(TODAY()-Table_staff[[#This Row],[Date Joined]])/365</f>
        <v>2.547945205479452</v>
      </c>
      <c r="J53" s="26">
        <f ca="1">ROUNDUP(IF(Table_staff[[#This Row],[Tenure]]&gt;3,3%,2%)*Table_staff[[#This Row],[Salary]],0)</f>
        <v>1814</v>
      </c>
      <c r="K53">
        <f>_xlfn.XLOOKUP(Table_staff[[#This Row],[Rating]],Sheet6!$E$4:$E$8,Sheet6!$F$4:$F$8 )</f>
        <v>4</v>
      </c>
    </row>
    <row r="54" spans="1:11" x14ac:dyDescent="0.25">
      <c r="A54" s="6" t="s">
        <v>131</v>
      </c>
      <c r="B54" s="6" t="s">
        <v>15</v>
      </c>
      <c r="C54">
        <v>30</v>
      </c>
      <c r="D54" t="s">
        <v>16</v>
      </c>
      <c r="E54" s="7">
        <v>44607</v>
      </c>
      <c r="F54" s="6" t="s">
        <v>9</v>
      </c>
      <c r="G54" s="26">
        <v>60570</v>
      </c>
      <c r="H54" t="s">
        <v>205</v>
      </c>
      <c r="I54" s="8">
        <f ca="1">(TODAY()-Table_staff[[#This Row],[Date Joined]])/365</f>
        <v>1.4657534246575343</v>
      </c>
      <c r="J54" s="26">
        <f ca="1">ROUNDUP(IF(Table_staff[[#This Row],[Tenure]]&gt;3,3%,2%)*Table_staff[[#This Row],[Salary]],0)</f>
        <v>1212</v>
      </c>
      <c r="K54">
        <f>_xlfn.XLOOKUP(Table_staff[[#This Row],[Rating]],Sheet6!$E$4:$E$8,Sheet6!$F$4:$F$8 )</f>
        <v>3</v>
      </c>
    </row>
    <row r="55" spans="1:11" x14ac:dyDescent="0.25">
      <c r="A55" s="6" t="s">
        <v>134</v>
      </c>
      <c r="B55" s="6" t="s">
        <v>15</v>
      </c>
      <c r="C55">
        <v>33</v>
      </c>
      <c r="D55" t="s">
        <v>16</v>
      </c>
      <c r="E55" s="7">
        <v>44103</v>
      </c>
      <c r="F55" s="6" t="s">
        <v>9</v>
      </c>
      <c r="G55" s="26">
        <v>115920</v>
      </c>
      <c r="H55" t="s">
        <v>205</v>
      </c>
      <c r="I55" s="8">
        <f ca="1">(TODAY()-Table_staff[[#This Row],[Date Joined]])/365</f>
        <v>2.8465753424657536</v>
      </c>
      <c r="J55" s="26">
        <f ca="1">ROUNDUP(IF(Table_staff[[#This Row],[Tenure]]&gt;3,3%,2%)*Table_staff[[#This Row],[Salary]],0)</f>
        <v>2319</v>
      </c>
      <c r="K55">
        <f>_xlfn.XLOOKUP(Table_staff[[#This Row],[Rating]],Sheet6!$E$4:$E$8,Sheet6!$F$4:$F$8 )</f>
        <v>3</v>
      </c>
    </row>
    <row r="56" spans="1:11" x14ac:dyDescent="0.25">
      <c r="A56" s="6" t="s">
        <v>186</v>
      </c>
      <c r="B56" s="6" t="s">
        <v>8</v>
      </c>
      <c r="C56">
        <v>33</v>
      </c>
      <c r="D56" t="s">
        <v>16</v>
      </c>
      <c r="E56" s="7">
        <v>44006</v>
      </c>
      <c r="F56" s="6" t="s">
        <v>21</v>
      </c>
      <c r="G56" s="26">
        <v>65360</v>
      </c>
      <c r="H56" t="s">
        <v>205</v>
      </c>
      <c r="I56" s="8">
        <f ca="1">(TODAY()-Table_staff[[#This Row],[Date Joined]])/365</f>
        <v>3.1123287671232878</v>
      </c>
      <c r="J56" s="26">
        <f ca="1">ROUNDUP(IF(Table_staff[[#This Row],[Tenure]]&gt;3,3%,2%)*Table_staff[[#This Row],[Salary]],0)</f>
        <v>1961</v>
      </c>
      <c r="K56">
        <f>_xlfn.XLOOKUP(Table_staff[[#This Row],[Rating]],Sheet6!$E$4:$E$8,Sheet6!$F$4:$F$8 )</f>
        <v>3</v>
      </c>
    </row>
    <row r="57" spans="1:11" x14ac:dyDescent="0.25">
      <c r="A57" s="6" t="s">
        <v>116</v>
      </c>
      <c r="B57" s="6" t="s">
        <v>206</v>
      </c>
      <c r="C57">
        <v>30</v>
      </c>
      <c r="D57" t="s">
        <v>16</v>
      </c>
      <c r="E57" s="7">
        <v>44535</v>
      </c>
      <c r="F57" s="6" t="s">
        <v>21</v>
      </c>
      <c r="G57" s="26">
        <v>64000</v>
      </c>
      <c r="H57" t="s">
        <v>205</v>
      </c>
      <c r="I57" s="8">
        <f ca="1">(TODAY()-Table_staff[[#This Row],[Date Joined]])/365</f>
        <v>1.6630136986301369</v>
      </c>
      <c r="J57" s="26">
        <f ca="1">ROUNDUP(IF(Table_staff[[#This Row],[Tenure]]&gt;3,3%,2%)*Table_staff[[#This Row],[Salary]],0)</f>
        <v>1280</v>
      </c>
      <c r="K57">
        <f>_xlfn.XLOOKUP(Table_staff[[#This Row],[Rating]],Sheet6!$E$4:$E$8,Sheet6!$F$4:$F$8 )</f>
        <v>3</v>
      </c>
    </row>
    <row r="58" spans="1:11" x14ac:dyDescent="0.25">
      <c r="A58" s="6" t="s">
        <v>195</v>
      </c>
      <c r="B58" s="6" t="s">
        <v>8</v>
      </c>
      <c r="C58">
        <v>34</v>
      </c>
      <c r="D58" t="s">
        <v>16</v>
      </c>
      <c r="E58" s="7">
        <v>44383</v>
      </c>
      <c r="F58" s="6" t="s">
        <v>21</v>
      </c>
      <c r="G58" s="26">
        <v>92450</v>
      </c>
      <c r="H58" t="s">
        <v>205</v>
      </c>
      <c r="I58" s="8">
        <f ca="1">(TODAY()-Table_staff[[#This Row],[Date Joined]])/365</f>
        <v>2.0794520547945203</v>
      </c>
      <c r="J58" s="26">
        <f ca="1">ROUNDUP(IF(Table_staff[[#This Row],[Tenure]]&gt;3,3%,2%)*Table_staff[[#This Row],[Salary]],0)</f>
        <v>1849</v>
      </c>
      <c r="K58">
        <f>_xlfn.XLOOKUP(Table_staff[[#This Row],[Rating]],Sheet6!$E$4:$E$8,Sheet6!$F$4:$F$8 )</f>
        <v>3</v>
      </c>
    </row>
    <row r="59" spans="1:11" x14ac:dyDescent="0.25">
      <c r="A59" s="6" t="s">
        <v>113</v>
      </c>
      <c r="B59" s="6" t="s">
        <v>15</v>
      </c>
      <c r="C59">
        <v>31</v>
      </c>
      <c r="D59" t="s">
        <v>16</v>
      </c>
      <c r="E59" s="7">
        <v>44450</v>
      </c>
      <c r="F59" s="6" t="s">
        <v>12</v>
      </c>
      <c r="G59" s="26">
        <v>48950</v>
      </c>
      <c r="H59" t="s">
        <v>205</v>
      </c>
      <c r="I59" s="8">
        <f ca="1">(TODAY()-Table_staff[[#This Row],[Date Joined]])/365</f>
        <v>1.8958904109589041</v>
      </c>
      <c r="J59" s="26">
        <f ca="1">ROUNDUP(IF(Table_staff[[#This Row],[Tenure]]&gt;3,3%,2%)*Table_staff[[#This Row],[Salary]],0)</f>
        <v>979</v>
      </c>
      <c r="K59">
        <f>_xlfn.XLOOKUP(Table_staff[[#This Row],[Rating]],Sheet6!$E$4:$E$8,Sheet6!$F$4:$F$8 )</f>
        <v>3</v>
      </c>
    </row>
    <row r="60" spans="1:11" x14ac:dyDescent="0.25">
      <c r="A60" s="6" t="s">
        <v>185</v>
      </c>
      <c r="B60" s="6" t="s">
        <v>8</v>
      </c>
      <c r="C60">
        <v>27</v>
      </c>
      <c r="D60" t="s">
        <v>16</v>
      </c>
      <c r="E60" s="7">
        <v>44625</v>
      </c>
      <c r="F60" s="6" t="s">
        <v>12</v>
      </c>
      <c r="G60" s="26">
        <v>83750</v>
      </c>
      <c r="H60" t="s">
        <v>205</v>
      </c>
      <c r="I60" s="8">
        <f ca="1">(TODAY()-Table_staff[[#This Row],[Date Joined]])/365</f>
        <v>1.4164383561643836</v>
      </c>
      <c r="J60" s="26">
        <f ca="1">ROUNDUP(IF(Table_staff[[#This Row],[Tenure]]&gt;3,3%,2%)*Table_staff[[#This Row],[Salary]],0)</f>
        <v>1675</v>
      </c>
      <c r="K60">
        <f>_xlfn.XLOOKUP(Table_staff[[#This Row],[Rating]],Sheet6!$E$4:$E$8,Sheet6!$F$4:$F$8 )</f>
        <v>3</v>
      </c>
    </row>
    <row r="61" spans="1:11" x14ac:dyDescent="0.25">
      <c r="A61" s="6" t="s">
        <v>166</v>
      </c>
      <c r="B61" s="6" t="s">
        <v>8</v>
      </c>
      <c r="C61">
        <v>40</v>
      </c>
      <c r="D61" t="s">
        <v>16</v>
      </c>
      <c r="E61" s="7">
        <v>44276</v>
      </c>
      <c r="F61" s="6" t="s">
        <v>12</v>
      </c>
      <c r="G61" s="26">
        <v>87620</v>
      </c>
      <c r="H61" t="s">
        <v>205</v>
      </c>
      <c r="I61" s="8">
        <f ca="1">(TODAY()-Table_staff[[#This Row],[Date Joined]])/365</f>
        <v>2.3726027397260272</v>
      </c>
      <c r="J61" s="26">
        <f ca="1">ROUNDUP(IF(Table_staff[[#This Row],[Tenure]]&gt;3,3%,2%)*Table_staff[[#This Row],[Salary]],0)</f>
        <v>1753</v>
      </c>
      <c r="K61">
        <f>_xlfn.XLOOKUP(Table_staff[[#This Row],[Rating]],Sheet6!$E$4:$E$8,Sheet6!$F$4:$F$8 )</f>
        <v>3</v>
      </c>
    </row>
    <row r="62" spans="1:11" x14ac:dyDescent="0.25">
      <c r="A62" s="6" t="s">
        <v>184</v>
      </c>
      <c r="B62" s="6" t="s">
        <v>8</v>
      </c>
      <c r="C62">
        <v>20</v>
      </c>
      <c r="D62" t="s">
        <v>24</v>
      </c>
      <c r="E62" s="7">
        <v>44476</v>
      </c>
      <c r="F62" s="6" t="s">
        <v>19</v>
      </c>
      <c r="G62" s="26">
        <v>68900</v>
      </c>
      <c r="H62" t="s">
        <v>205</v>
      </c>
      <c r="I62" s="8">
        <f ca="1">(TODAY()-Table_staff[[#This Row],[Date Joined]])/365</f>
        <v>1.8246575342465754</v>
      </c>
      <c r="J62" s="26">
        <f ca="1">ROUNDUP(IF(Table_staff[[#This Row],[Tenure]]&gt;3,3%,2%)*Table_staff[[#This Row],[Salary]],0)</f>
        <v>1378</v>
      </c>
      <c r="K62">
        <f>_xlfn.XLOOKUP(Table_staff[[#This Row],[Rating]],Sheet6!$E$4:$E$8,Sheet6!$F$4:$F$8 )</f>
        <v>2</v>
      </c>
    </row>
    <row r="63" spans="1:11" x14ac:dyDescent="0.25">
      <c r="A63" s="6" t="s">
        <v>157</v>
      </c>
      <c r="B63" s="6" t="s">
        <v>15</v>
      </c>
      <c r="C63">
        <v>32</v>
      </c>
      <c r="D63" t="s">
        <v>16</v>
      </c>
      <c r="E63" s="7">
        <v>44403</v>
      </c>
      <c r="F63" s="6" t="s">
        <v>19</v>
      </c>
      <c r="G63" s="26">
        <v>53540</v>
      </c>
      <c r="H63" t="s">
        <v>205</v>
      </c>
      <c r="I63" s="8">
        <f ca="1">(TODAY()-Table_staff[[#This Row],[Date Joined]])/365</f>
        <v>2.0246575342465754</v>
      </c>
      <c r="J63" s="26">
        <f ca="1">ROUNDUP(IF(Table_staff[[#This Row],[Tenure]]&gt;3,3%,2%)*Table_staff[[#This Row],[Salary]],0)</f>
        <v>1071</v>
      </c>
      <c r="K63">
        <f>_xlfn.XLOOKUP(Table_staff[[#This Row],[Rating]],Sheet6!$E$4:$E$8,Sheet6!$F$4:$F$8 )</f>
        <v>3</v>
      </c>
    </row>
    <row r="64" spans="1:11" x14ac:dyDescent="0.25">
      <c r="A64" s="6" t="s">
        <v>172</v>
      </c>
      <c r="B64" s="6" t="s">
        <v>15</v>
      </c>
      <c r="C64">
        <v>28</v>
      </c>
      <c r="D64" t="s">
        <v>42</v>
      </c>
      <c r="E64" s="7">
        <v>44758</v>
      </c>
      <c r="F64" s="6" t="s">
        <v>19</v>
      </c>
      <c r="G64" s="26">
        <v>43510</v>
      </c>
      <c r="H64" t="s">
        <v>205</v>
      </c>
      <c r="I64" s="8">
        <f ca="1">(TODAY()-Table_staff[[#This Row],[Date Joined]])/365</f>
        <v>1.0520547945205478</v>
      </c>
      <c r="J64" s="26">
        <f ca="1">ROUNDUP(IF(Table_staff[[#This Row],[Tenure]]&gt;3,3%,2%)*Table_staff[[#This Row],[Salary]],0)</f>
        <v>871</v>
      </c>
      <c r="K64">
        <f>_xlfn.XLOOKUP(Table_staff[[#This Row],[Rating]],Sheet6!$E$4:$E$8,Sheet6!$F$4:$F$8 )</f>
        <v>1</v>
      </c>
    </row>
    <row r="65" spans="1:11" x14ac:dyDescent="0.25">
      <c r="A65" s="6" t="s">
        <v>127</v>
      </c>
      <c r="B65" s="6" t="s">
        <v>8</v>
      </c>
      <c r="C65">
        <v>38</v>
      </c>
      <c r="D65" t="s">
        <v>10</v>
      </c>
      <c r="E65" s="7">
        <v>44316</v>
      </c>
      <c r="F65" s="6" t="s">
        <v>19</v>
      </c>
      <c r="G65" s="26">
        <v>109160</v>
      </c>
      <c r="H65" t="s">
        <v>205</v>
      </c>
      <c r="I65" s="8">
        <f ca="1">(TODAY()-Table_staff[[#This Row],[Date Joined]])/365</f>
        <v>2.2630136986301368</v>
      </c>
      <c r="J65" s="26">
        <f ca="1">ROUNDUP(IF(Table_staff[[#This Row],[Tenure]]&gt;3,3%,2%)*Table_staff[[#This Row],[Salary]],0)</f>
        <v>2184</v>
      </c>
      <c r="K65">
        <f>_xlfn.XLOOKUP(Table_staff[[#This Row],[Rating]],Sheet6!$E$4:$E$8,Sheet6!$F$4:$F$8 )</f>
        <v>5</v>
      </c>
    </row>
    <row r="66" spans="1:11" x14ac:dyDescent="0.25">
      <c r="A66" s="6" t="s">
        <v>198</v>
      </c>
      <c r="B66" s="6" t="s">
        <v>15</v>
      </c>
      <c r="C66">
        <v>40</v>
      </c>
      <c r="D66" t="s">
        <v>16</v>
      </c>
      <c r="E66" s="7">
        <v>44204</v>
      </c>
      <c r="F66" s="6" t="s">
        <v>9</v>
      </c>
      <c r="G66" s="26">
        <v>99750</v>
      </c>
      <c r="H66" t="s">
        <v>205</v>
      </c>
      <c r="I66" s="8">
        <f ca="1">(TODAY()-Table_staff[[#This Row],[Date Joined]])/365</f>
        <v>2.56986301369863</v>
      </c>
      <c r="J66" s="26">
        <f ca="1">ROUNDUP(IF(Table_staff[[#This Row],[Tenure]]&gt;3,3%,2%)*Table_staff[[#This Row],[Salary]],0)</f>
        <v>1995</v>
      </c>
      <c r="K66">
        <f>_xlfn.XLOOKUP(Table_staff[[#This Row],[Rating]],Sheet6!$E$4:$E$8,Sheet6!$F$4:$F$8 )</f>
        <v>3</v>
      </c>
    </row>
    <row r="67" spans="1:11" x14ac:dyDescent="0.25">
      <c r="A67" s="6" t="s">
        <v>124</v>
      </c>
      <c r="B67" s="6" t="s">
        <v>8</v>
      </c>
      <c r="C67">
        <v>31</v>
      </c>
      <c r="D67" t="s">
        <v>16</v>
      </c>
      <c r="E67" s="7">
        <v>44084</v>
      </c>
      <c r="F67" s="6" t="s">
        <v>12</v>
      </c>
      <c r="G67" s="26">
        <v>41980</v>
      </c>
      <c r="H67" t="s">
        <v>205</v>
      </c>
      <c r="I67" s="8">
        <f ca="1">(TODAY()-Table_staff[[#This Row],[Date Joined]])/365</f>
        <v>2.8986301369863012</v>
      </c>
      <c r="J67" s="26">
        <f ca="1">ROUNDUP(IF(Table_staff[[#This Row],[Tenure]]&gt;3,3%,2%)*Table_staff[[#This Row],[Salary]],0)</f>
        <v>840</v>
      </c>
      <c r="K67">
        <f>_xlfn.XLOOKUP(Table_staff[[#This Row],[Rating]],Sheet6!$E$4:$E$8,Sheet6!$F$4:$F$8 )</f>
        <v>3</v>
      </c>
    </row>
    <row r="68" spans="1:11" x14ac:dyDescent="0.25">
      <c r="A68" s="6" t="s">
        <v>187</v>
      </c>
      <c r="B68" s="6" t="s">
        <v>15</v>
      </c>
      <c r="C68">
        <v>36</v>
      </c>
      <c r="D68" t="s">
        <v>16</v>
      </c>
      <c r="E68" s="7">
        <v>44272</v>
      </c>
      <c r="F68" s="6" t="s">
        <v>21</v>
      </c>
      <c r="G68" s="26">
        <v>71380</v>
      </c>
      <c r="H68" t="s">
        <v>205</v>
      </c>
      <c r="I68" s="8">
        <f ca="1">(TODAY()-Table_staff[[#This Row],[Date Joined]])/365</f>
        <v>2.3835616438356166</v>
      </c>
      <c r="J68" s="26">
        <f ca="1">ROUNDUP(IF(Table_staff[[#This Row],[Tenure]]&gt;3,3%,2%)*Table_staff[[#This Row],[Salary]],0)</f>
        <v>1428</v>
      </c>
      <c r="K68">
        <f>_xlfn.XLOOKUP(Table_staff[[#This Row],[Rating]],Sheet6!$E$4:$E$8,Sheet6!$F$4:$F$8 )</f>
        <v>3</v>
      </c>
    </row>
    <row r="69" spans="1:11" x14ac:dyDescent="0.25">
      <c r="A69" s="6" t="s">
        <v>191</v>
      </c>
      <c r="B69" s="6" t="s">
        <v>15</v>
      </c>
      <c r="C69">
        <v>27</v>
      </c>
      <c r="D69" t="s">
        <v>42</v>
      </c>
      <c r="E69" s="7">
        <v>44547</v>
      </c>
      <c r="F69" s="6" t="s">
        <v>9</v>
      </c>
      <c r="G69" s="26">
        <v>113280</v>
      </c>
      <c r="H69" t="s">
        <v>205</v>
      </c>
      <c r="I69" s="8">
        <f ca="1">(TODAY()-Table_staff[[#This Row],[Date Joined]])/365</f>
        <v>1.6301369863013699</v>
      </c>
      <c r="J69" s="26">
        <f ca="1">ROUNDUP(IF(Table_staff[[#This Row],[Tenure]]&gt;3,3%,2%)*Table_staff[[#This Row],[Salary]],0)</f>
        <v>2266</v>
      </c>
      <c r="K69">
        <f>_xlfn.XLOOKUP(Table_staff[[#This Row],[Rating]],Sheet6!$E$4:$E$8,Sheet6!$F$4:$F$8 )</f>
        <v>1</v>
      </c>
    </row>
    <row r="70" spans="1:11" x14ac:dyDescent="0.25">
      <c r="A70" s="6" t="s">
        <v>181</v>
      </c>
      <c r="B70" s="6" t="s">
        <v>8</v>
      </c>
      <c r="C70">
        <v>33</v>
      </c>
      <c r="D70" t="s">
        <v>16</v>
      </c>
      <c r="E70" s="7">
        <v>44747</v>
      </c>
      <c r="F70" s="6" t="s">
        <v>21</v>
      </c>
      <c r="G70" s="26">
        <v>86570</v>
      </c>
      <c r="H70" t="s">
        <v>205</v>
      </c>
      <c r="I70" s="8">
        <f ca="1">(TODAY()-Table_staff[[#This Row],[Date Joined]])/365</f>
        <v>1.0821917808219179</v>
      </c>
      <c r="J70" s="26">
        <f ca="1">ROUNDUP(IF(Table_staff[[#This Row],[Tenure]]&gt;3,3%,2%)*Table_staff[[#This Row],[Salary]],0)</f>
        <v>1732</v>
      </c>
      <c r="K70">
        <f>_xlfn.XLOOKUP(Table_staff[[#This Row],[Rating]],Sheet6!$E$4:$E$8,Sheet6!$F$4:$F$8 )</f>
        <v>3</v>
      </c>
    </row>
    <row r="71" spans="1:11" x14ac:dyDescent="0.25">
      <c r="A71" s="6" t="s">
        <v>139</v>
      </c>
      <c r="B71" s="6" t="s">
        <v>15</v>
      </c>
      <c r="C71">
        <v>26</v>
      </c>
      <c r="D71" t="s">
        <v>16</v>
      </c>
      <c r="E71" s="7">
        <v>44350</v>
      </c>
      <c r="F71" s="6" t="s">
        <v>9</v>
      </c>
      <c r="G71" s="26">
        <v>53540</v>
      </c>
      <c r="H71" t="s">
        <v>205</v>
      </c>
      <c r="I71" s="8">
        <f ca="1">(TODAY()-Table_staff[[#This Row],[Date Joined]])/365</f>
        <v>2.1698630136986301</v>
      </c>
      <c r="J71" s="26">
        <f ca="1">ROUNDUP(IF(Table_staff[[#This Row],[Tenure]]&gt;3,3%,2%)*Table_staff[[#This Row],[Salary]],0)</f>
        <v>1071</v>
      </c>
      <c r="K71">
        <f>_xlfn.XLOOKUP(Table_staff[[#This Row],[Rating]],Sheet6!$E$4:$E$8,Sheet6!$F$4:$F$8 )</f>
        <v>3</v>
      </c>
    </row>
    <row r="72" spans="1:11" x14ac:dyDescent="0.25">
      <c r="A72" s="6" t="s">
        <v>190</v>
      </c>
      <c r="B72" s="6" t="s">
        <v>15</v>
      </c>
      <c r="C72">
        <v>37</v>
      </c>
      <c r="D72" t="s">
        <v>16</v>
      </c>
      <c r="E72" s="7">
        <v>44640</v>
      </c>
      <c r="F72" s="6" t="s">
        <v>12</v>
      </c>
      <c r="G72" s="26">
        <v>69070</v>
      </c>
      <c r="H72" t="s">
        <v>205</v>
      </c>
      <c r="I72" s="8">
        <f ca="1">(TODAY()-Table_staff[[#This Row],[Date Joined]])/365</f>
        <v>1.3753424657534246</v>
      </c>
      <c r="J72" s="26">
        <f ca="1">ROUNDUP(IF(Table_staff[[#This Row],[Tenure]]&gt;3,3%,2%)*Table_staff[[#This Row],[Salary]],0)</f>
        <v>1382</v>
      </c>
      <c r="K72">
        <f>_xlfn.XLOOKUP(Table_staff[[#This Row],[Rating]],Sheet6!$E$4:$E$8,Sheet6!$F$4:$F$8 )</f>
        <v>3</v>
      </c>
    </row>
    <row r="73" spans="1:11" x14ac:dyDescent="0.25">
      <c r="A73" s="6" t="s">
        <v>121</v>
      </c>
      <c r="B73" s="6" t="s">
        <v>8</v>
      </c>
      <c r="C73">
        <v>30</v>
      </c>
      <c r="D73" t="s">
        <v>24</v>
      </c>
      <c r="E73" s="7">
        <v>44328</v>
      </c>
      <c r="F73" s="6" t="s">
        <v>21</v>
      </c>
      <c r="G73" s="26">
        <v>67910</v>
      </c>
      <c r="H73" t="s">
        <v>205</v>
      </c>
      <c r="I73" s="8">
        <f ca="1">(TODAY()-Table_staff[[#This Row],[Date Joined]])/365</f>
        <v>2.2301369863013698</v>
      </c>
      <c r="J73" s="26">
        <f ca="1">ROUNDUP(IF(Table_staff[[#This Row],[Tenure]]&gt;3,3%,2%)*Table_staff[[#This Row],[Salary]],0)</f>
        <v>1359</v>
      </c>
      <c r="K73">
        <f>_xlfn.XLOOKUP(Table_staff[[#This Row],[Rating]],Sheet6!$E$4:$E$8,Sheet6!$F$4:$F$8 )</f>
        <v>2</v>
      </c>
    </row>
    <row r="74" spans="1:11" x14ac:dyDescent="0.25">
      <c r="A74" s="6" t="s">
        <v>119</v>
      </c>
      <c r="B74" s="6" t="s">
        <v>15</v>
      </c>
      <c r="C74">
        <v>30</v>
      </c>
      <c r="D74" t="s">
        <v>16</v>
      </c>
      <c r="E74" s="7">
        <v>44214</v>
      </c>
      <c r="F74" s="6" t="s">
        <v>12</v>
      </c>
      <c r="G74" s="26">
        <v>69120</v>
      </c>
      <c r="H74" t="s">
        <v>205</v>
      </c>
      <c r="I74" s="8">
        <f ca="1">(TODAY()-Table_staff[[#This Row],[Date Joined]])/365</f>
        <v>2.5424657534246577</v>
      </c>
      <c r="J74" s="26">
        <f ca="1">ROUNDUP(IF(Table_staff[[#This Row],[Tenure]]&gt;3,3%,2%)*Table_staff[[#This Row],[Salary]],0)</f>
        <v>1383</v>
      </c>
      <c r="K74">
        <f>_xlfn.XLOOKUP(Table_staff[[#This Row],[Rating]],Sheet6!$E$4:$E$8,Sheet6!$F$4:$F$8 )</f>
        <v>3</v>
      </c>
    </row>
    <row r="75" spans="1:11" x14ac:dyDescent="0.25">
      <c r="A75" s="6" t="s">
        <v>132</v>
      </c>
      <c r="B75" s="6" t="s">
        <v>8</v>
      </c>
      <c r="C75">
        <v>34</v>
      </c>
      <c r="D75" t="s">
        <v>16</v>
      </c>
      <c r="E75" s="7">
        <v>44550</v>
      </c>
      <c r="F75" s="6" t="s">
        <v>21</v>
      </c>
      <c r="G75" s="26">
        <v>60130</v>
      </c>
      <c r="H75" t="s">
        <v>205</v>
      </c>
      <c r="I75" s="8">
        <f ca="1">(TODAY()-Table_staff[[#This Row],[Date Joined]])/365</f>
        <v>1.6219178082191781</v>
      </c>
      <c r="J75" s="26">
        <f ca="1">ROUNDUP(IF(Table_staff[[#This Row],[Tenure]]&gt;3,3%,2%)*Table_staff[[#This Row],[Salary]],0)</f>
        <v>1203</v>
      </c>
      <c r="K75">
        <f>_xlfn.XLOOKUP(Table_staff[[#This Row],[Rating]],Sheet6!$E$4:$E$8,Sheet6!$F$4:$F$8 )</f>
        <v>3</v>
      </c>
    </row>
    <row r="76" spans="1:11" x14ac:dyDescent="0.25">
      <c r="A76" s="6" t="s">
        <v>161</v>
      </c>
      <c r="B76" s="6" t="s">
        <v>15</v>
      </c>
      <c r="C76">
        <v>23</v>
      </c>
      <c r="D76" t="s">
        <v>16</v>
      </c>
      <c r="E76" s="7">
        <v>44378</v>
      </c>
      <c r="F76" s="6" t="s">
        <v>9</v>
      </c>
      <c r="G76" s="26">
        <v>106460</v>
      </c>
      <c r="H76" t="s">
        <v>205</v>
      </c>
      <c r="I76" s="8">
        <f ca="1">(TODAY()-Table_staff[[#This Row],[Date Joined]])/365</f>
        <v>2.0931506849315067</v>
      </c>
      <c r="J76" s="26">
        <f ca="1">ROUNDUP(IF(Table_staff[[#This Row],[Tenure]]&gt;3,3%,2%)*Table_staff[[#This Row],[Salary]],0)</f>
        <v>2130</v>
      </c>
      <c r="K76">
        <f>_xlfn.XLOOKUP(Table_staff[[#This Row],[Rating]],Sheet6!$E$4:$E$8,Sheet6!$F$4:$F$8 )</f>
        <v>3</v>
      </c>
    </row>
    <row r="77" spans="1:11" x14ac:dyDescent="0.25">
      <c r="A77" s="6" t="s">
        <v>148</v>
      </c>
      <c r="B77" s="6" t="s">
        <v>8</v>
      </c>
      <c r="C77">
        <v>37</v>
      </c>
      <c r="D77" t="s">
        <v>16</v>
      </c>
      <c r="E77" s="7">
        <v>44389</v>
      </c>
      <c r="F77" s="6" t="s">
        <v>56</v>
      </c>
      <c r="G77" s="26">
        <v>118100</v>
      </c>
      <c r="H77" t="s">
        <v>205</v>
      </c>
      <c r="I77" s="8">
        <f ca="1">(TODAY()-Table_staff[[#This Row],[Date Joined]])/365</f>
        <v>2.0630136986301371</v>
      </c>
      <c r="J77" s="26">
        <f ca="1">ROUNDUP(IF(Table_staff[[#This Row],[Tenure]]&gt;3,3%,2%)*Table_staff[[#This Row],[Salary]],0)</f>
        <v>2362</v>
      </c>
      <c r="K77">
        <f>_xlfn.XLOOKUP(Table_staff[[#This Row],[Rating]],Sheet6!$E$4:$E$8,Sheet6!$F$4:$F$8 )</f>
        <v>3</v>
      </c>
    </row>
    <row r="78" spans="1:11" x14ac:dyDescent="0.25">
      <c r="A78" s="6" t="s">
        <v>164</v>
      </c>
      <c r="B78" s="6" t="s">
        <v>8</v>
      </c>
      <c r="C78">
        <v>36</v>
      </c>
      <c r="D78" t="s">
        <v>16</v>
      </c>
      <c r="E78" s="7">
        <v>44468</v>
      </c>
      <c r="F78" s="6" t="s">
        <v>9</v>
      </c>
      <c r="G78" s="26">
        <v>78390</v>
      </c>
      <c r="H78" t="s">
        <v>205</v>
      </c>
      <c r="I78" s="8">
        <f ca="1">(TODAY()-Table_staff[[#This Row],[Date Joined]])/365</f>
        <v>1.8465753424657534</v>
      </c>
      <c r="J78" s="26">
        <f ca="1">ROUNDUP(IF(Table_staff[[#This Row],[Tenure]]&gt;3,3%,2%)*Table_staff[[#This Row],[Salary]],0)</f>
        <v>1568</v>
      </c>
      <c r="K78">
        <f>_xlfn.XLOOKUP(Table_staff[[#This Row],[Rating]],Sheet6!$E$4:$E$8,Sheet6!$F$4:$F$8 )</f>
        <v>3</v>
      </c>
    </row>
    <row r="79" spans="1:11" x14ac:dyDescent="0.25">
      <c r="A79" s="6" t="s">
        <v>147</v>
      </c>
      <c r="B79" s="6" t="s">
        <v>8</v>
      </c>
      <c r="C79">
        <v>30</v>
      </c>
      <c r="D79" t="s">
        <v>16</v>
      </c>
      <c r="E79" s="7">
        <v>44789</v>
      </c>
      <c r="F79" s="6" t="s">
        <v>9</v>
      </c>
      <c r="G79" s="26">
        <v>114180</v>
      </c>
      <c r="H79" t="s">
        <v>205</v>
      </c>
      <c r="I79" s="8">
        <f ca="1">(TODAY()-Table_staff[[#This Row],[Date Joined]])/365</f>
        <v>0.9671232876712329</v>
      </c>
      <c r="J79" s="26">
        <f ca="1">ROUNDUP(IF(Table_staff[[#This Row],[Tenure]]&gt;3,3%,2%)*Table_staff[[#This Row],[Salary]],0)</f>
        <v>2284</v>
      </c>
      <c r="K79">
        <f>_xlfn.XLOOKUP(Table_staff[[#This Row],[Rating]],Sheet6!$E$4:$E$8,Sheet6!$F$4:$F$8 )</f>
        <v>3</v>
      </c>
    </row>
    <row r="80" spans="1:11" x14ac:dyDescent="0.25">
      <c r="A80" s="6" t="s">
        <v>189</v>
      </c>
      <c r="B80" s="6" t="s">
        <v>8</v>
      </c>
      <c r="C80">
        <v>28</v>
      </c>
      <c r="D80" t="s">
        <v>16</v>
      </c>
      <c r="E80" s="7">
        <v>44590</v>
      </c>
      <c r="F80" s="6" t="s">
        <v>9</v>
      </c>
      <c r="G80" s="26">
        <v>104120</v>
      </c>
      <c r="H80" t="s">
        <v>205</v>
      </c>
      <c r="I80" s="8">
        <f ca="1">(TODAY()-Table_staff[[#This Row],[Date Joined]])/365</f>
        <v>1.5123287671232877</v>
      </c>
      <c r="J80" s="26">
        <f ca="1">ROUNDUP(IF(Table_staff[[#This Row],[Tenure]]&gt;3,3%,2%)*Table_staff[[#This Row],[Salary]],0)</f>
        <v>2083</v>
      </c>
      <c r="K80">
        <f>_xlfn.XLOOKUP(Table_staff[[#This Row],[Rating]],Sheet6!$E$4:$E$8,Sheet6!$F$4:$F$8 )</f>
        <v>3</v>
      </c>
    </row>
    <row r="81" spans="1:11" x14ac:dyDescent="0.25">
      <c r="A81" s="6" t="s">
        <v>138</v>
      </c>
      <c r="B81" s="6" t="s">
        <v>15</v>
      </c>
      <c r="C81">
        <v>30</v>
      </c>
      <c r="D81" t="s">
        <v>16</v>
      </c>
      <c r="E81" s="7">
        <v>44640</v>
      </c>
      <c r="F81" s="6" t="s">
        <v>9</v>
      </c>
      <c r="G81" s="26">
        <v>67950</v>
      </c>
      <c r="H81" t="s">
        <v>205</v>
      </c>
      <c r="I81" s="8">
        <f ca="1">(TODAY()-Table_staff[[#This Row],[Date Joined]])/365</f>
        <v>1.3753424657534246</v>
      </c>
      <c r="J81" s="26">
        <f ca="1">ROUNDUP(IF(Table_staff[[#This Row],[Tenure]]&gt;3,3%,2%)*Table_staff[[#This Row],[Salary]],0)</f>
        <v>1359</v>
      </c>
      <c r="K81">
        <f>_xlfn.XLOOKUP(Table_staff[[#This Row],[Rating]],Sheet6!$E$4:$E$8,Sheet6!$F$4:$F$8 )</f>
        <v>3</v>
      </c>
    </row>
    <row r="82" spans="1:11" x14ac:dyDescent="0.25">
      <c r="A82" s="6" t="s">
        <v>137</v>
      </c>
      <c r="B82" s="6" t="s">
        <v>8</v>
      </c>
      <c r="C82">
        <v>29</v>
      </c>
      <c r="D82" t="s">
        <v>16</v>
      </c>
      <c r="E82" s="7">
        <v>43962</v>
      </c>
      <c r="F82" s="6" t="s">
        <v>12</v>
      </c>
      <c r="G82" s="26">
        <v>34980</v>
      </c>
      <c r="H82" t="s">
        <v>205</v>
      </c>
      <c r="I82" s="8">
        <f ca="1">(TODAY()-Table_staff[[#This Row],[Date Joined]])/365</f>
        <v>3.2328767123287672</v>
      </c>
      <c r="J82" s="26">
        <f ca="1">ROUNDUP(IF(Table_staff[[#This Row],[Tenure]]&gt;3,3%,2%)*Table_staff[[#This Row],[Salary]],0)</f>
        <v>1050</v>
      </c>
      <c r="K82">
        <f>_xlfn.XLOOKUP(Table_staff[[#This Row],[Rating]],Sheet6!$E$4:$E$8,Sheet6!$F$4:$F$8 )</f>
        <v>3</v>
      </c>
    </row>
    <row r="83" spans="1:11" x14ac:dyDescent="0.25">
      <c r="A83" s="6" t="s">
        <v>153</v>
      </c>
      <c r="B83" s="6" t="s">
        <v>8</v>
      </c>
      <c r="C83">
        <v>24</v>
      </c>
      <c r="D83" t="s">
        <v>16</v>
      </c>
      <c r="E83" s="7">
        <v>44087</v>
      </c>
      <c r="F83" s="6" t="s">
        <v>12</v>
      </c>
      <c r="G83" s="26">
        <v>62780</v>
      </c>
      <c r="H83" t="s">
        <v>205</v>
      </c>
      <c r="I83" s="8">
        <f ca="1">(TODAY()-Table_staff[[#This Row],[Date Joined]])/365</f>
        <v>2.8904109589041096</v>
      </c>
      <c r="J83" s="26">
        <f ca="1">ROUNDUP(IF(Table_staff[[#This Row],[Tenure]]&gt;3,3%,2%)*Table_staff[[#This Row],[Salary]],0)</f>
        <v>1256</v>
      </c>
      <c r="K83">
        <f>_xlfn.XLOOKUP(Table_staff[[#This Row],[Rating]],Sheet6!$E$4:$E$8,Sheet6!$F$4:$F$8 )</f>
        <v>3</v>
      </c>
    </row>
    <row r="84" spans="1:11" x14ac:dyDescent="0.25">
      <c r="A84" s="6" t="s">
        <v>117</v>
      </c>
      <c r="B84" s="6" t="s">
        <v>15</v>
      </c>
      <c r="C84">
        <v>20</v>
      </c>
      <c r="D84" t="s">
        <v>16</v>
      </c>
      <c r="E84" s="7">
        <v>44397</v>
      </c>
      <c r="F84" s="6" t="s">
        <v>12</v>
      </c>
      <c r="G84" s="26">
        <v>107700</v>
      </c>
      <c r="H84" t="s">
        <v>205</v>
      </c>
      <c r="I84" s="8">
        <f ca="1">(TODAY()-Table_staff[[#This Row],[Date Joined]])/365</f>
        <v>2.0410958904109591</v>
      </c>
      <c r="J84" s="26">
        <f ca="1">ROUNDUP(IF(Table_staff[[#This Row],[Tenure]]&gt;3,3%,2%)*Table_staff[[#This Row],[Salary]],0)</f>
        <v>2154</v>
      </c>
      <c r="K84">
        <f>_xlfn.XLOOKUP(Table_staff[[#This Row],[Rating]],Sheet6!$E$4:$E$8,Sheet6!$F$4:$F$8 )</f>
        <v>3</v>
      </c>
    </row>
    <row r="85" spans="1:11" x14ac:dyDescent="0.25">
      <c r="A85" s="6" t="s">
        <v>168</v>
      </c>
      <c r="B85" s="6" t="s">
        <v>15</v>
      </c>
      <c r="C85">
        <v>25</v>
      </c>
      <c r="D85" t="s">
        <v>16</v>
      </c>
      <c r="E85" s="7">
        <v>44322</v>
      </c>
      <c r="F85" s="6" t="s">
        <v>19</v>
      </c>
      <c r="G85" s="26">
        <v>65700</v>
      </c>
      <c r="H85" t="s">
        <v>205</v>
      </c>
      <c r="I85" s="8">
        <f ca="1">(TODAY()-Table_staff[[#This Row],[Date Joined]])/365</f>
        <v>2.2465753424657535</v>
      </c>
      <c r="J85" s="26">
        <f ca="1">ROUNDUP(IF(Table_staff[[#This Row],[Tenure]]&gt;3,3%,2%)*Table_staff[[#This Row],[Salary]],0)</f>
        <v>1314</v>
      </c>
      <c r="K85">
        <f>_xlfn.XLOOKUP(Table_staff[[#This Row],[Rating]],Sheet6!$E$4:$E$8,Sheet6!$F$4:$F$8 )</f>
        <v>3</v>
      </c>
    </row>
    <row r="86" spans="1:11" x14ac:dyDescent="0.25">
      <c r="A86" s="6" t="s">
        <v>135</v>
      </c>
      <c r="B86" s="6" t="s">
        <v>8</v>
      </c>
      <c r="C86">
        <v>33</v>
      </c>
      <c r="D86" t="s">
        <v>42</v>
      </c>
      <c r="E86" s="7">
        <v>44313</v>
      </c>
      <c r="F86" s="6" t="s">
        <v>12</v>
      </c>
      <c r="G86" s="26">
        <v>75480</v>
      </c>
      <c r="H86" t="s">
        <v>205</v>
      </c>
      <c r="I86" s="8">
        <f ca="1">(TODAY()-Table_staff[[#This Row],[Date Joined]])/365</f>
        <v>2.2712328767123289</v>
      </c>
      <c r="J86" s="26">
        <f ca="1">ROUNDUP(IF(Table_staff[[#This Row],[Tenure]]&gt;3,3%,2%)*Table_staff[[#This Row],[Salary]],0)</f>
        <v>1510</v>
      </c>
      <c r="K86">
        <f>_xlfn.XLOOKUP(Table_staff[[#This Row],[Rating]],Sheet6!$E$4:$E$8,Sheet6!$F$4:$F$8 )</f>
        <v>1</v>
      </c>
    </row>
    <row r="87" spans="1:11" x14ac:dyDescent="0.25">
      <c r="A87" s="6" t="s">
        <v>174</v>
      </c>
      <c r="B87" s="6" t="s">
        <v>15</v>
      </c>
      <c r="C87">
        <v>33</v>
      </c>
      <c r="D87" t="s">
        <v>16</v>
      </c>
      <c r="E87" s="7">
        <v>44448</v>
      </c>
      <c r="F87" s="6" t="s">
        <v>12</v>
      </c>
      <c r="G87" s="26">
        <v>53870</v>
      </c>
      <c r="H87" t="s">
        <v>205</v>
      </c>
      <c r="I87" s="8">
        <f ca="1">(TODAY()-Table_staff[[#This Row],[Date Joined]])/365</f>
        <v>1.9013698630136986</v>
      </c>
      <c r="J87" s="26">
        <f ca="1">ROUNDUP(IF(Table_staff[[#This Row],[Tenure]]&gt;3,3%,2%)*Table_staff[[#This Row],[Salary]],0)</f>
        <v>1078</v>
      </c>
      <c r="K87">
        <f>_xlfn.XLOOKUP(Table_staff[[#This Row],[Rating]],Sheet6!$E$4:$E$8,Sheet6!$F$4:$F$8 )</f>
        <v>3</v>
      </c>
    </row>
    <row r="88" spans="1:11" x14ac:dyDescent="0.25">
      <c r="A88" s="6" t="s">
        <v>141</v>
      </c>
      <c r="B88" s="6" t="s">
        <v>8</v>
      </c>
      <c r="C88">
        <v>36</v>
      </c>
      <c r="D88" t="s">
        <v>16</v>
      </c>
      <c r="E88" s="7">
        <v>44433</v>
      </c>
      <c r="F88" s="6" t="s">
        <v>19</v>
      </c>
      <c r="G88" s="26">
        <v>78540</v>
      </c>
      <c r="H88" t="s">
        <v>205</v>
      </c>
      <c r="I88" s="8">
        <f ca="1">(TODAY()-Table_staff[[#This Row],[Date Joined]])/365</f>
        <v>1.9424657534246574</v>
      </c>
      <c r="J88" s="26">
        <f ca="1">ROUNDUP(IF(Table_staff[[#This Row],[Tenure]]&gt;3,3%,2%)*Table_staff[[#This Row],[Salary]],0)</f>
        <v>1571</v>
      </c>
      <c r="K88">
        <f>_xlfn.XLOOKUP(Table_staff[[#This Row],[Rating]],Sheet6!$E$4:$E$8,Sheet6!$F$4:$F$8 )</f>
        <v>3</v>
      </c>
    </row>
    <row r="89" spans="1:11" x14ac:dyDescent="0.25">
      <c r="A89" s="6" t="s">
        <v>193</v>
      </c>
      <c r="B89" s="6" t="s">
        <v>15</v>
      </c>
      <c r="C89">
        <v>19</v>
      </c>
      <c r="D89" t="s">
        <v>16</v>
      </c>
      <c r="E89" s="7">
        <v>44218</v>
      </c>
      <c r="F89" s="6" t="s">
        <v>9</v>
      </c>
      <c r="G89" s="26">
        <v>58960</v>
      </c>
      <c r="H89" t="s">
        <v>205</v>
      </c>
      <c r="I89" s="8">
        <f ca="1">(TODAY()-Table_staff[[#This Row],[Date Joined]])/365</f>
        <v>2.5315068493150683</v>
      </c>
      <c r="J89" s="26">
        <f ca="1">ROUNDUP(IF(Table_staff[[#This Row],[Tenure]]&gt;3,3%,2%)*Table_staff[[#This Row],[Salary]],0)</f>
        <v>1180</v>
      </c>
      <c r="K89">
        <f>_xlfn.XLOOKUP(Table_staff[[#This Row],[Rating]],Sheet6!$E$4:$E$8,Sheet6!$F$4:$F$8 )</f>
        <v>3</v>
      </c>
    </row>
    <row r="90" spans="1:11" x14ac:dyDescent="0.25">
      <c r="A90" s="6" t="s">
        <v>162</v>
      </c>
      <c r="B90" s="6" t="s">
        <v>15</v>
      </c>
      <c r="C90">
        <v>46</v>
      </c>
      <c r="D90" t="s">
        <v>16</v>
      </c>
      <c r="E90" s="7">
        <v>44697</v>
      </c>
      <c r="F90" s="6" t="s">
        <v>9</v>
      </c>
      <c r="G90" s="26">
        <v>70610</v>
      </c>
      <c r="H90" t="s">
        <v>205</v>
      </c>
      <c r="I90" s="8">
        <f ca="1">(TODAY()-Table_staff[[#This Row],[Date Joined]])/365</f>
        <v>1.2191780821917808</v>
      </c>
      <c r="J90" s="26">
        <f ca="1">ROUNDUP(IF(Table_staff[[#This Row],[Tenure]]&gt;3,3%,2%)*Table_staff[[#This Row],[Salary]],0)</f>
        <v>1413</v>
      </c>
      <c r="K90">
        <f>_xlfn.XLOOKUP(Table_staff[[#This Row],[Rating]],Sheet6!$E$4:$E$8,Sheet6!$F$4:$F$8 )</f>
        <v>3</v>
      </c>
    </row>
    <row r="91" spans="1:11" x14ac:dyDescent="0.25">
      <c r="A91" s="6" t="s">
        <v>171</v>
      </c>
      <c r="B91" s="6" t="s">
        <v>15</v>
      </c>
      <c r="C91">
        <v>33</v>
      </c>
      <c r="D91" t="s">
        <v>16</v>
      </c>
      <c r="E91" s="7">
        <v>44181</v>
      </c>
      <c r="F91" s="6" t="s">
        <v>21</v>
      </c>
      <c r="G91" s="26">
        <v>59430</v>
      </c>
      <c r="H91" t="s">
        <v>205</v>
      </c>
      <c r="I91" s="8">
        <f ca="1">(TODAY()-Table_staff[[#This Row],[Date Joined]])/365</f>
        <v>2.6328767123287671</v>
      </c>
      <c r="J91" s="26">
        <f ca="1">ROUNDUP(IF(Table_staff[[#This Row],[Tenure]]&gt;3,3%,2%)*Table_staff[[#This Row],[Salary]],0)</f>
        <v>1189</v>
      </c>
      <c r="K91">
        <f>_xlfn.XLOOKUP(Table_staff[[#This Row],[Rating]],Sheet6!$E$4:$E$8,Sheet6!$F$4:$F$8 )</f>
        <v>3</v>
      </c>
    </row>
    <row r="92" spans="1:11" x14ac:dyDescent="0.25">
      <c r="A92" s="6" t="s">
        <v>144</v>
      </c>
      <c r="B92" s="6" t="s">
        <v>15</v>
      </c>
      <c r="C92">
        <v>33</v>
      </c>
      <c r="D92" t="s">
        <v>13</v>
      </c>
      <c r="E92" s="7">
        <v>44640</v>
      </c>
      <c r="F92" s="6" t="s">
        <v>9</v>
      </c>
      <c r="G92" s="26">
        <v>48530</v>
      </c>
      <c r="H92" t="s">
        <v>205</v>
      </c>
      <c r="I92" s="8">
        <f ca="1">(TODAY()-Table_staff[[#This Row],[Date Joined]])/365</f>
        <v>1.3753424657534246</v>
      </c>
      <c r="J92" s="26">
        <f ca="1">ROUNDUP(IF(Table_staff[[#This Row],[Tenure]]&gt;3,3%,2%)*Table_staff[[#This Row],[Salary]],0)</f>
        <v>971</v>
      </c>
      <c r="K92">
        <f>_xlfn.XLOOKUP(Table_staff[[#This Row],[Rating]],Sheet6!$E$4:$E$8,Sheet6!$F$4:$F$8 )</f>
        <v>4</v>
      </c>
    </row>
    <row r="93" spans="1:11" x14ac:dyDescent="0.25">
      <c r="A93" s="6" t="s">
        <v>163</v>
      </c>
      <c r="B93" s="6" t="s">
        <v>8</v>
      </c>
      <c r="C93">
        <v>33</v>
      </c>
      <c r="D93" t="s">
        <v>16</v>
      </c>
      <c r="E93" s="7">
        <v>44129</v>
      </c>
      <c r="F93" s="6" t="s">
        <v>12</v>
      </c>
      <c r="G93" s="26">
        <v>96140</v>
      </c>
      <c r="H93" t="s">
        <v>205</v>
      </c>
      <c r="I93" s="8">
        <f ca="1">(TODAY()-Table_staff[[#This Row],[Date Joined]])/365</f>
        <v>2.7753424657534245</v>
      </c>
      <c r="J93" s="26">
        <f ca="1">ROUNDUP(IF(Table_staff[[#This Row],[Tenure]]&gt;3,3%,2%)*Table_staff[[#This Row],[Salary]],0)</f>
        <v>1923</v>
      </c>
      <c r="K93">
        <f>_xlfn.XLOOKUP(Table_staff[[#This Row],[Rating]],Sheet6!$E$4:$E$8,Sheet6!$F$4:$F$8 )</f>
        <v>3</v>
      </c>
    </row>
    <row r="94" spans="1:11" x14ac:dyDescent="0.25">
      <c r="A94" s="6" t="s">
        <v>58</v>
      </c>
      <c r="B94" s="6" t="s">
        <v>15</v>
      </c>
      <c r="C94">
        <v>22</v>
      </c>
      <c r="D94" t="s">
        <v>13</v>
      </c>
      <c r="E94" s="7">
        <v>44446</v>
      </c>
      <c r="F94" s="6" t="s">
        <v>19</v>
      </c>
      <c r="G94" s="26">
        <v>112780</v>
      </c>
      <c r="H94" t="s">
        <v>207</v>
      </c>
      <c r="I94" s="8">
        <f ca="1">(TODAY()-Table_staff[[#This Row],[Date Joined]])/365</f>
        <v>1.9068493150684931</v>
      </c>
      <c r="J94" s="26">
        <f ca="1">ROUNDUP(IF(Table_staff[[#This Row],[Tenure]]&gt;3,3%,2%)*Table_staff[[#This Row],[Salary]],0)</f>
        <v>2256</v>
      </c>
      <c r="K94">
        <f>_xlfn.XLOOKUP(Table_staff[[#This Row],[Rating]],Sheet6!$E$4:$E$8,Sheet6!$F$4:$F$8 )</f>
        <v>4</v>
      </c>
    </row>
    <row r="95" spans="1:11" x14ac:dyDescent="0.25">
      <c r="A95" s="6" t="s">
        <v>70</v>
      </c>
      <c r="B95" s="6" t="s">
        <v>15</v>
      </c>
      <c r="C95">
        <v>46</v>
      </c>
      <c r="D95" t="s">
        <v>16</v>
      </c>
      <c r="E95" s="7">
        <v>44758</v>
      </c>
      <c r="F95" s="6" t="s">
        <v>9</v>
      </c>
      <c r="G95" s="26">
        <v>70610</v>
      </c>
      <c r="H95" t="s">
        <v>207</v>
      </c>
      <c r="I95" s="8">
        <f ca="1">(TODAY()-Table_staff[[#This Row],[Date Joined]])/365</f>
        <v>1.0520547945205478</v>
      </c>
      <c r="J95" s="26">
        <f ca="1">ROUNDUP(IF(Table_staff[[#This Row],[Tenure]]&gt;3,3%,2%)*Table_staff[[#This Row],[Salary]],0)</f>
        <v>1413</v>
      </c>
      <c r="K95">
        <f>_xlfn.XLOOKUP(Table_staff[[#This Row],[Rating]],Sheet6!$E$4:$E$8,Sheet6!$F$4:$F$8 )</f>
        <v>3</v>
      </c>
    </row>
    <row r="96" spans="1:11" x14ac:dyDescent="0.25">
      <c r="A96" s="6" t="s">
        <v>75</v>
      </c>
      <c r="B96" s="6" t="s">
        <v>8</v>
      </c>
      <c r="C96">
        <v>28</v>
      </c>
      <c r="D96" t="s">
        <v>16</v>
      </c>
      <c r="E96" s="7">
        <v>44357</v>
      </c>
      <c r="F96" s="6" t="s">
        <v>19</v>
      </c>
      <c r="G96" s="26">
        <v>53240</v>
      </c>
      <c r="H96" t="s">
        <v>207</v>
      </c>
      <c r="I96" s="8">
        <f ca="1">(TODAY()-Table_staff[[#This Row],[Date Joined]])/365</f>
        <v>2.1506849315068495</v>
      </c>
      <c r="J96" s="26">
        <f ca="1">ROUNDUP(IF(Table_staff[[#This Row],[Tenure]]&gt;3,3%,2%)*Table_staff[[#This Row],[Salary]],0)</f>
        <v>1065</v>
      </c>
      <c r="K96">
        <f>_xlfn.XLOOKUP(Table_staff[[#This Row],[Rating]],Sheet6!$E$4:$E$8,Sheet6!$F$4:$F$8 )</f>
        <v>3</v>
      </c>
    </row>
    <row r="97" spans="1:11" x14ac:dyDescent="0.25">
      <c r="A97" s="6" t="s">
        <v>49</v>
      </c>
      <c r="B97" s="6" t="s">
        <v>206</v>
      </c>
      <c r="C97">
        <v>37</v>
      </c>
      <c r="D97" t="s">
        <v>24</v>
      </c>
      <c r="E97" s="7">
        <v>44146</v>
      </c>
      <c r="F97" s="6" t="s">
        <v>21</v>
      </c>
      <c r="G97" s="26">
        <v>115440</v>
      </c>
      <c r="H97" t="s">
        <v>207</v>
      </c>
      <c r="I97" s="8">
        <f ca="1">(TODAY()-Table_staff[[#This Row],[Date Joined]])/365</f>
        <v>2.7287671232876711</v>
      </c>
      <c r="J97" s="26">
        <f ca="1">ROUNDUP(IF(Table_staff[[#This Row],[Tenure]]&gt;3,3%,2%)*Table_staff[[#This Row],[Salary]],0)</f>
        <v>2309</v>
      </c>
      <c r="K97">
        <f>_xlfn.XLOOKUP(Table_staff[[#This Row],[Rating]],Sheet6!$E$4:$E$8,Sheet6!$F$4:$F$8 )</f>
        <v>2</v>
      </c>
    </row>
    <row r="98" spans="1:11" x14ac:dyDescent="0.25">
      <c r="A98" s="6" t="s">
        <v>65</v>
      </c>
      <c r="B98" s="6" t="s">
        <v>15</v>
      </c>
      <c r="C98">
        <v>32</v>
      </c>
      <c r="D98" t="s">
        <v>16</v>
      </c>
      <c r="E98" s="7">
        <v>44465</v>
      </c>
      <c r="F98" s="6" t="s">
        <v>19</v>
      </c>
      <c r="G98" s="26">
        <v>53540</v>
      </c>
      <c r="H98" t="s">
        <v>207</v>
      </c>
      <c r="I98" s="8">
        <f ca="1">(TODAY()-Table_staff[[#This Row],[Date Joined]])/365</f>
        <v>1.8547945205479452</v>
      </c>
      <c r="J98" s="26">
        <f ca="1">ROUNDUP(IF(Table_staff[[#This Row],[Tenure]]&gt;3,3%,2%)*Table_staff[[#This Row],[Salary]],0)</f>
        <v>1071</v>
      </c>
      <c r="K98">
        <f>_xlfn.XLOOKUP(Table_staff[[#This Row],[Rating]],Sheet6!$E$4:$E$8,Sheet6!$F$4:$F$8 )</f>
        <v>3</v>
      </c>
    </row>
    <row r="99" spans="1:11" x14ac:dyDescent="0.25">
      <c r="A99" s="6" t="s">
        <v>81</v>
      </c>
      <c r="B99" s="6" t="s">
        <v>8</v>
      </c>
      <c r="C99">
        <v>30</v>
      </c>
      <c r="D99" t="s">
        <v>16</v>
      </c>
      <c r="E99" s="7">
        <v>44861</v>
      </c>
      <c r="F99" s="6" t="s">
        <v>9</v>
      </c>
      <c r="G99" s="26">
        <v>112570</v>
      </c>
      <c r="H99" t="s">
        <v>207</v>
      </c>
      <c r="I99" s="8">
        <f ca="1">(TODAY()-Table_staff[[#This Row],[Date Joined]])/365</f>
        <v>0.76986301369863008</v>
      </c>
      <c r="J99" s="26">
        <f ca="1">ROUNDUP(IF(Table_staff[[#This Row],[Tenure]]&gt;3,3%,2%)*Table_staff[[#This Row],[Salary]],0)</f>
        <v>2252</v>
      </c>
      <c r="K99">
        <f>_xlfn.XLOOKUP(Table_staff[[#This Row],[Rating]],Sheet6!$E$4:$E$8,Sheet6!$F$4:$F$8 )</f>
        <v>3</v>
      </c>
    </row>
    <row r="100" spans="1:11" x14ac:dyDescent="0.25">
      <c r="A100" s="6" t="s">
        <v>51</v>
      </c>
      <c r="B100" s="6" t="s">
        <v>15</v>
      </c>
      <c r="C100">
        <v>33</v>
      </c>
      <c r="D100" t="s">
        <v>13</v>
      </c>
      <c r="E100" s="7">
        <v>44701</v>
      </c>
      <c r="F100" s="6" t="s">
        <v>9</v>
      </c>
      <c r="G100" s="26">
        <v>48530</v>
      </c>
      <c r="H100" t="s">
        <v>207</v>
      </c>
      <c r="I100" s="8">
        <f ca="1">(TODAY()-Table_staff[[#This Row],[Date Joined]])/365</f>
        <v>1.2082191780821918</v>
      </c>
      <c r="J100" s="26">
        <f ca="1">ROUNDUP(IF(Table_staff[[#This Row],[Tenure]]&gt;3,3%,2%)*Table_staff[[#This Row],[Salary]],0)</f>
        <v>971</v>
      </c>
      <c r="K100">
        <f>_xlfn.XLOOKUP(Table_staff[[#This Row],[Rating]],Sheet6!$E$4:$E$8,Sheet6!$F$4:$F$8 )</f>
        <v>4</v>
      </c>
    </row>
    <row r="101" spans="1:11" x14ac:dyDescent="0.25">
      <c r="A101" s="6" t="s">
        <v>61</v>
      </c>
      <c r="B101" s="6" t="s">
        <v>8</v>
      </c>
      <c r="C101">
        <v>24</v>
      </c>
      <c r="D101" t="s">
        <v>16</v>
      </c>
      <c r="E101" s="7">
        <v>44148</v>
      </c>
      <c r="F101" s="6" t="s">
        <v>12</v>
      </c>
      <c r="G101" s="26">
        <v>62780</v>
      </c>
      <c r="H101" t="s">
        <v>207</v>
      </c>
      <c r="I101" s="8">
        <f ca="1">(TODAY()-Table_staff[[#This Row],[Date Joined]])/365</f>
        <v>2.7232876712328768</v>
      </c>
      <c r="J101" s="26">
        <f ca="1">ROUNDUP(IF(Table_staff[[#This Row],[Tenure]]&gt;3,3%,2%)*Table_staff[[#This Row],[Salary]],0)</f>
        <v>1256</v>
      </c>
      <c r="K101">
        <f>_xlfn.XLOOKUP(Table_staff[[#This Row],[Rating]],Sheet6!$E$4:$E$8,Sheet6!$F$4:$F$8 )</f>
        <v>3</v>
      </c>
    </row>
    <row r="102" spans="1:11" x14ac:dyDescent="0.25">
      <c r="A102" s="6" t="s">
        <v>82</v>
      </c>
      <c r="B102" s="6" t="s">
        <v>15</v>
      </c>
      <c r="C102">
        <v>33</v>
      </c>
      <c r="D102" t="s">
        <v>16</v>
      </c>
      <c r="E102" s="7">
        <v>44509</v>
      </c>
      <c r="F102" s="6" t="s">
        <v>12</v>
      </c>
      <c r="G102" s="26">
        <v>53870</v>
      </c>
      <c r="H102" t="s">
        <v>207</v>
      </c>
      <c r="I102" s="8">
        <f ca="1">(TODAY()-Table_staff[[#This Row],[Date Joined]])/365</f>
        <v>1.7342465753424658</v>
      </c>
      <c r="J102" s="26">
        <f ca="1">ROUNDUP(IF(Table_staff[[#This Row],[Tenure]]&gt;3,3%,2%)*Table_staff[[#This Row],[Salary]],0)</f>
        <v>1078</v>
      </c>
      <c r="K102">
        <f>_xlfn.XLOOKUP(Table_staff[[#This Row],[Rating]],Sheet6!$E$4:$E$8,Sheet6!$F$4:$F$8 )</f>
        <v>3</v>
      </c>
    </row>
    <row r="103" spans="1:11" x14ac:dyDescent="0.25">
      <c r="A103" s="6" t="s">
        <v>60</v>
      </c>
      <c r="B103" s="6" t="s">
        <v>8</v>
      </c>
      <c r="C103">
        <v>27</v>
      </c>
      <c r="D103" t="s">
        <v>16</v>
      </c>
      <c r="E103" s="7">
        <v>44122</v>
      </c>
      <c r="F103" s="6" t="s">
        <v>56</v>
      </c>
      <c r="G103" s="26">
        <v>119110</v>
      </c>
      <c r="H103" t="s">
        <v>207</v>
      </c>
      <c r="I103" s="8">
        <f ca="1">(TODAY()-Table_staff[[#This Row],[Date Joined]])/365</f>
        <v>2.7945205479452055</v>
      </c>
      <c r="J103" s="26">
        <f ca="1">ROUNDUP(IF(Table_staff[[#This Row],[Tenure]]&gt;3,3%,2%)*Table_staff[[#This Row],[Salary]],0)</f>
        <v>2383</v>
      </c>
      <c r="K103">
        <f>_xlfn.XLOOKUP(Table_staff[[#This Row],[Rating]],Sheet6!$E$4:$E$8,Sheet6!$F$4:$F$8 )</f>
        <v>3</v>
      </c>
    </row>
    <row r="104" spans="1:11" x14ac:dyDescent="0.25">
      <c r="A104" s="6" t="s">
        <v>87</v>
      </c>
      <c r="B104" s="6" t="s">
        <v>15</v>
      </c>
      <c r="C104">
        <v>29</v>
      </c>
      <c r="D104" t="s">
        <v>24</v>
      </c>
      <c r="E104" s="7">
        <v>44180</v>
      </c>
      <c r="F104" s="6" t="s">
        <v>12</v>
      </c>
      <c r="G104" s="26">
        <v>112110</v>
      </c>
      <c r="H104" t="s">
        <v>207</v>
      </c>
      <c r="I104" s="8">
        <f ca="1">(TODAY()-Table_staff[[#This Row],[Date Joined]])/365</f>
        <v>2.6356164383561644</v>
      </c>
      <c r="J104" s="26">
        <f ca="1">ROUNDUP(IF(Table_staff[[#This Row],[Tenure]]&gt;3,3%,2%)*Table_staff[[#This Row],[Salary]],0)</f>
        <v>2243</v>
      </c>
      <c r="K104">
        <f>_xlfn.XLOOKUP(Table_staff[[#This Row],[Rating]],Sheet6!$E$4:$E$8,Sheet6!$F$4:$F$8 )</f>
        <v>2</v>
      </c>
    </row>
    <row r="105" spans="1:11" x14ac:dyDescent="0.25">
      <c r="A105" s="6" t="s">
        <v>76</v>
      </c>
      <c r="B105" s="6" t="s">
        <v>15</v>
      </c>
      <c r="C105">
        <v>25</v>
      </c>
      <c r="D105" t="s">
        <v>16</v>
      </c>
      <c r="E105" s="7">
        <v>44383</v>
      </c>
      <c r="F105" s="6" t="s">
        <v>19</v>
      </c>
      <c r="G105" s="26">
        <v>65700</v>
      </c>
      <c r="H105" t="s">
        <v>207</v>
      </c>
      <c r="I105" s="8">
        <f ca="1">(TODAY()-Table_staff[[#This Row],[Date Joined]])/365</f>
        <v>2.0794520547945203</v>
      </c>
      <c r="J105" s="26">
        <f ca="1">ROUNDUP(IF(Table_staff[[#This Row],[Tenure]]&gt;3,3%,2%)*Table_staff[[#This Row],[Salary]],0)</f>
        <v>1314</v>
      </c>
      <c r="K105">
        <f>_xlfn.XLOOKUP(Table_staff[[#This Row],[Rating]],Sheet6!$E$4:$E$8,Sheet6!$F$4:$F$8 )</f>
        <v>3</v>
      </c>
    </row>
    <row r="106" spans="1:11" x14ac:dyDescent="0.25">
      <c r="A106" s="6" t="s">
        <v>97</v>
      </c>
      <c r="B106" s="6" t="s">
        <v>15</v>
      </c>
      <c r="C106">
        <v>37</v>
      </c>
      <c r="D106" t="s">
        <v>16</v>
      </c>
      <c r="E106" s="7">
        <v>44701</v>
      </c>
      <c r="F106" s="6" t="s">
        <v>12</v>
      </c>
      <c r="G106" s="26">
        <v>69070</v>
      </c>
      <c r="H106" t="s">
        <v>207</v>
      </c>
      <c r="I106" s="8">
        <f ca="1">(TODAY()-Table_staff[[#This Row],[Date Joined]])/365</f>
        <v>1.2082191780821918</v>
      </c>
      <c r="J106" s="26">
        <f ca="1">ROUNDUP(IF(Table_staff[[#This Row],[Tenure]]&gt;3,3%,2%)*Table_staff[[#This Row],[Salary]],0)</f>
        <v>1382</v>
      </c>
      <c r="K106">
        <f>_xlfn.XLOOKUP(Table_staff[[#This Row],[Rating]],Sheet6!$E$4:$E$8,Sheet6!$F$4:$F$8 )</f>
        <v>3</v>
      </c>
    </row>
    <row r="107" spans="1:11" x14ac:dyDescent="0.25">
      <c r="A107" s="6" t="s">
        <v>22</v>
      </c>
      <c r="B107" s="6" t="s">
        <v>15</v>
      </c>
      <c r="C107">
        <v>20</v>
      </c>
      <c r="D107" t="s">
        <v>16</v>
      </c>
      <c r="E107" s="7">
        <v>44459</v>
      </c>
      <c r="F107" s="6" t="s">
        <v>12</v>
      </c>
      <c r="G107" s="26">
        <v>107700</v>
      </c>
      <c r="H107" t="s">
        <v>207</v>
      </c>
      <c r="I107" s="8">
        <f ca="1">(TODAY()-Table_staff[[#This Row],[Date Joined]])/365</f>
        <v>1.8712328767123287</v>
      </c>
      <c r="J107" s="26">
        <f ca="1">ROUNDUP(IF(Table_staff[[#This Row],[Tenure]]&gt;3,3%,2%)*Table_staff[[#This Row],[Salary]],0)</f>
        <v>2154</v>
      </c>
      <c r="K107">
        <f>_xlfn.XLOOKUP(Table_staff[[#This Row],[Rating]],Sheet6!$E$4:$E$8,Sheet6!$F$4:$F$8 )</f>
        <v>3</v>
      </c>
    </row>
    <row r="108" spans="1:11" x14ac:dyDescent="0.25">
      <c r="A108" s="6" t="s">
        <v>84</v>
      </c>
      <c r="B108" s="6" t="s">
        <v>8</v>
      </c>
      <c r="C108">
        <v>32</v>
      </c>
      <c r="D108" t="s">
        <v>13</v>
      </c>
      <c r="E108" s="7">
        <v>44354</v>
      </c>
      <c r="F108" s="6" t="s">
        <v>12</v>
      </c>
      <c r="G108" s="26">
        <v>43840</v>
      </c>
      <c r="H108" t="s">
        <v>207</v>
      </c>
      <c r="I108" s="8">
        <f ca="1">(TODAY()-Table_staff[[#This Row],[Date Joined]])/365</f>
        <v>2.1589041095890411</v>
      </c>
      <c r="J108" s="26">
        <f ca="1">ROUNDUP(IF(Table_staff[[#This Row],[Tenure]]&gt;3,3%,2%)*Table_staff[[#This Row],[Salary]],0)</f>
        <v>877</v>
      </c>
      <c r="K108">
        <f>_xlfn.XLOOKUP(Table_staff[[#This Row],[Rating]],Sheet6!$E$4:$E$8,Sheet6!$F$4:$F$8 )</f>
        <v>4</v>
      </c>
    </row>
    <row r="109" spans="1:11" x14ac:dyDescent="0.25">
      <c r="A109" s="6" t="s">
        <v>105</v>
      </c>
      <c r="B109" s="6" t="s">
        <v>15</v>
      </c>
      <c r="C109">
        <v>40</v>
      </c>
      <c r="D109" t="s">
        <v>16</v>
      </c>
      <c r="E109" s="7">
        <v>44263</v>
      </c>
      <c r="F109" s="6" t="s">
        <v>9</v>
      </c>
      <c r="G109" s="26">
        <v>99750</v>
      </c>
      <c r="H109" t="s">
        <v>207</v>
      </c>
      <c r="I109" s="8">
        <f ca="1">(TODAY()-Table_staff[[#This Row],[Date Joined]])/365</f>
        <v>2.408219178082192</v>
      </c>
      <c r="J109" s="26">
        <f ca="1">ROUNDUP(IF(Table_staff[[#This Row],[Tenure]]&gt;3,3%,2%)*Table_staff[[#This Row],[Salary]],0)</f>
        <v>1995</v>
      </c>
      <c r="K109">
        <f>_xlfn.XLOOKUP(Table_staff[[#This Row],[Rating]],Sheet6!$E$4:$E$8,Sheet6!$F$4:$F$8 )</f>
        <v>3</v>
      </c>
    </row>
    <row r="110" spans="1:11" x14ac:dyDescent="0.25">
      <c r="A110" s="6" t="s">
        <v>47</v>
      </c>
      <c r="B110" s="6" t="s">
        <v>15</v>
      </c>
      <c r="C110">
        <v>21</v>
      </c>
      <c r="D110" t="s">
        <v>16</v>
      </c>
      <c r="E110" s="7">
        <v>44104</v>
      </c>
      <c r="F110" s="6" t="s">
        <v>9</v>
      </c>
      <c r="G110" s="26">
        <v>37920</v>
      </c>
      <c r="H110" t="s">
        <v>207</v>
      </c>
      <c r="I110" s="8">
        <f ca="1">(TODAY()-Table_staff[[#This Row],[Date Joined]])/365</f>
        <v>2.8438356164383563</v>
      </c>
      <c r="J110" s="26">
        <f ca="1">ROUNDUP(IF(Table_staff[[#This Row],[Tenure]]&gt;3,3%,2%)*Table_staff[[#This Row],[Salary]],0)</f>
        <v>759</v>
      </c>
      <c r="K110">
        <f>_xlfn.XLOOKUP(Table_staff[[#This Row],[Rating]],Sheet6!$E$4:$E$8,Sheet6!$F$4:$F$8 )</f>
        <v>3</v>
      </c>
    </row>
    <row r="111" spans="1:11" x14ac:dyDescent="0.25">
      <c r="A111" s="6" t="s">
        <v>31</v>
      </c>
      <c r="B111" s="6" t="s">
        <v>15</v>
      </c>
      <c r="C111">
        <v>21</v>
      </c>
      <c r="D111" t="s">
        <v>16</v>
      </c>
      <c r="E111" s="7">
        <v>44762</v>
      </c>
      <c r="F111" s="6" t="s">
        <v>9</v>
      </c>
      <c r="G111" s="26">
        <v>57090</v>
      </c>
      <c r="H111" t="s">
        <v>207</v>
      </c>
      <c r="I111" s="8">
        <f ca="1">(TODAY()-Table_staff[[#This Row],[Date Joined]])/365</f>
        <v>1.0410958904109588</v>
      </c>
      <c r="J111" s="26">
        <f ca="1">ROUNDUP(IF(Table_staff[[#This Row],[Tenure]]&gt;3,3%,2%)*Table_staff[[#This Row],[Salary]],0)</f>
        <v>1142</v>
      </c>
      <c r="K111">
        <f>_xlfn.XLOOKUP(Table_staff[[#This Row],[Rating]],Sheet6!$E$4:$E$8,Sheet6!$F$4:$F$8 )</f>
        <v>3</v>
      </c>
    </row>
    <row r="112" spans="1:11" x14ac:dyDescent="0.25">
      <c r="A112" s="6" t="s">
        <v>30</v>
      </c>
      <c r="B112" s="6" t="s">
        <v>8</v>
      </c>
      <c r="C112">
        <v>31</v>
      </c>
      <c r="D112" t="s">
        <v>16</v>
      </c>
      <c r="E112" s="7">
        <v>44145</v>
      </c>
      <c r="F112" s="6" t="s">
        <v>12</v>
      </c>
      <c r="G112" s="26">
        <v>41980</v>
      </c>
      <c r="H112" t="s">
        <v>207</v>
      </c>
      <c r="I112" s="8">
        <f ca="1">(TODAY()-Table_staff[[#This Row],[Date Joined]])/365</f>
        <v>2.7315068493150685</v>
      </c>
      <c r="J112" s="26">
        <f ca="1">ROUNDUP(IF(Table_staff[[#This Row],[Tenure]]&gt;3,3%,2%)*Table_staff[[#This Row],[Salary]],0)</f>
        <v>840</v>
      </c>
      <c r="K112">
        <f>_xlfn.XLOOKUP(Table_staff[[#This Row],[Rating]],Sheet6!$E$4:$E$8,Sheet6!$F$4:$F$8 )</f>
        <v>3</v>
      </c>
    </row>
    <row r="113" spans="1:11" x14ac:dyDescent="0.25">
      <c r="A113" s="6" t="s">
        <v>78</v>
      </c>
      <c r="B113" s="6" t="s">
        <v>15</v>
      </c>
      <c r="C113">
        <v>21</v>
      </c>
      <c r="D113" t="s">
        <v>16</v>
      </c>
      <c r="E113" s="7">
        <v>44242</v>
      </c>
      <c r="F113" s="6" t="s">
        <v>56</v>
      </c>
      <c r="G113" s="26">
        <v>75880</v>
      </c>
      <c r="H113" t="s">
        <v>207</v>
      </c>
      <c r="I113" s="8">
        <f ca="1">(TODAY()-Table_staff[[#This Row],[Date Joined]])/365</f>
        <v>2.4657534246575343</v>
      </c>
      <c r="J113" s="26">
        <f ca="1">ROUNDUP(IF(Table_staff[[#This Row],[Tenure]]&gt;3,3%,2%)*Table_staff[[#This Row],[Salary]],0)</f>
        <v>1518</v>
      </c>
      <c r="K113">
        <f>_xlfn.XLOOKUP(Table_staff[[#This Row],[Rating]],Sheet6!$E$4:$E$8,Sheet6!$F$4:$F$8 )</f>
        <v>3</v>
      </c>
    </row>
    <row r="114" spans="1:11" x14ac:dyDescent="0.25">
      <c r="A114" s="6" t="s">
        <v>36</v>
      </c>
      <c r="B114" s="6" t="s">
        <v>8</v>
      </c>
      <c r="C114">
        <v>34</v>
      </c>
      <c r="D114" t="s">
        <v>16</v>
      </c>
      <c r="E114" s="7">
        <v>44653</v>
      </c>
      <c r="F114" s="6" t="s">
        <v>21</v>
      </c>
      <c r="G114" s="26">
        <v>58940</v>
      </c>
      <c r="H114" t="s">
        <v>207</v>
      </c>
      <c r="I114" s="8">
        <f ca="1">(TODAY()-Table_staff[[#This Row],[Date Joined]])/365</f>
        <v>1.3397260273972602</v>
      </c>
      <c r="J114" s="26">
        <f ca="1">ROUNDUP(IF(Table_staff[[#This Row],[Tenure]]&gt;3,3%,2%)*Table_staff[[#This Row],[Salary]],0)</f>
        <v>1179</v>
      </c>
      <c r="K114">
        <f>_xlfn.XLOOKUP(Table_staff[[#This Row],[Rating]],Sheet6!$E$4:$E$8,Sheet6!$F$4:$F$8 )</f>
        <v>3</v>
      </c>
    </row>
    <row r="115" spans="1:11" x14ac:dyDescent="0.25">
      <c r="A115" s="6" t="s">
        <v>27</v>
      </c>
      <c r="B115" s="6" t="s">
        <v>8</v>
      </c>
      <c r="C115">
        <v>30</v>
      </c>
      <c r="D115" t="s">
        <v>24</v>
      </c>
      <c r="E115" s="7">
        <v>44389</v>
      </c>
      <c r="F115" s="6" t="s">
        <v>21</v>
      </c>
      <c r="G115" s="26">
        <v>67910</v>
      </c>
      <c r="H115" t="s">
        <v>207</v>
      </c>
      <c r="I115" s="8">
        <f ca="1">(TODAY()-Table_staff[[#This Row],[Date Joined]])/365</f>
        <v>2.0630136986301371</v>
      </c>
      <c r="J115" s="26">
        <f ca="1">ROUNDUP(IF(Table_staff[[#This Row],[Tenure]]&gt;3,3%,2%)*Table_staff[[#This Row],[Salary]],0)</f>
        <v>1359</v>
      </c>
      <c r="K115">
        <f>_xlfn.XLOOKUP(Table_staff[[#This Row],[Rating]],Sheet6!$E$4:$E$8,Sheet6!$F$4:$F$8 )</f>
        <v>2</v>
      </c>
    </row>
    <row r="116" spans="1:11" x14ac:dyDescent="0.25">
      <c r="A116" s="6" t="s">
        <v>26</v>
      </c>
      <c r="B116" s="6" t="s">
        <v>8</v>
      </c>
      <c r="C116">
        <v>31</v>
      </c>
      <c r="D116" t="s">
        <v>16</v>
      </c>
      <c r="E116" s="7">
        <v>44663</v>
      </c>
      <c r="F116" s="6" t="s">
        <v>12</v>
      </c>
      <c r="G116" s="26">
        <v>58100</v>
      </c>
      <c r="H116" t="s">
        <v>207</v>
      </c>
      <c r="I116" s="8">
        <f ca="1">(TODAY()-Table_staff[[#This Row],[Date Joined]])/365</f>
        <v>1.3123287671232877</v>
      </c>
      <c r="J116" s="26">
        <f ca="1">ROUNDUP(IF(Table_staff[[#This Row],[Tenure]]&gt;3,3%,2%)*Table_staff[[#This Row],[Salary]],0)</f>
        <v>1162</v>
      </c>
      <c r="K116">
        <f>_xlfn.XLOOKUP(Table_staff[[#This Row],[Rating]],Sheet6!$E$4:$E$8,Sheet6!$F$4:$F$8 )</f>
        <v>3</v>
      </c>
    </row>
    <row r="117" spans="1:11" x14ac:dyDescent="0.25">
      <c r="A117" s="6" t="s">
        <v>53</v>
      </c>
      <c r="B117" s="6" t="s">
        <v>15</v>
      </c>
      <c r="C117">
        <v>27</v>
      </c>
      <c r="D117" t="s">
        <v>16</v>
      </c>
      <c r="E117" s="7">
        <v>44567</v>
      </c>
      <c r="F117" s="6" t="s">
        <v>21</v>
      </c>
      <c r="G117" s="26">
        <v>48980</v>
      </c>
      <c r="H117" t="s">
        <v>207</v>
      </c>
      <c r="I117" s="8">
        <f ca="1">(TODAY()-Table_staff[[#This Row],[Date Joined]])/365</f>
        <v>1.5753424657534247</v>
      </c>
      <c r="J117" s="26">
        <f ca="1">ROUNDUP(IF(Table_staff[[#This Row],[Tenure]]&gt;3,3%,2%)*Table_staff[[#This Row],[Salary]],0)</f>
        <v>980</v>
      </c>
      <c r="K117">
        <f>_xlfn.XLOOKUP(Table_staff[[#This Row],[Rating]],Sheet6!$E$4:$E$8,Sheet6!$F$4:$F$8 )</f>
        <v>3</v>
      </c>
    </row>
    <row r="118" spans="1:11" x14ac:dyDescent="0.25">
      <c r="A118" s="6" t="s">
        <v>20</v>
      </c>
      <c r="B118" s="6" t="s">
        <v>206</v>
      </c>
      <c r="C118">
        <v>30</v>
      </c>
      <c r="D118" t="s">
        <v>16</v>
      </c>
      <c r="E118" s="7">
        <v>44597</v>
      </c>
      <c r="F118" s="6" t="s">
        <v>21</v>
      </c>
      <c r="G118" s="26">
        <v>64000</v>
      </c>
      <c r="H118" t="s">
        <v>207</v>
      </c>
      <c r="I118" s="8">
        <f ca="1">(TODAY()-Table_staff[[#This Row],[Date Joined]])/365</f>
        <v>1.4931506849315068</v>
      </c>
      <c r="J118" s="26">
        <f ca="1">ROUNDUP(IF(Table_staff[[#This Row],[Tenure]]&gt;3,3%,2%)*Table_staff[[#This Row],[Salary]],0)</f>
        <v>1280</v>
      </c>
      <c r="K118">
        <f>_xlfn.XLOOKUP(Table_staff[[#This Row],[Rating]],Sheet6!$E$4:$E$8,Sheet6!$F$4:$F$8 )</f>
        <v>3</v>
      </c>
    </row>
    <row r="119" spans="1:11" x14ac:dyDescent="0.25">
      <c r="A119" s="6" t="s">
        <v>7</v>
      </c>
      <c r="B119" s="6" t="s">
        <v>8</v>
      </c>
      <c r="C119">
        <v>42</v>
      </c>
      <c r="D119" t="s">
        <v>10</v>
      </c>
      <c r="E119" s="7">
        <v>44779</v>
      </c>
      <c r="F119" s="6" t="s">
        <v>9</v>
      </c>
      <c r="G119" s="26">
        <v>75000</v>
      </c>
      <c r="H119" t="s">
        <v>207</v>
      </c>
      <c r="I119" s="8">
        <f ca="1">(TODAY()-Table_staff[[#This Row],[Date Joined]])/365</f>
        <v>0.9945205479452055</v>
      </c>
      <c r="J119" s="26">
        <f ca="1">ROUNDUP(IF(Table_staff[[#This Row],[Tenure]]&gt;3,3%,2%)*Table_staff[[#This Row],[Salary]],0)</f>
        <v>1500</v>
      </c>
      <c r="K119">
        <f>_xlfn.XLOOKUP(Table_staff[[#This Row],[Rating]],Sheet6!$E$4:$E$8,Sheet6!$F$4:$F$8 )</f>
        <v>5</v>
      </c>
    </row>
    <row r="120" spans="1:11" x14ac:dyDescent="0.25">
      <c r="A120" s="6" t="s">
        <v>74</v>
      </c>
      <c r="B120" s="6" t="s">
        <v>8</v>
      </c>
      <c r="C120">
        <v>40</v>
      </c>
      <c r="D120" t="s">
        <v>16</v>
      </c>
      <c r="E120" s="7">
        <v>44337</v>
      </c>
      <c r="F120" s="6" t="s">
        <v>12</v>
      </c>
      <c r="G120" s="26">
        <v>87620</v>
      </c>
      <c r="H120" t="s">
        <v>207</v>
      </c>
      <c r="I120" s="8">
        <f ca="1">(TODAY()-Table_staff[[#This Row],[Date Joined]])/365</f>
        <v>2.2054794520547945</v>
      </c>
      <c r="J120" s="26">
        <f ca="1">ROUNDUP(IF(Table_staff[[#This Row],[Tenure]]&gt;3,3%,2%)*Table_staff[[#This Row],[Salary]],0)</f>
        <v>1753</v>
      </c>
      <c r="K120">
        <f>_xlfn.XLOOKUP(Table_staff[[#This Row],[Rating]],Sheet6!$E$4:$E$8,Sheet6!$F$4:$F$8 )</f>
        <v>3</v>
      </c>
    </row>
    <row r="121" spans="1:11" x14ac:dyDescent="0.25">
      <c r="A121" s="6" t="s">
        <v>44</v>
      </c>
      <c r="B121" s="6" t="s">
        <v>8</v>
      </c>
      <c r="C121">
        <v>29</v>
      </c>
      <c r="D121" t="s">
        <v>16</v>
      </c>
      <c r="E121" s="7">
        <v>44023</v>
      </c>
      <c r="F121" s="6" t="s">
        <v>12</v>
      </c>
      <c r="G121" s="26">
        <v>34980</v>
      </c>
      <c r="H121" t="s">
        <v>207</v>
      </c>
      <c r="I121" s="8">
        <f ca="1">(TODAY()-Table_staff[[#This Row],[Date Joined]])/365</f>
        <v>3.0657534246575344</v>
      </c>
      <c r="J121" s="26">
        <f ca="1">ROUNDUP(IF(Table_staff[[#This Row],[Tenure]]&gt;3,3%,2%)*Table_staff[[#This Row],[Salary]],0)</f>
        <v>1050</v>
      </c>
      <c r="K121">
        <f>_xlfn.XLOOKUP(Table_staff[[#This Row],[Rating]],Sheet6!$E$4:$E$8,Sheet6!$F$4:$F$8 )</f>
        <v>3</v>
      </c>
    </row>
    <row r="122" spans="1:11" x14ac:dyDescent="0.25">
      <c r="A122" s="6" t="s">
        <v>35</v>
      </c>
      <c r="B122" s="6" t="s">
        <v>8</v>
      </c>
      <c r="C122">
        <v>28</v>
      </c>
      <c r="D122" t="s">
        <v>16</v>
      </c>
      <c r="E122" s="7">
        <v>44185</v>
      </c>
      <c r="F122" s="6" t="s">
        <v>21</v>
      </c>
      <c r="G122" s="26">
        <v>75970</v>
      </c>
      <c r="H122" t="s">
        <v>207</v>
      </c>
      <c r="I122" s="8">
        <f ca="1">(TODAY()-Table_staff[[#This Row],[Date Joined]])/365</f>
        <v>2.6219178082191781</v>
      </c>
      <c r="J122" s="26">
        <f ca="1">ROUNDUP(IF(Table_staff[[#This Row],[Tenure]]&gt;3,3%,2%)*Table_staff[[#This Row],[Salary]],0)</f>
        <v>1520</v>
      </c>
      <c r="K122">
        <f>_xlfn.XLOOKUP(Table_staff[[#This Row],[Rating]],Sheet6!$E$4:$E$8,Sheet6!$F$4:$F$8 )</f>
        <v>3</v>
      </c>
    </row>
    <row r="123" spans="1:11" x14ac:dyDescent="0.25">
      <c r="A123" s="6" t="s">
        <v>38</v>
      </c>
      <c r="B123" s="6" t="s">
        <v>8</v>
      </c>
      <c r="C123">
        <v>34</v>
      </c>
      <c r="D123" t="s">
        <v>16</v>
      </c>
      <c r="E123" s="7">
        <v>44612</v>
      </c>
      <c r="F123" s="6" t="s">
        <v>21</v>
      </c>
      <c r="G123" s="26">
        <v>60130</v>
      </c>
      <c r="H123" t="s">
        <v>207</v>
      </c>
      <c r="I123" s="8">
        <f ca="1">(TODAY()-Table_staff[[#This Row],[Date Joined]])/365</f>
        <v>1.452054794520548</v>
      </c>
      <c r="J123" s="26">
        <f ca="1">ROUNDUP(IF(Table_staff[[#This Row],[Tenure]]&gt;3,3%,2%)*Table_staff[[#This Row],[Salary]],0)</f>
        <v>1203</v>
      </c>
      <c r="K123">
        <f>_xlfn.XLOOKUP(Table_staff[[#This Row],[Rating]],Sheet6!$E$4:$E$8,Sheet6!$F$4:$F$8 )</f>
        <v>3</v>
      </c>
    </row>
    <row r="124" spans="1:11" x14ac:dyDescent="0.25">
      <c r="A124" s="6" t="s">
        <v>41</v>
      </c>
      <c r="B124" s="6" t="s">
        <v>8</v>
      </c>
      <c r="C124">
        <v>33</v>
      </c>
      <c r="D124" t="s">
        <v>42</v>
      </c>
      <c r="E124" s="7">
        <v>44374</v>
      </c>
      <c r="F124" s="6" t="s">
        <v>12</v>
      </c>
      <c r="G124" s="26">
        <v>75480</v>
      </c>
      <c r="H124" t="s">
        <v>207</v>
      </c>
      <c r="I124" s="8">
        <f ca="1">(TODAY()-Table_staff[[#This Row],[Date Joined]])/365</f>
        <v>2.1041095890410957</v>
      </c>
      <c r="J124" s="26">
        <f ca="1">ROUNDUP(IF(Table_staff[[#This Row],[Tenure]]&gt;3,3%,2%)*Table_staff[[#This Row],[Salary]],0)</f>
        <v>1510</v>
      </c>
      <c r="K124">
        <f>_xlfn.XLOOKUP(Table_staff[[#This Row],[Rating]],Sheet6!$E$4:$E$8,Sheet6!$F$4:$F$8 )</f>
        <v>1</v>
      </c>
    </row>
    <row r="125" spans="1:11" x14ac:dyDescent="0.25">
      <c r="A125" s="6" t="s">
        <v>40</v>
      </c>
      <c r="B125" s="6" t="s">
        <v>15</v>
      </c>
      <c r="C125">
        <v>33</v>
      </c>
      <c r="D125" t="s">
        <v>16</v>
      </c>
      <c r="E125" s="7">
        <v>44164</v>
      </c>
      <c r="F125" s="6" t="s">
        <v>9</v>
      </c>
      <c r="G125" s="26">
        <v>115920</v>
      </c>
      <c r="H125" t="s">
        <v>207</v>
      </c>
      <c r="I125" s="8">
        <f ca="1">(TODAY()-Table_staff[[#This Row],[Date Joined]])/365</f>
        <v>2.6794520547945204</v>
      </c>
      <c r="J125" s="26">
        <f ca="1">ROUNDUP(IF(Table_staff[[#This Row],[Tenure]]&gt;3,3%,2%)*Table_staff[[#This Row],[Salary]],0)</f>
        <v>2319</v>
      </c>
      <c r="K125">
        <f>_xlfn.XLOOKUP(Table_staff[[#This Row],[Rating]],Sheet6!$E$4:$E$8,Sheet6!$F$4:$F$8 )</f>
        <v>3</v>
      </c>
    </row>
    <row r="126" spans="1:11" x14ac:dyDescent="0.25">
      <c r="A126" s="6" t="s">
        <v>48</v>
      </c>
      <c r="B126" s="6" t="s">
        <v>8</v>
      </c>
      <c r="C126">
        <v>36</v>
      </c>
      <c r="D126" t="s">
        <v>16</v>
      </c>
      <c r="E126" s="7">
        <v>44494</v>
      </c>
      <c r="F126" s="6" t="s">
        <v>19</v>
      </c>
      <c r="G126" s="26">
        <v>78540</v>
      </c>
      <c r="H126" t="s">
        <v>207</v>
      </c>
      <c r="I126" s="8">
        <f ca="1">(TODAY()-Table_staff[[#This Row],[Date Joined]])/365</f>
        <v>1.7753424657534247</v>
      </c>
      <c r="J126" s="26">
        <f ca="1">ROUNDUP(IF(Table_staff[[#This Row],[Tenure]]&gt;3,3%,2%)*Table_staff[[#This Row],[Salary]],0)</f>
        <v>1571</v>
      </c>
      <c r="K126">
        <f>_xlfn.XLOOKUP(Table_staff[[#This Row],[Rating]],Sheet6!$E$4:$E$8,Sheet6!$F$4:$F$8 )</f>
        <v>3</v>
      </c>
    </row>
    <row r="127" spans="1:11" x14ac:dyDescent="0.25">
      <c r="A127" s="6" t="s">
        <v>34</v>
      </c>
      <c r="B127" s="6" t="s">
        <v>15</v>
      </c>
      <c r="C127">
        <v>25</v>
      </c>
      <c r="D127" t="s">
        <v>13</v>
      </c>
      <c r="E127" s="7">
        <v>44726</v>
      </c>
      <c r="F127" s="6" t="s">
        <v>9</v>
      </c>
      <c r="G127" s="26">
        <v>109190</v>
      </c>
      <c r="H127" t="s">
        <v>207</v>
      </c>
      <c r="I127" s="8">
        <f ca="1">(TODAY()-Table_staff[[#This Row],[Date Joined]])/365</f>
        <v>1.1397260273972603</v>
      </c>
      <c r="J127" s="26">
        <f ca="1">ROUNDUP(IF(Table_staff[[#This Row],[Tenure]]&gt;3,3%,2%)*Table_staff[[#This Row],[Salary]],0)</f>
        <v>2184</v>
      </c>
      <c r="K127">
        <f>_xlfn.XLOOKUP(Table_staff[[#This Row],[Rating]],Sheet6!$E$4:$E$8,Sheet6!$F$4:$F$8 )</f>
        <v>4</v>
      </c>
    </row>
    <row r="128" spans="1:11" x14ac:dyDescent="0.25">
      <c r="A128" s="6" t="s">
        <v>73</v>
      </c>
      <c r="B128" s="6" t="s">
        <v>8</v>
      </c>
      <c r="C128">
        <v>34</v>
      </c>
      <c r="D128" t="s">
        <v>24</v>
      </c>
      <c r="E128" s="7">
        <v>44721</v>
      </c>
      <c r="F128" s="6" t="s">
        <v>19</v>
      </c>
      <c r="G128" s="26">
        <v>49630</v>
      </c>
      <c r="H128" t="s">
        <v>207</v>
      </c>
      <c r="I128" s="8">
        <f ca="1">(TODAY()-Table_staff[[#This Row],[Date Joined]])/365</f>
        <v>1.1534246575342466</v>
      </c>
      <c r="J128" s="26">
        <f ca="1">ROUNDUP(IF(Table_staff[[#This Row],[Tenure]]&gt;3,3%,2%)*Table_staff[[#This Row],[Salary]],0)</f>
        <v>993</v>
      </c>
      <c r="K128">
        <f>_xlfn.XLOOKUP(Table_staff[[#This Row],[Rating]],Sheet6!$E$4:$E$8,Sheet6!$F$4:$F$8 )</f>
        <v>2</v>
      </c>
    </row>
    <row r="129" spans="1:11" x14ac:dyDescent="0.25">
      <c r="A129" s="6" t="s">
        <v>107</v>
      </c>
      <c r="B129" s="6" t="s">
        <v>8</v>
      </c>
      <c r="C129">
        <v>28</v>
      </c>
      <c r="D129" t="s">
        <v>16</v>
      </c>
      <c r="E129" s="7">
        <v>44630</v>
      </c>
      <c r="F129" s="6" t="s">
        <v>9</v>
      </c>
      <c r="G129" s="26">
        <v>99970</v>
      </c>
      <c r="H129" t="s">
        <v>207</v>
      </c>
      <c r="I129" s="8">
        <f ca="1">(TODAY()-Table_staff[[#This Row],[Date Joined]])/365</f>
        <v>1.4027397260273973</v>
      </c>
      <c r="J129" s="26">
        <f ca="1">ROUNDUP(IF(Table_staff[[#This Row],[Tenure]]&gt;3,3%,2%)*Table_staff[[#This Row],[Salary]],0)</f>
        <v>2000</v>
      </c>
      <c r="K129">
        <f>_xlfn.XLOOKUP(Table_staff[[#This Row],[Rating]],Sheet6!$E$4:$E$8,Sheet6!$F$4:$F$8 )</f>
        <v>3</v>
      </c>
    </row>
    <row r="130" spans="1:11" x14ac:dyDescent="0.25">
      <c r="A130" s="6" t="s">
        <v>71</v>
      </c>
      <c r="B130" s="6" t="s">
        <v>8</v>
      </c>
      <c r="C130">
        <v>33</v>
      </c>
      <c r="D130" t="s">
        <v>16</v>
      </c>
      <c r="E130" s="7">
        <v>44190</v>
      </c>
      <c r="F130" s="6" t="s">
        <v>12</v>
      </c>
      <c r="G130" s="26">
        <v>96140</v>
      </c>
      <c r="H130" t="s">
        <v>207</v>
      </c>
      <c r="I130" s="8">
        <f ca="1">(TODAY()-Table_staff[[#This Row],[Date Joined]])/365</f>
        <v>2.6082191780821917</v>
      </c>
      <c r="J130" s="26">
        <f ca="1">ROUNDUP(IF(Table_staff[[#This Row],[Tenure]]&gt;3,3%,2%)*Table_staff[[#This Row],[Salary]],0)</f>
        <v>1923</v>
      </c>
      <c r="K130">
        <f>_xlfn.XLOOKUP(Table_staff[[#This Row],[Rating]],Sheet6!$E$4:$E$8,Sheet6!$F$4:$F$8 )</f>
        <v>3</v>
      </c>
    </row>
    <row r="131" spans="1:11" x14ac:dyDescent="0.25">
      <c r="A131" s="6" t="s">
        <v>50</v>
      </c>
      <c r="B131" s="6" t="s">
        <v>15</v>
      </c>
      <c r="C131">
        <v>31</v>
      </c>
      <c r="D131" t="s">
        <v>16</v>
      </c>
      <c r="E131" s="7">
        <v>44724</v>
      </c>
      <c r="F131" s="6" t="s">
        <v>9</v>
      </c>
      <c r="G131" s="26">
        <v>103550</v>
      </c>
      <c r="H131" t="s">
        <v>207</v>
      </c>
      <c r="I131" s="8">
        <f ca="1">(TODAY()-Table_staff[[#This Row],[Date Joined]])/365</f>
        <v>1.1452054794520548</v>
      </c>
      <c r="J131" s="26">
        <f ca="1">ROUNDUP(IF(Table_staff[[#This Row],[Tenure]]&gt;3,3%,2%)*Table_staff[[#This Row],[Salary]],0)</f>
        <v>2071</v>
      </c>
      <c r="K131">
        <f>_xlfn.XLOOKUP(Table_staff[[#This Row],[Rating]],Sheet6!$E$4:$E$8,Sheet6!$F$4:$F$8 )</f>
        <v>3</v>
      </c>
    </row>
    <row r="132" spans="1:11" x14ac:dyDescent="0.25">
      <c r="A132" s="6" t="s">
        <v>14</v>
      </c>
      <c r="B132" s="6" t="s">
        <v>15</v>
      </c>
      <c r="C132">
        <v>31</v>
      </c>
      <c r="D132" t="s">
        <v>16</v>
      </c>
      <c r="E132" s="7">
        <v>44511</v>
      </c>
      <c r="F132" s="6" t="s">
        <v>12</v>
      </c>
      <c r="G132" s="26">
        <v>48950</v>
      </c>
      <c r="H132" t="s">
        <v>207</v>
      </c>
      <c r="I132" s="8">
        <f ca="1">(TODAY()-Table_staff[[#This Row],[Date Joined]])/365</f>
        <v>1.7287671232876711</v>
      </c>
      <c r="J132" s="26">
        <f ca="1">ROUNDUP(IF(Table_staff[[#This Row],[Tenure]]&gt;3,3%,2%)*Table_staff[[#This Row],[Salary]],0)</f>
        <v>979</v>
      </c>
      <c r="K132">
        <f>_xlfn.XLOOKUP(Table_staff[[#This Row],[Rating]],Sheet6!$E$4:$E$8,Sheet6!$F$4:$F$8 )</f>
        <v>3</v>
      </c>
    </row>
    <row r="133" spans="1:11" x14ac:dyDescent="0.25">
      <c r="A133" s="6" t="s">
        <v>63</v>
      </c>
      <c r="B133" s="6" t="s">
        <v>15</v>
      </c>
      <c r="C133">
        <v>24</v>
      </c>
      <c r="D133" t="s">
        <v>24</v>
      </c>
      <c r="E133" s="7">
        <v>44436</v>
      </c>
      <c r="F133" s="6" t="s">
        <v>21</v>
      </c>
      <c r="G133" s="26">
        <v>52610</v>
      </c>
      <c r="H133" t="s">
        <v>207</v>
      </c>
      <c r="I133" s="8">
        <f ca="1">(TODAY()-Table_staff[[#This Row],[Date Joined]])/365</f>
        <v>1.9342465753424658</v>
      </c>
      <c r="J133" s="26">
        <f ca="1">ROUNDUP(IF(Table_staff[[#This Row],[Tenure]]&gt;3,3%,2%)*Table_staff[[#This Row],[Salary]],0)</f>
        <v>1053</v>
      </c>
      <c r="K133">
        <f>_xlfn.XLOOKUP(Table_staff[[#This Row],[Rating]],Sheet6!$E$4:$E$8,Sheet6!$F$4:$F$8 )</f>
        <v>2</v>
      </c>
    </row>
    <row r="134" spans="1:11" x14ac:dyDescent="0.25">
      <c r="A134" s="6" t="s">
        <v>72</v>
      </c>
      <c r="B134" s="6" t="s">
        <v>8</v>
      </c>
      <c r="C134">
        <v>36</v>
      </c>
      <c r="D134" t="s">
        <v>16</v>
      </c>
      <c r="E134" s="7">
        <v>44529</v>
      </c>
      <c r="F134" s="6" t="s">
        <v>9</v>
      </c>
      <c r="G134" s="26">
        <v>78390</v>
      </c>
      <c r="H134" t="s">
        <v>207</v>
      </c>
      <c r="I134" s="8">
        <f ca="1">(TODAY()-Table_staff[[#This Row],[Date Joined]])/365</f>
        <v>1.6794520547945206</v>
      </c>
      <c r="J134" s="26">
        <f ca="1">ROUNDUP(IF(Table_staff[[#This Row],[Tenure]]&gt;3,3%,2%)*Table_staff[[#This Row],[Salary]],0)</f>
        <v>1568</v>
      </c>
      <c r="K134">
        <f>_xlfn.XLOOKUP(Table_staff[[#This Row],[Rating]],Sheet6!$E$4:$E$8,Sheet6!$F$4:$F$8 )</f>
        <v>3</v>
      </c>
    </row>
    <row r="135" spans="1:11" x14ac:dyDescent="0.25">
      <c r="A135" s="6" t="s">
        <v>88</v>
      </c>
      <c r="B135" s="6" t="s">
        <v>8</v>
      </c>
      <c r="C135">
        <v>33</v>
      </c>
      <c r="D135" t="s">
        <v>16</v>
      </c>
      <c r="E135" s="7">
        <v>44809</v>
      </c>
      <c r="F135" s="6" t="s">
        <v>21</v>
      </c>
      <c r="G135" s="26">
        <v>86570</v>
      </c>
      <c r="H135" t="s">
        <v>207</v>
      </c>
      <c r="I135" s="8">
        <f ca="1">(TODAY()-Table_staff[[#This Row],[Date Joined]])/365</f>
        <v>0.9123287671232877</v>
      </c>
      <c r="J135" s="26">
        <f ca="1">ROUNDUP(IF(Table_staff[[#This Row],[Tenure]]&gt;3,3%,2%)*Table_staff[[#This Row],[Salary]],0)</f>
        <v>1732</v>
      </c>
      <c r="K135">
        <f>_xlfn.XLOOKUP(Table_staff[[#This Row],[Rating]],Sheet6!$E$4:$E$8,Sheet6!$F$4:$F$8 )</f>
        <v>3</v>
      </c>
    </row>
    <row r="136" spans="1:11" x14ac:dyDescent="0.25">
      <c r="A136" s="6" t="s">
        <v>92</v>
      </c>
      <c r="B136" s="6" t="s">
        <v>8</v>
      </c>
      <c r="C136">
        <v>27</v>
      </c>
      <c r="D136" t="s">
        <v>16</v>
      </c>
      <c r="E136" s="7">
        <v>44686</v>
      </c>
      <c r="F136" s="6" t="s">
        <v>12</v>
      </c>
      <c r="G136" s="26">
        <v>83750</v>
      </c>
      <c r="H136" t="s">
        <v>207</v>
      </c>
      <c r="I136" s="8">
        <f ca="1">(TODAY()-Table_staff[[#This Row],[Date Joined]])/365</f>
        <v>1.2493150684931507</v>
      </c>
      <c r="J136" s="26">
        <f ca="1">ROUNDUP(IF(Table_staff[[#This Row],[Tenure]]&gt;3,3%,2%)*Table_staff[[#This Row],[Salary]],0)</f>
        <v>1675</v>
      </c>
      <c r="K136">
        <f>_xlfn.XLOOKUP(Table_staff[[#This Row],[Rating]],Sheet6!$E$4:$E$8,Sheet6!$F$4:$F$8 )</f>
        <v>3</v>
      </c>
    </row>
    <row r="137" spans="1:11" x14ac:dyDescent="0.25">
      <c r="A137" s="6" t="s">
        <v>102</v>
      </c>
      <c r="B137" s="6" t="s">
        <v>8</v>
      </c>
      <c r="C137">
        <v>34</v>
      </c>
      <c r="D137" t="s">
        <v>16</v>
      </c>
      <c r="E137" s="7">
        <v>44445</v>
      </c>
      <c r="F137" s="6" t="s">
        <v>21</v>
      </c>
      <c r="G137" s="26">
        <v>92450</v>
      </c>
      <c r="H137" t="s">
        <v>207</v>
      </c>
      <c r="I137" s="8">
        <f ca="1">(TODAY()-Table_staff[[#This Row],[Date Joined]])/365</f>
        <v>1.9095890410958904</v>
      </c>
      <c r="J137" s="26">
        <f ca="1">ROUNDUP(IF(Table_staff[[#This Row],[Tenure]]&gt;3,3%,2%)*Table_staff[[#This Row],[Salary]],0)</f>
        <v>1849</v>
      </c>
      <c r="K137">
        <f>_xlfn.XLOOKUP(Table_staff[[#This Row],[Rating]],Sheet6!$E$4:$E$8,Sheet6!$F$4:$F$8 )</f>
        <v>3</v>
      </c>
    </row>
    <row r="138" spans="1:11" x14ac:dyDescent="0.25">
      <c r="A138" s="6" t="s">
        <v>64</v>
      </c>
      <c r="B138" s="6" t="s">
        <v>15</v>
      </c>
      <c r="C138">
        <v>20</v>
      </c>
      <c r="D138" t="s">
        <v>16</v>
      </c>
      <c r="E138" s="7">
        <v>44183</v>
      </c>
      <c r="F138" s="6" t="s">
        <v>12</v>
      </c>
      <c r="G138" s="26">
        <v>112650</v>
      </c>
      <c r="H138" t="s">
        <v>207</v>
      </c>
      <c r="I138" s="8">
        <f ca="1">(TODAY()-Table_staff[[#This Row],[Date Joined]])/365</f>
        <v>2.6273972602739728</v>
      </c>
      <c r="J138" s="26">
        <f ca="1">ROUNDUP(IF(Table_staff[[#This Row],[Tenure]]&gt;3,3%,2%)*Table_staff[[#This Row],[Salary]],0)</f>
        <v>2253</v>
      </c>
      <c r="K138">
        <f>_xlfn.XLOOKUP(Table_staff[[#This Row],[Rating]],Sheet6!$E$4:$E$8,Sheet6!$F$4:$F$8 )</f>
        <v>3</v>
      </c>
    </row>
    <row r="139" spans="1:11" x14ac:dyDescent="0.25">
      <c r="A139" s="6" t="s">
        <v>104</v>
      </c>
      <c r="B139" s="6" t="s">
        <v>15</v>
      </c>
      <c r="C139">
        <v>20</v>
      </c>
      <c r="D139" t="s">
        <v>16</v>
      </c>
      <c r="E139" s="7">
        <v>44744</v>
      </c>
      <c r="F139" s="6" t="s">
        <v>9</v>
      </c>
      <c r="G139" s="26">
        <v>79570</v>
      </c>
      <c r="H139" t="s">
        <v>207</v>
      </c>
      <c r="I139" s="8">
        <f ca="1">(TODAY()-Table_staff[[#This Row],[Date Joined]])/365</f>
        <v>1.0904109589041096</v>
      </c>
      <c r="J139" s="26">
        <f ca="1">ROUNDUP(IF(Table_staff[[#This Row],[Tenure]]&gt;3,3%,2%)*Table_staff[[#This Row],[Salary]],0)</f>
        <v>1592</v>
      </c>
      <c r="K139">
        <f>_xlfn.XLOOKUP(Table_staff[[#This Row],[Rating]],Sheet6!$E$4:$E$8,Sheet6!$F$4:$F$8 )</f>
        <v>3</v>
      </c>
    </row>
    <row r="140" spans="1:11" x14ac:dyDescent="0.25">
      <c r="A140" s="6" t="s">
        <v>91</v>
      </c>
      <c r="B140" s="6" t="s">
        <v>8</v>
      </c>
      <c r="C140">
        <v>20</v>
      </c>
      <c r="D140" t="s">
        <v>24</v>
      </c>
      <c r="E140" s="7">
        <v>44537</v>
      </c>
      <c r="F140" s="6" t="s">
        <v>19</v>
      </c>
      <c r="G140" s="26">
        <v>68900</v>
      </c>
      <c r="H140" t="s">
        <v>207</v>
      </c>
      <c r="I140" s="8">
        <f ca="1">(TODAY()-Table_staff[[#This Row],[Date Joined]])/365</f>
        <v>1.6575342465753424</v>
      </c>
      <c r="J140" s="26">
        <f ca="1">ROUNDUP(IF(Table_staff[[#This Row],[Tenure]]&gt;3,3%,2%)*Table_staff[[#This Row],[Salary]],0)</f>
        <v>1378</v>
      </c>
      <c r="K140">
        <f>_xlfn.XLOOKUP(Table_staff[[#This Row],[Rating]],Sheet6!$E$4:$E$8,Sheet6!$F$4:$F$8 )</f>
        <v>2</v>
      </c>
    </row>
    <row r="141" spans="1:11" x14ac:dyDescent="0.25">
      <c r="A141" s="6" t="s">
        <v>39</v>
      </c>
      <c r="B141" s="6" t="s">
        <v>8</v>
      </c>
      <c r="C141">
        <v>25</v>
      </c>
      <c r="D141" t="s">
        <v>13</v>
      </c>
      <c r="E141" s="7">
        <v>44694</v>
      </c>
      <c r="F141" s="6" t="s">
        <v>12</v>
      </c>
      <c r="G141" s="26">
        <v>80700</v>
      </c>
      <c r="H141" t="s">
        <v>207</v>
      </c>
      <c r="I141" s="8">
        <f ca="1">(TODAY()-Table_staff[[#This Row],[Date Joined]])/365</f>
        <v>1.2273972602739727</v>
      </c>
      <c r="J141" s="26">
        <f ca="1">ROUNDUP(IF(Table_staff[[#This Row],[Tenure]]&gt;3,3%,2%)*Table_staff[[#This Row],[Salary]],0)</f>
        <v>1614</v>
      </c>
      <c r="K141">
        <f>_xlfn.XLOOKUP(Table_staff[[#This Row],[Rating]],Sheet6!$E$4:$E$8,Sheet6!$F$4:$F$8 )</f>
        <v>4</v>
      </c>
    </row>
    <row r="142" spans="1:11" x14ac:dyDescent="0.25">
      <c r="A142" s="6" t="s">
        <v>100</v>
      </c>
      <c r="B142" s="6" t="s">
        <v>15</v>
      </c>
      <c r="C142">
        <v>19</v>
      </c>
      <c r="D142" t="s">
        <v>16</v>
      </c>
      <c r="E142" s="7">
        <v>44277</v>
      </c>
      <c r="F142" s="6" t="s">
        <v>9</v>
      </c>
      <c r="G142" s="26">
        <v>58960</v>
      </c>
      <c r="H142" t="s">
        <v>207</v>
      </c>
      <c r="I142" s="8">
        <f ca="1">(TODAY()-Table_staff[[#This Row],[Date Joined]])/365</f>
        <v>2.3698630136986303</v>
      </c>
      <c r="J142" s="26">
        <f ca="1">ROUNDUP(IF(Table_staff[[#This Row],[Tenure]]&gt;3,3%,2%)*Table_staff[[#This Row],[Salary]],0)</f>
        <v>1180</v>
      </c>
      <c r="K142">
        <f>_xlfn.XLOOKUP(Table_staff[[#This Row],[Rating]],Sheet6!$E$4:$E$8,Sheet6!$F$4:$F$8 )</f>
        <v>3</v>
      </c>
    </row>
    <row r="143" spans="1:11" x14ac:dyDescent="0.25">
      <c r="A143" s="6" t="s">
        <v>106</v>
      </c>
      <c r="B143" s="6" t="s">
        <v>15</v>
      </c>
      <c r="C143">
        <v>36</v>
      </c>
      <c r="D143" t="s">
        <v>16</v>
      </c>
      <c r="E143" s="7">
        <v>44019</v>
      </c>
      <c r="F143" s="6" t="s">
        <v>12</v>
      </c>
      <c r="G143" s="26">
        <v>118840</v>
      </c>
      <c r="H143" t="s">
        <v>207</v>
      </c>
      <c r="I143" s="8">
        <f ca="1">(TODAY()-Table_staff[[#This Row],[Date Joined]])/365</f>
        <v>3.0767123287671234</v>
      </c>
      <c r="J143" s="26">
        <f ca="1">ROUNDUP(IF(Table_staff[[#This Row],[Tenure]]&gt;3,3%,2%)*Table_staff[[#This Row],[Salary]],0)</f>
        <v>3566</v>
      </c>
      <c r="K143">
        <f>_xlfn.XLOOKUP(Table_staff[[#This Row],[Rating]],Sheet6!$E$4:$E$8,Sheet6!$F$4:$F$8 )</f>
        <v>3</v>
      </c>
    </row>
    <row r="144" spans="1:11" x14ac:dyDescent="0.25">
      <c r="A144" s="6" t="s">
        <v>29</v>
      </c>
      <c r="B144" s="6" t="s">
        <v>15</v>
      </c>
      <c r="C144">
        <v>28</v>
      </c>
      <c r="D144" t="s">
        <v>13</v>
      </c>
      <c r="E144" s="7">
        <v>44041</v>
      </c>
      <c r="F144" s="6" t="s">
        <v>21</v>
      </c>
      <c r="G144" s="26">
        <v>48170</v>
      </c>
      <c r="H144" t="s">
        <v>207</v>
      </c>
      <c r="I144" s="8">
        <f ca="1">(TODAY()-Table_staff[[#This Row],[Date Joined]])/365</f>
        <v>3.0164383561643837</v>
      </c>
      <c r="J144" s="26">
        <f ca="1">ROUNDUP(IF(Table_staff[[#This Row],[Tenure]]&gt;3,3%,2%)*Table_staff[[#This Row],[Salary]],0)</f>
        <v>1446</v>
      </c>
      <c r="K144">
        <f>_xlfn.XLOOKUP(Table_staff[[#This Row],[Rating]],Sheet6!$E$4:$E$8,Sheet6!$F$4:$F$8 )</f>
        <v>4</v>
      </c>
    </row>
    <row r="145" spans="1:11" x14ac:dyDescent="0.25">
      <c r="A145" s="6" t="s">
        <v>108</v>
      </c>
      <c r="B145" s="6" t="s">
        <v>8</v>
      </c>
      <c r="C145">
        <v>32</v>
      </c>
      <c r="D145" t="s">
        <v>16</v>
      </c>
      <c r="E145" s="7">
        <v>44400</v>
      </c>
      <c r="F145" s="6" t="s">
        <v>56</v>
      </c>
      <c r="G145" s="26">
        <v>45510</v>
      </c>
      <c r="H145" t="s">
        <v>207</v>
      </c>
      <c r="I145" s="8">
        <f ca="1">(TODAY()-Table_staff[[#This Row],[Date Joined]])/365</f>
        <v>2.032876712328767</v>
      </c>
      <c r="J145" s="26">
        <f ca="1">ROUNDUP(IF(Table_staff[[#This Row],[Tenure]]&gt;3,3%,2%)*Table_staff[[#This Row],[Salary]],0)</f>
        <v>911</v>
      </c>
      <c r="K145">
        <f>_xlfn.XLOOKUP(Table_staff[[#This Row],[Rating]],Sheet6!$E$4:$E$8,Sheet6!$F$4:$F$8 )</f>
        <v>3</v>
      </c>
    </row>
    <row r="146" spans="1:11" x14ac:dyDescent="0.25">
      <c r="A146" s="6" t="s">
        <v>83</v>
      </c>
      <c r="B146" s="6" t="s">
        <v>8</v>
      </c>
      <c r="C146">
        <v>36</v>
      </c>
      <c r="D146" t="s">
        <v>16</v>
      </c>
      <c r="E146" s="7">
        <v>44085</v>
      </c>
      <c r="F146" s="6" t="s">
        <v>9</v>
      </c>
      <c r="G146" s="26">
        <v>114890</v>
      </c>
      <c r="H146" t="s">
        <v>207</v>
      </c>
      <c r="I146" s="8">
        <f ca="1">(TODAY()-Table_staff[[#This Row],[Date Joined]])/365</f>
        <v>2.8958904109589043</v>
      </c>
      <c r="J146" s="26">
        <f ca="1">ROUNDUP(IF(Table_staff[[#This Row],[Tenure]]&gt;3,3%,2%)*Table_staff[[#This Row],[Salary]],0)</f>
        <v>2298</v>
      </c>
      <c r="K146">
        <f>_xlfn.XLOOKUP(Table_staff[[#This Row],[Rating]],Sheet6!$E$4:$E$8,Sheet6!$F$4:$F$8 )</f>
        <v>3</v>
      </c>
    </row>
    <row r="147" spans="1:11" x14ac:dyDescent="0.25">
      <c r="A147" s="6" t="s">
        <v>67</v>
      </c>
      <c r="B147" s="6" t="s">
        <v>15</v>
      </c>
      <c r="C147">
        <v>30</v>
      </c>
      <c r="D147" t="s">
        <v>16</v>
      </c>
      <c r="E147" s="7">
        <v>44850</v>
      </c>
      <c r="F147" s="6" t="s">
        <v>12</v>
      </c>
      <c r="G147" s="26">
        <v>69710</v>
      </c>
      <c r="H147" t="s">
        <v>207</v>
      </c>
      <c r="I147" s="8">
        <f ca="1">(TODAY()-Table_staff[[#This Row],[Date Joined]])/365</f>
        <v>0.8</v>
      </c>
      <c r="J147" s="26">
        <f ca="1">ROUNDUP(IF(Table_staff[[#This Row],[Tenure]]&gt;3,3%,2%)*Table_staff[[#This Row],[Salary]],0)</f>
        <v>1395</v>
      </c>
      <c r="K147">
        <f>_xlfn.XLOOKUP(Table_staff[[#This Row],[Rating]],Sheet6!$E$4:$E$8,Sheet6!$F$4:$F$8 )</f>
        <v>3</v>
      </c>
    </row>
    <row r="148" spans="1:11" x14ac:dyDescent="0.25">
      <c r="A148" s="6" t="s">
        <v>94</v>
      </c>
      <c r="B148" s="6" t="s">
        <v>15</v>
      </c>
      <c r="C148">
        <v>36</v>
      </c>
      <c r="D148" t="s">
        <v>16</v>
      </c>
      <c r="E148" s="7">
        <v>44333</v>
      </c>
      <c r="F148" s="6" t="s">
        <v>21</v>
      </c>
      <c r="G148" s="26">
        <v>71380</v>
      </c>
      <c r="H148" t="s">
        <v>207</v>
      </c>
      <c r="I148" s="8">
        <f ca="1">(TODAY()-Table_staff[[#This Row],[Date Joined]])/365</f>
        <v>2.2164383561643834</v>
      </c>
      <c r="J148" s="26">
        <f ca="1">ROUNDUP(IF(Table_staff[[#This Row],[Tenure]]&gt;3,3%,2%)*Table_staff[[#This Row],[Salary]],0)</f>
        <v>1428</v>
      </c>
      <c r="K148">
        <f>_xlfn.XLOOKUP(Table_staff[[#This Row],[Rating]],Sheet6!$E$4:$E$8,Sheet6!$F$4:$F$8 )</f>
        <v>3</v>
      </c>
    </row>
    <row r="149" spans="1:11" x14ac:dyDescent="0.25">
      <c r="A149" s="6" t="s">
        <v>33</v>
      </c>
      <c r="B149" s="6" t="s">
        <v>8</v>
      </c>
      <c r="C149">
        <v>38</v>
      </c>
      <c r="D149" t="s">
        <v>10</v>
      </c>
      <c r="E149" s="7">
        <v>44377</v>
      </c>
      <c r="F149" s="6" t="s">
        <v>19</v>
      </c>
      <c r="G149" s="26">
        <v>109160</v>
      </c>
      <c r="H149" t="s">
        <v>207</v>
      </c>
      <c r="I149" s="8">
        <f ca="1">(TODAY()-Table_staff[[#This Row],[Date Joined]])/365</f>
        <v>2.095890410958904</v>
      </c>
      <c r="J149" s="26">
        <f ca="1">ROUNDUP(IF(Table_staff[[#This Row],[Tenure]]&gt;3,3%,2%)*Table_staff[[#This Row],[Salary]],0)</f>
        <v>2184</v>
      </c>
      <c r="K149">
        <f>_xlfn.XLOOKUP(Table_staff[[#This Row],[Rating]],Sheet6!$E$4:$E$8,Sheet6!$F$4:$F$8 )</f>
        <v>5</v>
      </c>
    </row>
    <row r="150" spans="1:11" x14ac:dyDescent="0.25">
      <c r="A150" s="6" t="s">
        <v>98</v>
      </c>
      <c r="B150" s="6" t="s">
        <v>15</v>
      </c>
      <c r="C150">
        <v>27</v>
      </c>
      <c r="D150" t="s">
        <v>42</v>
      </c>
      <c r="E150" s="7">
        <v>44609</v>
      </c>
      <c r="F150" s="6" t="s">
        <v>9</v>
      </c>
      <c r="G150" s="26">
        <v>113280</v>
      </c>
      <c r="H150" t="s">
        <v>207</v>
      </c>
      <c r="I150" s="8">
        <f ca="1">(TODAY()-Table_staff[[#This Row],[Date Joined]])/365</f>
        <v>1.4602739726027398</v>
      </c>
      <c r="J150" s="26">
        <f ca="1">ROUNDUP(IF(Table_staff[[#This Row],[Tenure]]&gt;3,3%,2%)*Table_staff[[#This Row],[Salary]],0)</f>
        <v>2266</v>
      </c>
      <c r="K150">
        <f>_xlfn.XLOOKUP(Table_staff[[#This Row],[Rating]],Sheet6!$E$4:$E$8,Sheet6!$F$4:$F$8 )</f>
        <v>1</v>
      </c>
    </row>
    <row r="151" spans="1:11" x14ac:dyDescent="0.25">
      <c r="A151" s="6" t="s">
        <v>25</v>
      </c>
      <c r="B151" s="6" t="s">
        <v>15</v>
      </c>
      <c r="C151">
        <v>30</v>
      </c>
      <c r="D151" t="s">
        <v>16</v>
      </c>
      <c r="E151" s="7">
        <v>44273</v>
      </c>
      <c r="F151" s="6" t="s">
        <v>12</v>
      </c>
      <c r="G151" s="26">
        <v>69120</v>
      </c>
      <c r="H151" t="s">
        <v>207</v>
      </c>
      <c r="I151" s="8">
        <f ca="1">(TODAY()-Table_staff[[#This Row],[Date Joined]])/365</f>
        <v>2.3808219178082193</v>
      </c>
      <c r="J151" s="26">
        <f ca="1">ROUNDUP(IF(Table_staff[[#This Row],[Tenure]]&gt;3,3%,2%)*Table_staff[[#This Row],[Salary]],0)</f>
        <v>1383</v>
      </c>
      <c r="K151">
        <f>_xlfn.XLOOKUP(Table_staff[[#This Row],[Rating]],Sheet6!$E$4:$E$8,Sheet6!$F$4:$F$8 )</f>
        <v>3</v>
      </c>
    </row>
    <row r="152" spans="1:11" x14ac:dyDescent="0.25">
      <c r="A152" s="6" t="s">
        <v>55</v>
      </c>
      <c r="B152" s="6" t="s">
        <v>8</v>
      </c>
      <c r="C152">
        <v>37</v>
      </c>
      <c r="D152" t="s">
        <v>16</v>
      </c>
      <c r="E152" s="7">
        <v>44451</v>
      </c>
      <c r="F152" s="6" t="s">
        <v>56</v>
      </c>
      <c r="G152" s="26">
        <v>118100</v>
      </c>
      <c r="H152" t="s">
        <v>207</v>
      </c>
      <c r="I152" s="8">
        <f ca="1">(TODAY()-Table_staff[[#This Row],[Date Joined]])/365</f>
        <v>1.893150684931507</v>
      </c>
      <c r="J152" s="26">
        <f ca="1">ROUNDUP(IF(Table_staff[[#This Row],[Tenure]]&gt;3,3%,2%)*Table_staff[[#This Row],[Salary]],0)</f>
        <v>2362</v>
      </c>
      <c r="K152">
        <f>_xlfn.XLOOKUP(Table_staff[[#This Row],[Rating]],Sheet6!$E$4:$E$8,Sheet6!$F$4:$F$8 )</f>
        <v>3</v>
      </c>
    </row>
    <row r="153" spans="1:11" x14ac:dyDescent="0.25">
      <c r="A153" s="6" t="s">
        <v>62</v>
      </c>
      <c r="B153" s="6" t="s">
        <v>8</v>
      </c>
      <c r="C153">
        <v>22</v>
      </c>
      <c r="D153" t="s">
        <v>13</v>
      </c>
      <c r="E153" s="7">
        <v>44450</v>
      </c>
      <c r="F153" s="6" t="s">
        <v>9</v>
      </c>
      <c r="G153" s="26">
        <v>76900</v>
      </c>
      <c r="H153" t="s">
        <v>207</v>
      </c>
      <c r="I153" s="8">
        <f ca="1">(TODAY()-Table_staff[[#This Row],[Date Joined]])/365</f>
        <v>1.8958904109589041</v>
      </c>
      <c r="J153" s="26">
        <f ca="1">ROUNDUP(IF(Table_staff[[#This Row],[Tenure]]&gt;3,3%,2%)*Table_staff[[#This Row],[Salary]],0)</f>
        <v>1538</v>
      </c>
      <c r="K153">
        <f>_xlfn.XLOOKUP(Table_staff[[#This Row],[Rating]],Sheet6!$E$4:$E$8,Sheet6!$F$4:$F$8 )</f>
        <v>4</v>
      </c>
    </row>
    <row r="154" spans="1:11" x14ac:dyDescent="0.25">
      <c r="A154" s="6" t="s">
        <v>17</v>
      </c>
      <c r="B154" s="6" t="s">
        <v>8</v>
      </c>
      <c r="C154">
        <v>43</v>
      </c>
      <c r="D154" t="s">
        <v>16</v>
      </c>
      <c r="E154" s="7">
        <v>45045</v>
      </c>
      <c r="F154" s="6" t="s">
        <v>12</v>
      </c>
      <c r="G154" s="26">
        <v>114870</v>
      </c>
      <c r="H154" t="s">
        <v>207</v>
      </c>
      <c r="I154" s="8">
        <f ca="1">(TODAY()-Table_staff[[#This Row],[Date Joined]])/365</f>
        <v>0.26575342465753427</v>
      </c>
      <c r="J154" s="26">
        <f ca="1">ROUNDUP(IF(Table_staff[[#This Row],[Tenure]]&gt;3,3%,2%)*Table_staff[[#This Row],[Salary]],0)</f>
        <v>2298</v>
      </c>
      <c r="K154">
        <f>_xlfn.XLOOKUP(Table_staff[[#This Row],[Rating]],Sheet6!$E$4:$E$8,Sheet6!$F$4:$F$8 )</f>
        <v>3</v>
      </c>
    </row>
    <row r="155" spans="1:11" x14ac:dyDescent="0.25">
      <c r="A155" s="6" t="s">
        <v>52</v>
      </c>
      <c r="B155" s="6" t="s">
        <v>206</v>
      </c>
      <c r="C155">
        <v>32</v>
      </c>
      <c r="D155" t="s">
        <v>16</v>
      </c>
      <c r="E155" s="7">
        <v>44774</v>
      </c>
      <c r="F155" s="6" t="s">
        <v>12</v>
      </c>
      <c r="G155" s="26">
        <v>91310</v>
      </c>
      <c r="H155" t="s">
        <v>207</v>
      </c>
      <c r="I155" s="8">
        <f ca="1">(TODAY()-Table_staff[[#This Row],[Date Joined]])/365</f>
        <v>1.0082191780821919</v>
      </c>
      <c r="J155" s="26">
        <f ca="1">ROUNDUP(IF(Table_staff[[#This Row],[Tenure]]&gt;3,3%,2%)*Table_staff[[#This Row],[Salary]],0)</f>
        <v>1827</v>
      </c>
      <c r="K155">
        <f>_xlfn.XLOOKUP(Table_staff[[#This Row],[Rating]],Sheet6!$E$4:$E$8,Sheet6!$F$4:$F$8 )</f>
        <v>3</v>
      </c>
    </row>
    <row r="156" spans="1:11" x14ac:dyDescent="0.25">
      <c r="A156" s="6" t="s">
        <v>43</v>
      </c>
      <c r="B156" s="6" t="s">
        <v>8</v>
      </c>
      <c r="C156">
        <v>28</v>
      </c>
      <c r="D156" t="s">
        <v>16</v>
      </c>
      <c r="E156" s="7">
        <v>44486</v>
      </c>
      <c r="F156" s="6" t="s">
        <v>9</v>
      </c>
      <c r="G156" s="26">
        <v>104770</v>
      </c>
      <c r="H156" t="s">
        <v>207</v>
      </c>
      <c r="I156" s="8">
        <f ca="1">(TODAY()-Table_staff[[#This Row],[Date Joined]])/365</f>
        <v>1.7972602739726027</v>
      </c>
      <c r="J156" s="26">
        <f ca="1">ROUNDUP(IF(Table_staff[[#This Row],[Tenure]]&gt;3,3%,2%)*Table_staff[[#This Row],[Salary]],0)</f>
        <v>2096</v>
      </c>
      <c r="K156">
        <f>_xlfn.XLOOKUP(Table_staff[[#This Row],[Rating]],Sheet6!$E$4:$E$8,Sheet6!$F$4:$F$8 )</f>
        <v>3</v>
      </c>
    </row>
    <row r="157" spans="1:11" x14ac:dyDescent="0.25">
      <c r="A157" s="6" t="s">
        <v>89</v>
      </c>
      <c r="B157" s="6" t="s">
        <v>15</v>
      </c>
      <c r="C157">
        <v>27</v>
      </c>
      <c r="D157" t="s">
        <v>16</v>
      </c>
      <c r="E157" s="7">
        <v>44134</v>
      </c>
      <c r="F157" s="6" t="s">
        <v>19</v>
      </c>
      <c r="G157" s="26">
        <v>54970</v>
      </c>
      <c r="H157" t="s">
        <v>207</v>
      </c>
      <c r="I157" s="8">
        <f ca="1">(TODAY()-Table_staff[[#This Row],[Date Joined]])/365</f>
        <v>2.7616438356164386</v>
      </c>
      <c r="J157" s="26">
        <f ca="1">ROUNDUP(IF(Table_staff[[#This Row],[Tenure]]&gt;3,3%,2%)*Table_staff[[#This Row],[Salary]],0)</f>
        <v>1100</v>
      </c>
      <c r="K157">
        <f>_xlfn.XLOOKUP(Table_staff[[#This Row],[Rating]],Sheet6!$E$4:$E$8,Sheet6!$F$4:$F$8 )</f>
        <v>3</v>
      </c>
    </row>
    <row r="158" spans="1:11" x14ac:dyDescent="0.25">
      <c r="A158" s="6" t="s">
        <v>11</v>
      </c>
      <c r="B158" s="6" t="s">
        <v>206</v>
      </c>
      <c r="C158">
        <v>26</v>
      </c>
      <c r="D158" t="s">
        <v>13</v>
      </c>
      <c r="E158" s="7">
        <v>44271</v>
      </c>
      <c r="F158" s="6" t="s">
        <v>12</v>
      </c>
      <c r="G158" s="26">
        <v>90700</v>
      </c>
      <c r="H158" t="s">
        <v>207</v>
      </c>
      <c r="I158" s="8">
        <f ca="1">(TODAY()-Table_staff[[#This Row],[Date Joined]])/365</f>
        <v>2.3863013698630136</v>
      </c>
      <c r="J158" s="26">
        <f ca="1">ROUNDUP(IF(Table_staff[[#This Row],[Tenure]]&gt;3,3%,2%)*Table_staff[[#This Row],[Salary]],0)</f>
        <v>1814</v>
      </c>
      <c r="K158">
        <f>_xlfn.XLOOKUP(Table_staff[[#This Row],[Rating]],Sheet6!$E$4:$E$8,Sheet6!$F$4:$F$8 )</f>
        <v>4</v>
      </c>
    </row>
    <row r="159" spans="1:11" x14ac:dyDescent="0.25">
      <c r="A159" s="6" t="s">
        <v>109</v>
      </c>
      <c r="B159" s="6" t="s">
        <v>8</v>
      </c>
      <c r="C159">
        <v>38</v>
      </c>
      <c r="D159" t="s">
        <v>13</v>
      </c>
      <c r="E159" s="7">
        <v>44329</v>
      </c>
      <c r="F159" s="6" t="s">
        <v>19</v>
      </c>
      <c r="G159" s="26">
        <v>56870</v>
      </c>
      <c r="H159" t="s">
        <v>207</v>
      </c>
      <c r="I159" s="8">
        <f ca="1">(TODAY()-Table_staff[[#This Row],[Date Joined]])/365</f>
        <v>2.2273972602739724</v>
      </c>
      <c r="J159" s="26">
        <f ca="1">ROUNDUP(IF(Table_staff[[#This Row],[Tenure]]&gt;3,3%,2%)*Table_staff[[#This Row],[Salary]],0)</f>
        <v>1138</v>
      </c>
      <c r="K159">
        <f>_xlfn.XLOOKUP(Table_staff[[#This Row],[Rating]],Sheet6!$E$4:$E$8,Sheet6!$F$4:$F$8 )</f>
        <v>4</v>
      </c>
    </row>
    <row r="160" spans="1:11" x14ac:dyDescent="0.25">
      <c r="A160" s="6" t="s">
        <v>77</v>
      </c>
      <c r="B160" s="6" t="s">
        <v>8</v>
      </c>
      <c r="C160">
        <v>25</v>
      </c>
      <c r="D160" t="s">
        <v>16</v>
      </c>
      <c r="E160" s="7">
        <v>44205</v>
      </c>
      <c r="F160" s="6" t="s">
        <v>19</v>
      </c>
      <c r="G160" s="26">
        <v>92700</v>
      </c>
      <c r="H160" t="s">
        <v>207</v>
      </c>
      <c r="I160" s="8">
        <f ca="1">(TODAY()-Table_staff[[#This Row],[Date Joined]])/365</f>
        <v>2.5671232876712327</v>
      </c>
      <c r="J160" s="26">
        <f ca="1">ROUNDUP(IF(Table_staff[[#This Row],[Tenure]]&gt;3,3%,2%)*Table_staff[[#This Row],[Salary]],0)</f>
        <v>1854</v>
      </c>
      <c r="K160">
        <f>_xlfn.XLOOKUP(Table_staff[[#This Row],[Rating]],Sheet6!$E$4:$E$8,Sheet6!$F$4:$F$8 )</f>
        <v>3</v>
      </c>
    </row>
    <row r="161" spans="1:11" x14ac:dyDescent="0.25">
      <c r="A161" s="6" t="s">
        <v>32</v>
      </c>
      <c r="B161" s="6" t="s">
        <v>8</v>
      </c>
      <c r="C161">
        <v>21</v>
      </c>
      <c r="D161" t="s">
        <v>16</v>
      </c>
      <c r="E161" s="7">
        <v>44317</v>
      </c>
      <c r="F161" s="6" t="s">
        <v>21</v>
      </c>
      <c r="G161" s="26">
        <v>65920</v>
      </c>
      <c r="H161" t="s">
        <v>207</v>
      </c>
      <c r="I161" s="8">
        <f ca="1">(TODAY()-Table_staff[[#This Row],[Date Joined]])/365</f>
        <v>2.2602739726027399</v>
      </c>
      <c r="J161" s="26">
        <f ca="1">ROUNDUP(IF(Table_staff[[#This Row],[Tenure]]&gt;3,3%,2%)*Table_staff[[#This Row],[Salary]],0)</f>
        <v>1319</v>
      </c>
      <c r="K161">
        <f>_xlfn.XLOOKUP(Table_staff[[#This Row],[Rating]],Sheet6!$E$4:$E$8,Sheet6!$F$4:$F$8 )</f>
        <v>3</v>
      </c>
    </row>
    <row r="162" spans="1:11" x14ac:dyDescent="0.25">
      <c r="A162" s="6" t="s">
        <v>59</v>
      </c>
      <c r="B162" s="6" t="s">
        <v>15</v>
      </c>
      <c r="C162">
        <v>26</v>
      </c>
      <c r="D162" t="s">
        <v>16</v>
      </c>
      <c r="E162" s="7">
        <v>44225</v>
      </c>
      <c r="F162" s="6" t="s">
        <v>9</v>
      </c>
      <c r="G162" s="26">
        <v>47360</v>
      </c>
      <c r="H162" t="s">
        <v>207</v>
      </c>
      <c r="I162" s="8">
        <f ca="1">(TODAY()-Table_staff[[#This Row],[Date Joined]])/365</f>
        <v>2.5123287671232877</v>
      </c>
      <c r="J162" s="26">
        <f ca="1">ROUNDUP(IF(Table_staff[[#This Row],[Tenure]]&gt;3,3%,2%)*Table_staff[[#This Row],[Salary]],0)</f>
        <v>948</v>
      </c>
      <c r="K162">
        <f>_xlfn.XLOOKUP(Table_staff[[#This Row],[Rating]],Sheet6!$E$4:$E$8,Sheet6!$F$4:$F$8 )</f>
        <v>3</v>
      </c>
    </row>
    <row r="163" spans="1:11" x14ac:dyDescent="0.25">
      <c r="A163" s="6" t="s">
        <v>37</v>
      </c>
      <c r="B163" s="6" t="s">
        <v>15</v>
      </c>
      <c r="C163">
        <v>30</v>
      </c>
      <c r="D163" t="s">
        <v>16</v>
      </c>
      <c r="E163" s="7">
        <v>44666</v>
      </c>
      <c r="F163" s="6" t="s">
        <v>9</v>
      </c>
      <c r="G163" s="26">
        <v>60570</v>
      </c>
      <c r="H163" t="s">
        <v>207</v>
      </c>
      <c r="I163" s="8">
        <f ca="1">(TODAY()-Table_staff[[#This Row],[Date Joined]])/365</f>
        <v>1.3041095890410959</v>
      </c>
      <c r="J163" s="26">
        <f ca="1">ROUNDUP(IF(Table_staff[[#This Row],[Tenure]]&gt;3,3%,2%)*Table_staff[[#This Row],[Salary]],0)</f>
        <v>1212</v>
      </c>
      <c r="K163">
        <f>_xlfn.XLOOKUP(Table_staff[[#This Row],[Rating]],Sheet6!$E$4:$E$8,Sheet6!$F$4:$F$8 )</f>
        <v>3</v>
      </c>
    </row>
    <row r="164" spans="1:11" x14ac:dyDescent="0.25">
      <c r="A164" s="6" t="s">
        <v>96</v>
      </c>
      <c r="B164" s="6" t="s">
        <v>8</v>
      </c>
      <c r="C164">
        <v>28</v>
      </c>
      <c r="D164" t="s">
        <v>16</v>
      </c>
      <c r="E164" s="7">
        <v>44649</v>
      </c>
      <c r="F164" s="6" t="s">
        <v>9</v>
      </c>
      <c r="G164" s="26">
        <v>104120</v>
      </c>
      <c r="H164" t="s">
        <v>207</v>
      </c>
      <c r="I164" s="8">
        <f ca="1">(TODAY()-Table_staff[[#This Row],[Date Joined]])/365</f>
        <v>1.3506849315068492</v>
      </c>
      <c r="J164" s="26">
        <f ca="1">ROUNDUP(IF(Table_staff[[#This Row],[Tenure]]&gt;3,3%,2%)*Table_staff[[#This Row],[Salary]],0)</f>
        <v>2083</v>
      </c>
      <c r="K164">
        <f>_xlfn.XLOOKUP(Table_staff[[#This Row],[Rating]],Sheet6!$E$4:$E$8,Sheet6!$F$4:$F$8 )</f>
        <v>3</v>
      </c>
    </row>
    <row r="165" spans="1:11" x14ac:dyDescent="0.25">
      <c r="A165" s="6" t="s">
        <v>23</v>
      </c>
      <c r="B165" s="6" t="s">
        <v>15</v>
      </c>
      <c r="C165">
        <v>37</v>
      </c>
      <c r="D165" t="s">
        <v>24</v>
      </c>
      <c r="E165" s="7">
        <v>44338</v>
      </c>
      <c r="F165" s="6" t="s">
        <v>12</v>
      </c>
      <c r="G165" s="26">
        <v>88050</v>
      </c>
      <c r="H165" t="s">
        <v>207</v>
      </c>
      <c r="I165" s="8">
        <f ca="1">(TODAY()-Table_staff[[#This Row],[Date Joined]])/365</f>
        <v>2.2027397260273971</v>
      </c>
      <c r="J165" s="26">
        <f ca="1">ROUNDUP(IF(Table_staff[[#This Row],[Tenure]]&gt;3,3%,2%)*Table_staff[[#This Row],[Salary]],0)</f>
        <v>1761</v>
      </c>
      <c r="K165">
        <f>_xlfn.XLOOKUP(Table_staff[[#This Row],[Rating]],Sheet6!$E$4:$E$8,Sheet6!$F$4:$F$8 )</f>
        <v>2</v>
      </c>
    </row>
    <row r="166" spans="1:11" x14ac:dyDescent="0.25">
      <c r="A166" s="6" t="s">
        <v>103</v>
      </c>
      <c r="B166" s="6" t="s">
        <v>15</v>
      </c>
      <c r="C166">
        <v>24</v>
      </c>
      <c r="D166" t="s">
        <v>16</v>
      </c>
      <c r="E166" s="7">
        <v>44686</v>
      </c>
      <c r="F166" s="6" t="s">
        <v>12</v>
      </c>
      <c r="G166" s="26">
        <v>100420</v>
      </c>
      <c r="H166" t="s">
        <v>207</v>
      </c>
      <c r="I166" s="8">
        <f ca="1">(TODAY()-Table_staff[[#This Row],[Date Joined]])/365</f>
        <v>1.2493150684931507</v>
      </c>
      <c r="J166" s="26">
        <f ca="1">ROUNDUP(IF(Table_staff[[#This Row],[Tenure]]&gt;3,3%,2%)*Table_staff[[#This Row],[Salary]],0)</f>
        <v>2009</v>
      </c>
      <c r="K166">
        <f>_xlfn.XLOOKUP(Table_staff[[#This Row],[Rating]],Sheet6!$E$4:$E$8,Sheet6!$F$4:$F$8 )</f>
        <v>3</v>
      </c>
    </row>
    <row r="167" spans="1:11" x14ac:dyDescent="0.25">
      <c r="A167" s="6" t="s">
        <v>54</v>
      </c>
      <c r="B167" s="6" t="s">
        <v>8</v>
      </c>
      <c r="C167">
        <v>30</v>
      </c>
      <c r="D167" t="s">
        <v>16</v>
      </c>
      <c r="E167" s="7">
        <v>44850</v>
      </c>
      <c r="F167" s="6" t="s">
        <v>9</v>
      </c>
      <c r="G167" s="26">
        <v>114180</v>
      </c>
      <c r="H167" t="s">
        <v>207</v>
      </c>
      <c r="I167" s="8">
        <f ca="1">(TODAY()-Table_staff[[#This Row],[Date Joined]])/365</f>
        <v>0.8</v>
      </c>
      <c r="J167" s="26">
        <f ca="1">ROUNDUP(IF(Table_staff[[#This Row],[Tenure]]&gt;3,3%,2%)*Table_staff[[#This Row],[Salary]],0)</f>
        <v>2284</v>
      </c>
      <c r="K167">
        <f>_xlfn.XLOOKUP(Table_staff[[#This Row],[Rating]],Sheet6!$E$4:$E$8,Sheet6!$F$4:$F$8 )</f>
        <v>3</v>
      </c>
    </row>
    <row r="168" spans="1:11" x14ac:dyDescent="0.25">
      <c r="A168" s="6" t="s">
        <v>86</v>
      </c>
      <c r="B168" s="6" t="s">
        <v>8</v>
      </c>
      <c r="C168">
        <v>21</v>
      </c>
      <c r="D168" t="s">
        <v>16</v>
      </c>
      <c r="E168" s="7">
        <v>44678</v>
      </c>
      <c r="F168" s="6" t="s">
        <v>12</v>
      </c>
      <c r="G168" s="26">
        <v>33920</v>
      </c>
      <c r="H168" t="s">
        <v>207</v>
      </c>
      <c r="I168" s="8">
        <f ca="1">(TODAY()-Table_staff[[#This Row],[Date Joined]])/365</f>
        <v>1.2712328767123289</v>
      </c>
      <c r="J168" s="26">
        <f ca="1">ROUNDUP(IF(Table_staff[[#This Row],[Tenure]]&gt;3,3%,2%)*Table_staff[[#This Row],[Salary]],0)</f>
        <v>679</v>
      </c>
      <c r="K168">
        <f>_xlfn.XLOOKUP(Table_staff[[#This Row],[Rating]],Sheet6!$E$4:$E$8,Sheet6!$F$4:$F$8 )</f>
        <v>3</v>
      </c>
    </row>
    <row r="169" spans="1:11" x14ac:dyDescent="0.25">
      <c r="A169" s="6" t="s">
        <v>69</v>
      </c>
      <c r="B169" s="6" t="s">
        <v>15</v>
      </c>
      <c r="C169">
        <v>23</v>
      </c>
      <c r="D169" t="s">
        <v>16</v>
      </c>
      <c r="E169" s="7">
        <v>44440</v>
      </c>
      <c r="F169" s="6" t="s">
        <v>9</v>
      </c>
      <c r="G169" s="26">
        <v>106460</v>
      </c>
      <c r="H169" t="s">
        <v>207</v>
      </c>
      <c r="I169" s="8">
        <f ca="1">(TODAY()-Table_staff[[#This Row],[Date Joined]])/365</f>
        <v>1.9232876712328768</v>
      </c>
      <c r="J169" s="26">
        <f ca="1">ROUNDUP(IF(Table_staff[[#This Row],[Tenure]]&gt;3,3%,2%)*Table_staff[[#This Row],[Salary]],0)</f>
        <v>2130</v>
      </c>
      <c r="K169">
        <f>_xlfn.XLOOKUP(Table_staff[[#This Row],[Rating]],Sheet6!$E$4:$E$8,Sheet6!$F$4:$F$8 )</f>
        <v>3</v>
      </c>
    </row>
    <row r="170" spans="1:11" x14ac:dyDescent="0.25">
      <c r="A170" s="6" t="s">
        <v>57</v>
      </c>
      <c r="B170" s="6" t="s">
        <v>15</v>
      </c>
      <c r="C170">
        <v>35</v>
      </c>
      <c r="D170" t="s">
        <v>16</v>
      </c>
      <c r="E170" s="7">
        <v>44727</v>
      </c>
      <c r="F170" s="6" t="s">
        <v>9</v>
      </c>
      <c r="G170" s="26">
        <v>40400</v>
      </c>
      <c r="H170" t="s">
        <v>207</v>
      </c>
      <c r="I170" s="8">
        <f ca="1">(TODAY()-Table_staff[[#This Row],[Date Joined]])/365</f>
        <v>1.1369863013698631</v>
      </c>
      <c r="J170" s="26">
        <f ca="1">ROUNDUP(IF(Table_staff[[#This Row],[Tenure]]&gt;3,3%,2%)*Table_staff[[#This Row],[Salary]],0)</f>
        <v>808</v>
      </c>
      <c r="K170">
        <f>_xlfn.XLOOKUP(Table_staff[[#This Row],[Rating]],Sheet6!$E$4:$E$8,Sheet6!$F$4:$F$8 )</f>
        <v>3</v>
      </c>
    </row>
    <row r="171" spans="1:11" x14ac:dyDescent="0.25">
      <c r="A171" s="6" t="s">
        <v>68</v>
      </c>
      <c r="B171" s="6" t="s">
        <v>15</v>
      </c>
      <c r="C171">
        <v>27</v>
      </c>
      <c r="D171" t="s">
        <v>13</v>
      </c>
      <c r="E171" s="7">
        <v>44236</v>
      </c>
      <c r="F171" s="6" t="s">
        <v>21</v>
      </c>
      <c r="G171" s="26">
        <v>91650</v>
      </c>
      <c r="H171" t="s">
        <v>207</v>
      </c>
      <c r="I171" s="8">
        <f ca="1">(TODAY()-Table_staff[[#This Row],[Date Joined]])/365</f>
        <v>2.4821917808219176</v>
      </c>
      <c r="J171" s="26">
        <f ca="1">ROUNDUP(IF(Table_staff[[#This Row],[Tenure]]&gt;3,3%,2%)*Table_staff[[#This Row],[Salary]],0)</f>
        <v>1833</v>
      </c>
      <c r="K171">
        <f>_xlfn.XLOOKUP(Table_staff[[#This Row],[Rating]],Sheet6!$E$4:$E$8,Sheet6!$F$4:$F$8 )</f>
        <v>4</v>
      </c>
    </row>
    <row r="172" spans="1:11" x14ac:dyDescent="0.25">
      <c r="A172" s="6" t="s">
        <v>99</v>
      </c>
      <c r="B172" s="6" t="s">
        <v>15</v>
      </c>
      <c r="C172">
        <v>43</v>
      </c>
      <c r="D172" t="s">
        <v>16</v>
      </c>
      <c r="E172" s="7">
        <v>44620</v>
      </c>
      <c r="F172" s="6" t="s">
        <v>19</v>
      </c>
      <c r="G172" s="26">
        <v>36040</v>
      </c>
      <c r="H172" t="s">
        <v>207</v>
      </c>
      <c r="I172" s="8">
        <f ca="1">(TODAY()-Table_staff[[#This Row],[Date Joined]])/365</f>
        <v>1.4301369863013698</v>
      </c>
      <c r="J172" s="26">
        <f ca="1">ROUNDUP(IF(Table_staff[[#This Row],[Tenure]]&gt;3,3%,2%)*Table_staff[[#This Row],[Salary]],0)</f>
        <v>721</v>
      </c>
      <c r="K172">
        <f>_xlfn.XLOOKUP(Table_staff[[#This Row],[Rating]],Sheet6!$E$4:$E$8,Sheet6!$F$4:$F$8 )</f>
        <v>3</v>
      </c>
    </row>
    <row r="173" spans="1:11" x14ac:dyDescent="0.25">
      <c r="A173" s="6" t="s">
        <v>101</v>
      </c>
      <c r="B173" s="6" t="s">
        <v>8</v>
      </c>
      <c r="C173">
        <v>40</v>
      </c>
      <c r="D173" t="s">
        <v>16</v>
      </c>
      <c r="E173" s="7">
        <v>44381</v>
      </c>
      <c r="F173" s="6" t="s">
        <v>12</v>
      </c>
      <c r="G173" s="26">
        <v>104410</v>
      </c>
      <c r="H173" t="s">
        <v>207</v>
      </c>
      <c r="I173" s="8">
        <f ca="1">(TODAY()-Table_staff[[#This Row],[Date Joined]])/365</f>
        <v>2.0849315068493151</v>
      </c>
      <c r="J173" s="26">
        <f ca="1">ROUNDUP(IF(Table_staff[[#This Row],[Tenure]]&gt;3,3%,2%)*Table_staff[[#This Row],[Salary]],0)</f>
        <v>2089</v>
      </c>
      <c r="K173">
        <f>_xlfn.XLOOKUP(Table_staff[[#This Row],[Rating]],Sheet6!$E$4:$E$8,Sheet6!$F$4:$F$8 )</f>
        <v>3</v>
      </c>
    </row>
    <row r="174" spans="1:11" x14ac:dyDescent="0.25">
      <c r="A174" s="6" t="s">
        <v>85</v>
      </c>
      <c r="B174" s="6" t="s">
        <v>15</v>
      </c>
      <c r="C174">
        <v>30</v>
      </c>
      <c r="D174" t="s">
        <v>16</v>
      </c>
      <c r="E174" s="7">
        <v>44606</v>
      </c>
      <c r="F174" s="6" t="s">
        <v>21</v>
      </c>
      <c r="G174" s="26">
        <v>96800</v>
      </c>
      <c r="H174" t="s">
        <v>207</v>
      </c>
      <c r="I174" s="8">
        <f ca="1">(TODAY()-Table_staff[[#This Row],[Date Joined]])/365</f>
        <v>1.4684931506849315</v>
      </c>
      <c r="J174" s="26">
        <f ca="1">ROUNDUP(IF(Table_staff[[#This Row],[Tenure]]&gt;3,3%,2%)*Table_staff[[#This Row],[Salary]],0)</f>
        <v>1936</v>
      </c>
      <c r="K174">
        <f>_xlfn.XLOOKUP(Table_staff[[#This Row],[Rating]],Sheet6!$E$4:$E$8,Sheet6!$F$4:$F$8 )</f>
        <v>3</v>
      </c>
    </row>
    <row r="175" spans="1:11" x14ac:dyDescent="0.25">
      <c r="A175" s="6" t="s">
        <v>28</v>
      </c>
      <c r="B175" s="6" t="s">
        <v>8</v>
      </c>
      <c r="C175">
        <v>34</v>
      </c>
      <c r="D175" t="s">
        <v>16</v>
      </c>
      <c r="E175" s="7">
        <v>44459</v>
      </c>
      <c r="F175" s="6" t="s">
        <v>21</v>
      </c>
      <c r="G175" s="26">
        <v>85000</v>
      </c>
      <c r="H175" t="s">
        <v>207</v>
      </c>
      <c r="I175" s="8">
        <f ca="1">(TODAY()-Table_staff[[#This Row],[Date Joined]])/365</f>
        <v>1.8712328767123287</v>
      </c>
      <c r="J175" s="26">
        <f ca="1">ROUNDUP(IF(Table_staff[[#This Row],[Tenure]]&gt;3,3%,2%)*Table_staff[[#This Row],[Salary]],0)</f>
        <v>1700</v>
      </c>
      <c r="K175">
        <f>_xlfn.XLOOKUP(Table_staff[[#This Row],[Rating]],Sheet6!$E$4:$E$8,Sheet6!$F$4:$F$8 )</f>
        <v>3</v>
      </c>
    </row>
    <row r="176" spans="1:11" x14ac:dyDescent="0.25">
      <c r="A176" s="6" t="s">
        <v>80</v>
      </c>
      <c r="B176" s="6" t="s">
        <v>15</v>
      </c>
      <c r="C176">
        <v>28</v>
      </c>
      <c r="D176" t="s">
        <v>42</v>
      </c>
      <c r="E176" s="7">
        <v>44820</v>
      </c>
      <c r="F176" s="6" t="s">
        <v>19</v>
      </c>
      <c r="G176" s="26">
        <v>43510</v>
      </c>
      <c r="H176" t="s">
        <v>207</v>
      </c>
      <c r="I176" s="8">
        <f ca="1">(TODAY()-Table_staff[[#This Row],[Date Joined]])/365</f>
        <v>0.88219178082191785</v>
      </c>
      <c r="J176" s="26">
        <f ca="1">ROUNDUP(IF(Table_staff[[#This Row],[Tenure]]&gt;3,3%,2%)*Table_staff[[#This Row],[Salary]],0)</f>
        <v>871</v>
      </c>
      <c r="K176">
        <f>_xlfn.XLOOKUP(Table_staff[[#This Row],[Rating]],Sheet6!$E$4:$E$8,Sheet6!$F$4:$F$8 )</f>
        <v>1</v>
      </c>
    </row>
    <row r="177" spans="1:11" x14ac:dyDescent="0.25">
      <c r="A177" s="6" t="s">
        <v>79</v>
      </c>
      <c r="B177" s="6" t="s">
        <v>15</v>
      </c>
      <c r="C177">
        <v>33</v>
      </c>
      <c r="D177" t="s">
        <v>16</v>
      </c>
      <c r="E177" s="7">
        <v>44243</v>
      </c>
      <c r="F177" s="6" t="s">
        <v>21</v>
      </c>
      <c r="G177" s="26">
        <v>59430</v>
      </c>
      <c r="H177" t="s">
        <v>207</v>
      </c>
      <c r="I177" s="8">
        <f ca="1">(TODAY()-Table_staff[[#This Row],[Date Joined]])/365</f>
        <v>2.463013698630137</v>
      </c>
      <c r="J177" s="26">
        <f ca="1">ROUNDUP(IF(Table_staff[[#This Row],[Tenure]]&gt;3,3%,2%)*Table_staff[[#This Row],[Salary]],0)</f>
        <v>1189</v>
      </c>
      <c r="K177">
        <f>_xlfn.XLOOKUP(Table_staff[[#This Row],[Rating]],Sheet6!$E$4:$E$8,Sheet6!$F$4:$F$8 )</f>
        <v>3</v>
      </c>
    </row>
    <row r="178" spans="1:11" x14ac:dyDescent="0.25">
      <c r="A178" s="6" t="s">
        <v>93</v>
      </c>
      <c r="B178" s="6" t="s">
        <v>8</v>
      </c>
      <c r="C178">
        <v>33</v>
      </c>
      <c r="D178" t="s">
        <v>16</v>
      </c>
      <c r="E178" s="7">
        <v>44067</v>
      </c>
      <c r="F178" s="6" t="s">
        <v>21</v>
      </c>
      <c r="G178" s="26">
        <v>65360</v>
      </c>
      <c r="H178" t="s">
        <v>207</v>
      </c>
      <c r="I178" s="8">
        <f ca="1">(TODAY()-Table_staff[[#This Row],[Date Joined]])/365</f>
        <v>2.9452054794520546</v>
      </c>
      <c r="J178" s="26">
        <f ca="1">ROUNDUP(IF(Table_staff[[#This Row],[Tenure]]&gt;3,3%,2%)*Table_staff[[#This Row],[Salary]],0)</f>
        <v>1308</v>
      </c>
      <c r="K178">
        <f>_xlfn.XLOOKUP(Table_staff[[#This Row],[Rating]],Sheet6!$E$4:$E$8,Sheet6!$F$4:$F$8 )</f>
        <v>3</v>
      </c>
    </row>
    <row r="179" spans="1:11" x14ac:dyDescent="0.25">
      <c r="A179" s="6" t="s">
        <v>66</v>
      </c>
      <c r="B179" s="6" t="s">
        <v>8</v>
      </c>
      <c r="C179">
        <v>32</v>
      </c>
      <c r="D179" t="s">
        <v>16</v>
      </c>
      <c r="E179" s="7">
        <v>44611</v>
      </c>
      <c r="F179" s="6" t="s">
        <v>9</v>
      </c>
      <c r="G179" s="26">
        <v>41570</v>
      </c>
      <c r="H179" t="s">
        <v>207</v>
      </c>
      <c r="I179" s="8">
        <f ca="1">(TODAY()-Table_staff[[#This Row],[Date Joined]])/365</f>
        <v>1.4547945205479451</v>
      </c>
      <c r="J179" s="26">
        <f ca="1">ROUNDUP(IF(Table_staff[[#This Row],[Tenure]]&gt;3,3%,2%)*Table_staff[[#This Row],[Salary]],0)</f>
        <v>832</v>
      </c>
      <c r="K179">
        <f>_xlfn.XLOOKUP(Table_staff[[#This Row],[Rating]],Sheet6!$E$4:$E$8,Sheet6!$F$4:$F$8 )</f>
        <v>3</v>
      </c>
    </row>
    <row r="180" spans="1:11" x14ac:dyDescent="0.25">
      <c r="A180" s="6" t="s">
        <v>95</v>
      </c>
      <c r="B180" s="6" t="s">
        <v>8</v>
      </c>
      <c r="C180">
        <v>33</v>
      </c>
      <c r="D180" t="s">
        <v>16</v>
      </c>
      <c r="E180" s="7">
        <v>44312</v>
      </c>
      <c r="F180" s="6" t="s">
        <v>12</v>
      </c>
      <c r="G180" s="26">
        <v>75280</v>
      </c>
      <c r="H180" t="s">
        <v>207</v>
      </c>
      <c r="I180" s="8">
        <f ca="1">(TODAY()-Table_staff[[#This Row],[Date Joined]])/365</f>
        <v>2.2739726027397262</v>
      </c>
      <c r="J180" s="26">
        <f ca="1">ROUNDUP(IF(Table_staff[[#This Row],[Tenure]]&gt;3,3%,2%)*Table_staff[[#This Row],[Salary]],0)</f>
        <v>1506</v>
      </c>
      <c r="K180">
        <f>_xlfn.XLOOKUP(Table_staff[[#This Row],[Rating]],Sheet6!$E$4:$E$8,Sheet6!$F$4:$F$8 )</f>
        <v>3</v>
      </c>
    </row>
    <row r="181" spans="1:11" x14ac:dyDescent="0.25">
      <c r="A181" s="6" t="s">
        <v>18</v>
      </c>
      <c r="B181" s="6" t="s">
        <v>15</v>
      </c>
      <c r="C181">
        <v>33</v>
      </c>
      <c r="D181" t="s">
        <v>16</v>
      </c>
      <c r="E181" s="7">
        <v>44385</v>
      </c>
      <c r="F181" s="6" t="s">
        <v>19</v>
      </c>
      <c r="G181" s="26">
        <v>74550</v>
      </c>
      <c r="H181" t="s">
        <v>207</v>
      </c>
      <c r="I181" s="8">
        <f ca="1">(TODAY()-Table_staff[[#This Row],[Date Joined]])/365</f>
        <v>2.0739726027397261</v>
      </c>
      <c r="J181" s="26">
        <f ca="1">ROUNDUP(IF(Table_staff[[#This Row],[Tenure]]&gt;3,3%,2%)*Table_staff[[#This Row],[Salary]],0)</f>
        <v>1491</v>
      </c>
      <c r="K181">
        <f>_xlfn.XLOOKUP(Table_staff[[#This Row],[Rating]],Sheet6!$E$4:$E$8,Sheet6!$F$4:$F$8 )</f>
        <v>3</v>
      </c>
    </row>
    <row r="182" spans="1:11" x14ac:dyDescent="0.25">
      <c r="A182" s="6" t="s">
        <v>45</v>
      </c>
      <c r="B182" s="6" t="s">
        <v>15</v>
      </c>
      <c r="C182">
        <v>30</v>
      </c>
      <c r="D182" t="s">
        <v>16</v>
      </c>
      <c r="E182" s="7">
        <v>44701</v>
      </c>
      <c r="F182" s="6" t="s">
        <v>9</v>
      </c>
      <c r="G182" s="26">
        <v>67950</v>
      </c>
      <c r="H182" t="s">
        <v>207</v>
      </c>
      <c r="I182" s="8">
        <f ca="1">(TODAY()-Table_staff[[#This Row],[Date Joined]])/365</f>
        <v>1.2082191780821918</v>
      </c>
      <c r="J182" s="26">
        <f ca="1">ROUNDUP(IF(Table_staff[[#This Row],[Tenure]]&gt;3,3%,2%)*Table_staff[[#This Row],[Salary]],0)</f>
        <v>1359</v>
      </c>
      <c r="K182">
        <f>_xlfn.XLOOKUP(Table_staff[[#This Row],[Rating]],Sheet6!$E$4:$E$8,Sheet6!$F$4:$F$8 )</f>
        <v>3</v>
      </c>
    </row>
    <row r="183" spans="1:11" x14ac:dyDescent="0.25">
      <c r="A183" s="6" t="s">
        <v>90</v>
      </c>
      <c r="B183" s="6" t="s">
        <v>15</v>
      </c>
      <c r="C183">
        <v>42</v>
      </c>
      <c r="D183" t="s">
        <v>24</v>
      </c>
      <c r="E183" s="7">
        <v>44731</v>
      </c>
      <c r="F183" s="6" t="s">
        <v>21</v>
      </c>
      <c r="G183" s="26">
        <v>70270</v>
      </c>
      <c r="H183" t="s">
        <v>207</v>
      </c>
      <c r="I183" s="8">
        <f ca="1">(TODAY()-Table_staff[[#This Row],[Date Joined]])/365</f>
        <v>1.1260273972602739</v>
      </c>
      <c r="J183" s="26">
        <f ca="1">ROUNDUP(IF(Table_staff[[#This Row],[Tenure]]&gt;3,3%,2%)*Table_staff[[#This Row],[Salary]],0)</f>
        <v>1406</v>
      </c>
      <c r="K183">
        <f>_xlfn.XLOOKUP(Table_staff[[#This Row],[Rating]],Sheet6!$E$4:$E$8,Sheet6!$F$4:$F$8 )</f>
        <v>2</v>
      </c>
    </row>
    <row r="184" spans="1:11" x14ac:dyDescent="0.25">
      <c r="A184" s="6" t="s">
        <v>46</v>
      </c>
      <c r="B184" s="6" t="s">
        <v>15</v>
      </c>
      <c r="C184">
        <v>26</v>
      </c>
      <c r="D184" t="s">
        <v>16</v>
      </c>
      <c r="E184" s="7">
        <v>44411</v>
      </c>
      <c r="F184" s="6" t="s">
        <v>9</v>
      </c>
      <c r="G184" s="26">
        <v>53540</v>
      </c>
      <c r="H184" t="s">
        <v>207</v>
      </c>
      <c r="I184" s="8">
        <f ca="1">(TODAY()-Table_staff[[#This Row],[Date Joined]])/365</f>
        <v>2.0027397260273974</v>
      </c>
      <c r="J184" s="26">
        <f ca="1">ROUNDUP(IF(Table_staff[[#This Row],[Tenure]]&gt;3,3%,2%)*Table_staff[[#This Row],[Salary]],0)</f>
        <v>1071</v>
      </c>
      <c r="K184">
        <f>_xlfn.XLOOKUP(Table_staff[[#This Row],[Rating]],Sheet6!$E$4:$E$8,Sheet6!$F$4:$F$8 )</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6816-588C-466F-A686-A8738D1A878C}">
  <sheetPr>
    <tabColor theme="4"/>
  </sheetPr>
  <dimension ref="A2:D46"/>
  <sheetViews>
    <sheetView workbookViewId="0">
      <selection activeCell="F5" sqref="F5"/>
    </sheetView>
  </sheetViews>
  <sheetFormatPr defaultRowHeight="15" x14ac:dyDescent="0.25"/>
  <cols>
    <col min="2" max="2" width="21" bestFit="1" customWidth="1"/>
  </cols>
  <sheetData>
    <row r="2" spans="1:4" x14ac:dyDescent="0.25">
      <c r="A2" s="13">
        <v>3</v>
      </c>
      <c r="B2" s="13" t="s">
        <v>219</v>
      </c>
    </row>
    <row r="4" spans="1:4" x14ac:dyDescent="0.25">
      <c r="B4" s="24" t="s">
        <v>2</v>
      </c>
      <c r="C4" s="23" t="s">
        <v>21</v>
      </c>
    </row>
    <row r="6" spans="1:4" x14ac:dyDescent="0.25">
      <c r="B6" t="s">
        <v>220</v>
      </c>
      <c r="C6">
        <f>COUNTIFS(Table_staff[Department],C4)</f>
        <v>38</v>
      </c>
    </row>
    <row r="8" spans="1:4" x14ac:dyDescent="0.25">
      <c r="B8" s="22" t="s">
        <v>0</v>
      </c>
      <c r="C8" s="22" t="s">
        <v>5</v>
      </c>
      <c r="D8" s="22" t="s">
        <v>6</v>
      </c>
    </row>
    <row r="9" spans="1:4" x14ac:dyDescent="0.25">
      <c r="B9" s="17" t="str" cm="1">
        <f t="array" aca="1" ref="B9:D46" ca="1">_xlfn.CHOOSECOLS(_xlfn._xlws.FILTER(Table_staff[], Table_staff[Department]=C4),1,7,3)</f>
        <v>Sahila Chandrasekhar</v>
      </c>
      <c r="C9" s="17">
        <f ca="1"/>
        <v>115440</v>
      </c>
      <c r="D9" s="17">
        <f ca="1"/>
        <v>37</v>
      </c>
    </row>
    <row r="10" spans="1:4" x14ac:dyDescent="0.25">
      <c r="B10" s="17" t="str">
        <f ca="1"/>
        <v>Mithil Nadkarni</v>
      </c>
      <c r="C10" s="17">
        <f ca="1"/>
        <v>96800</v>
      </c>
      <c r="D10" s="17">
        <f ca="1"/>
        <v>30</v>
      </c>
    </row>
    <row r="11" spans="1:4" x14ac:dyDescent="0.25">
      <c r="B11" s="17" t="str">
        <f ca="1"/>
        <v>Ardhendu Abhichandra Jayakar</v>
      </c>
      <c r="C11" s="17">
        <f ca="1"/>
        <v>48170</v>
      </c>
      <c r="D11" s="17">
        <f ca="1"/>
        <v>28</v>
      </c>
    </row>
    <row r="12" spans="1:4" x14ac:dyDescent="0.25">
      <c r="B12" s="17" t="str">
        <f ca="1"/>
        <v>Agrata Rajarama</v>
      </c>
      <c r="C12" s="17">
        <f ca="1"/>
        <v>65920</v>
      </c>
      <c r="D12" s="17">
        <f ca="1"/>
        <v>21</v>
      </c>
    </row>
    <row r="13" spans="1:4" x14ac:dyDescent="0.25">
      <c r="B13" s="17" t="str">
        <f ca="1"/>
        <v>Gumwant Veera</v>
      </c>
      <c r="C13" s="17">
        <f ca="1"/>
        <v>52610</v>
      </c>
      <c r="D13" s="17">
        <f ca="1"/>
        <v>24</v>
      </c>
    </row>
    <row r="14" spans="1:4" x14ac:dyDescent="0.25">
      <c r="B14" s="17" t="str">
        <f ca="1"/>
        <v>Vanmala Shriharsha</v>
      </c>
      <c r="C14" s="17">
        <f ca="1"/>
        <v>48980</v>
      </c>
      <c r="D14" s="17">
        <f ca="1"/>
        <v>27</v>
      </c>
    </row>
    <row r="15" spans="1:4" x14ac:dyDescent="0.25">
      <c r="B15" s="17" t="str">
        <f ca="1"/>
        <v>Tarala Vishaal</v>
      </c>
      <c r="C15" s="17">
        <f ca="1"/>
        <v>85000</v>
      </c>
      <c r="D15" s="17">
        <f ca="1"/>
        <v>34</v>
      </c>
    </row>
    <row r="16" spans="1:4" x14ac:dyDescent="0.25">
      <c r="B16" s="17" t="str">
        <f ca="1"/>
        <v>Krittika Gaekwad</v>
      </c>
      <c r="C16" s="17">
        <f ca="1"/>
        <v>58940</v>
      </c>
      <c r="D16" s="17">
        <f ca="1"/>
        <v>34</v>
      </c>
    </row>
    <row r="17" spans="2:4" x14ac:dyDescent="0.25">
      <c r="B17" s="17" t="str">
        <f ca="1"/>
        <v>Kamalakshi Mukundan</v>
      </c>
      <c r="C17" s="17">
        <f ca="1"/>
        <v>91650</v>
      </c>
      <c r="D17" s="17">
        <f ca="1"/>
        <v>27</v>
      </c>
    </row>
    <row r="18" spans="2:4" x14ac:dyDescent="0.25">
      <c r="B18" s="17" t="str">
        <f ca="1"/>
        <v>Chandana Sannidhi Surnilla</v>
      </c>
      <c r="C18" s="17">
        <f ca="1"/>
        <v>70270</v>
      </c>
      <c r="D18" s="17">
        <f ca="1"/>
        <v>42</v>
      </c>
    </row>
    <row r="19" spans="2:4" x14ac:dyDescent="0.25">
      <c r="B19" s="17" t="str">
        <f ca="1"/>
        <v>Indu Varada Sumedh</v>
      </c>
      <c r="C19" s="17">
        <f ca="1"/>
        <v>75970</v>
      </c>
      <c r="D19" s="17">
        <f ca="1"/>
        <v>28</v>
      </c>
    </row>
    <row r="20" spans="2:4" x14ac:dyDescent="0.25">
      <c r="B20" s="17" t="str">
        <f ca="1"/>
        <v>Kevalkumar Solanki</v>
      </c>
      <c r="C20" s="17">
        <f ca="1"/>
        <v>65360</v>
      </c>
      <c r="D20" s="17">
        <f ca="1"/>
        <v>33</v>
      </c>
    </row>
    <row r="21" spans="2:4" x14ac:dyDescent="0.25">
      <c r="B21" s="17" t="str">
        <f ca="1"/>
        <v>Upendra Swati</v>
      </c>
      <c r="C21" s="17">
        <f ca="1"/>
        <v>64000</v>
      </c>
      <c r="D21" s="17">
        <f ca="1"/>
        <v>30</v>
      </c>
    </row>
    <row r="22" spans="2:4" x14ac:dyDescent="0.25">
      <c r="B22" s="17" t="str">
        <f ca="1"/>
        <v>Deepit Ranjana</v>
      </c>
      <c r="C22" s="17">
        <f ca="1"/>
        <v>92450</v>
      </c>
      <c r="D22" s="17">
        <f ca="1"/>
        <v>34</v>
      </c>
    </row>
    <row r="23" spans="2:4" x14ac:dyDescent="0.25">
      <c r="B23" s="17" t="str">
        <f ca="1"/>
        <v>Kulbhushan Moorthy</v>
      </c>
      <c r="C23" s="17">
        <f ca="1"/>
        <v>71380</v>
      </c>
      <c r="D23" s="17">
        <f ca="1"/>
        <v>36</v>
      </c>
    </row>
    <row r="24" spans="2:4" x14ac:dyDescent="0.25">
      <c r="B24" s="17" t="str">
        <f ca="1"/>
        <v>Madhumati Gazala Soumitra</v>
      </c>
      <c r="C24" s="17">
        <f ca="1"/>
        <v>86570</v>
      </c>
      <c r="D24" s="17">
        <f ca="1"/>
        <v>33</v>
      </c>
    </row>
    <row r="25" spans="2:4" x14ac:dyDescent="0.25">
      <c r="B25" s="17" t="str">
        <f ca="1"/>
        <v>Kantimoy Pritish</v>
      </c>
      <c r="C25" s="17">
        <f ca="1"/>
        <v>67910</v>
      </c>
      <c r="D25" s="17">
        <f ca="1"/>
        <v>30</v>
      </c>
    </row>
    <row r="26" spans="2:4" x14ac:dyDescent="0.25">
      <c r="B26" s="17" t="str">
        <f ca="1"/>
        <v>Lalit Kothari</v>
      </c>
      <c r="C26" s="17">
        <f ca="1"/>
        <v>60130</v>
      </c>
      <c r="D26" s="17">
        <f ca="1"/>
        <v>34</v>
      </c>
    </row>
    <row r="27" spans="2:4" x14ac:dyDescent="0.25">
      <c r="B27" s="17" t="str">
        <f ca="1"/>
        <v>Asija Pothireddy</v>
      </c>
      <c r="C27" s="17">
        <f ca="1"/>
        <v>59430</v>
      </c>
      <c r="D27" s="17">
        <f ca="1"/>
        <v>33</v>
      </c>
    </row>
    <row r="28" spans="2:4" x14ac:dyDescent="0.25">
      <c r="B28" s="17" t="str">
        <f ca="1"/>
        <v>Benny Karolovsky</v>
      </c>
      <c r="C28" s="17">
        <f ca="1"/>
        <v>115440</v>
      </c>
      <c r="D28" s="17">
        <f ca="1"/>
        <v>37</v>
      </c>
    </row>
    <row r="29" spans="2:4" x14ac:dyDescent="0.25">
      <c r="B29" s="17" t="str">
        <f ca="1"/>
        <v>Oby Sorrel</v>
      </c>
      <c r="C29" s="17">
        <f ca="1"/>
        <v>58940</v>
      </c>
      <c r="D29" s="17">
        <f ca="1"/>
        <v>34</v>
      </c>
    </row>
    <row r="30" spans="2:4" x14ac:dyDescent="0.25">
      <c r="B30" s="17" t="str">
        <f ca="1"/>
        <v>Husein Augar</v>
      </c>
      <c r="C30" s="17">
        <f ca="1"/>
        <v>67910</v>
      </c>
      <c r="D30" s="17">
        <f ca="1"/>
        <v>30</v>
      </c>
    </row>
    <row r="31" spans="2:4" x14ac:dyDescent="0.25">
      <c r="B31" s="17" t="str">
        <f ca="1"/>
        <v>Esmaria Denecamp</v>
      </c>
      <c r="C31" s="17">
        <f ca="1"/>
        <v>48980</v>
      </c>
      <c r="D31" s="17">
        <f ca="1"/>
        <v>27</v>
      </c>
    </row>
    <row r="32" spans="2:4" x14ac:dyDescent="0.25">
      <c r="B32" s="17" t="str">
        <f ca="1"/>
        <v>Curtice Advani</v>
      </c>
      <c r="C32" s="17">
        <f ca="1"/>
        <v>64000</v>
      </c>
      <c r="D32" s="17">
        <f ca="1"/>
        <v>30</v>
      </c>
    </row>
    <row r="33" spans="2:4" x14ac:dyDescent="0.25">
      <c r="B33" s="17" t="str">
        <f ca="1"/>
        <v>Beverie Moffet</v>
      </c>
      <c r="C33" s="17">
        <f ca="1"/>
        <v>75970</v>
      </c>
      <c r="D33" s="17">
        <f ca="1"/>
        <v>28</v>
      </c>
    </row>
    <row r="34" spans="2:4" x14ac:dyDescent="0.25">
      <c r="B34" s="17" t="str">
        <f ca="1"/>
        <v>Jehu Rudeforth</v>
      </c>
      <c r="C34" s="17">
        <f ca="1"/>
        <v>60130</v>
      </c>
      <c r="D34" s="17">
        <f ca="1"/>
        <v>34</v>
      </c>
    </row>
    <row r="35" spans="2:4" x14ac:dyDescent="0.25">
      <c r="B35" s="17" t="str">
        <f ca="1"/>
        <v>Kaye Crocroft</v>
      </c>
      <c r="C35" s="17">
        <f ca="1"/>
        <v>52610</v>
      </c>
      <c r="D35" s="17">
        <f ca="1"/>
        <v>24</v>
      </c>
    </row>
    <row r="36" spans="2:4" x14ac:dyDescent="0.25">
      <c r="B36" s="17" t="str">
        <f ca="1"/>
        <v>Sibyl Dunkirk</v>
      </c>
      <c r="C36" s="17">
        <f ca="1"/>
        <v>86570</v>
      </c>
      <c r="D36" s="17">
        <f ca="1"/>
        <v>33</v>
      </c>
    </row>
    <row r="37" spans="2:4" x14ac:dyDescent="0.25">
      <c r="B37" s="17" t="str">
        <f ca="1"/>
        <v>Leilah Yesinin</v>
      </c>
      <c r="C37" s="17">
        <f ca="1"/>
        <v>92450</v>
      </c>
      <c r="D37" s="17">
        <f ca="1"/>
        <v>34</v>
      </c>
    </row>
    <row r="38" spans="2:4" x14ac:dyDescent="0.25">
      <c r="B38" s="17" t="str">
        <f ca="1"/>
        <v>Jan Morforth</v>
      </c>
      <c r="C38" s="17">
        <f ca="1"/>
        <v>48170</v>
      </c>
      <c r="D38" s="17">
        <f ca="1"/>
        <v>28</v>
      </c>
    </row>
    <row r="39" spans="2:4" x14ac:dyDescent="0.25">
      <c r="B39" s="17" t="str">
        <f ca="1"/>
        <v>Bennie Pepis</v>
      </c>
      <c r="C39" s="17">
        <f ca="1"/>
        <v>71380</v>
      </c>
      <c r="D39" s="17">
        <f ca="1"/>
        <v>36</v>
      </c>
    </row>
    <row r="40" spans="2:4" x14ac:dyDescent="0.25">
      <c r="B40" s="17" t="str">
        <f ca="1"/>
        <v>Marney O'Breen</v>
      </c>
      <c r="C40" s="17">
        <f ca="1"/>
        <v>65920</v>
      </c>
      <c r="D40" s="17">
        <f ca="1"/>
        <v>21</v>
      </c>
    </row>
    <row r="41" spans="2:4" x14ac:dyDescent="0.25">
      <c r="B41" s="17" t="str">
        <f ca="1"/>
        <v>Enoch Dowrey</v>
      </c>
      <c r="C41" s="17">
        <f ca="1"/>
        <v>91650</v>
      </c>
      <c r="D41" s="17">
        <f ca="1"/>
        <v>27</v>
      </c>
    </row>
    <row r="42" spans="2:4" x14ac:dyDescent="0.25">
      <c r="B42" s="17" t="str">
        <f ca="1"/>
        <v>Constantino Espley</v>
      </c>
      <c r="C42" s="17">
        <f ca="1"/>
        <v>96800</v>
      </c>
      <c r="D42" s="17">
        <f ca="1"/>
        <v>30</v>
      </c>
    </row>
    <row r="43" spans="2:4" x14ac:dyDescent="0.25">
      <c r="B43" s="17" t="str">
        <f ca="1"/>
        <v>Karlen McCaffrey</v>
      </c>
      <c r="C43" s="17">
        <f ca="1"/>
        <v>85000</v>
      </c>
      <c r="D43" s="17">
        <f ca="1"/>
        <v>34</v>
      </c>
    </row>
    <row r="44" spans="2:4" x14ac:dyDescent="0.25">
      <c r="B44" s="17" t="str">
        <f ca="1"/>
        <v>My Hanscome</v>
      </c>
      <c r="C44" s="17">
        <f ca="1"/>
        <v>59430</v>
      </c>
      <c r="D44" s="17">
        <f ca="1"/>
        <v>33</v>
      </c>
    </row>
    <row r="45" spans="2:4" x14ac:dyDescent="0.25">
      <c r="B45" s="17" t="str">
        <f ca="1"/>
        <v>Teressa Udden</v>
      </c>
      <c r="C45" s="17">
        <f ca="1"/>
        <v>65360</v>
      </c>
      <c r="D45" s="17">
        <f ca="1"/>
        <v>33</v>
      </c>
    </row>
    <row r="46" spans="2:4" x14ac:dyDescent="0.25">
      <c r="B46" s="17" t="str">
        <f ca="1"/>
        <v>Shayne Stegel</v>
      </c>
      <c r="C46" s="17">
        <f ca="1"/>
        <v>70270</v>
      </c>
      <c r="D46" s="17">
        <f ca="1"/>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FE814-94C0-4284-987D-FBBCC949B53C}">
  <sheetPr>
    <tabColor theme="4"/>
  </sheetPr>
  <dimension ref="A2:D10"/>
  <sheetViews>
    <sheetView workbookViewId="0">
      <selection activeCell="D5" sqref="D5"/>
    </sheetView>
  </sheetViews>
  <sheetFormatPr defaultRowHeight="15" x14ac:dyDescent="0.25"/>
  <cols>
    <col min="2" max="2" width="26.28515625" bestFit="1" customWidth="1"/>
    <col min="3" max="3" width="16.28515625" bestFit="1" customWidth="1"/>
    <col min="4" max="4" width="8.5703125" bestFit="1" customWidth="1"/>
    <col min="5" max="5" width="11.28515625" bestFit="1" customWidth="1"/>
    <col min="6" max="6" width="12" bestFit="1" customWidth="1"/>
    <col min="7" max="7" width="16.28515625" bestFit="1" customWidth="1"/>
    <col min="8" max="8" width="19.42578125" bestFit="1" customWidth="1"/>
    <col min="9" max="9" width="19.5703125" bestFit="1" customWidth="1"/>
  </cols>
  <sheetData>
    <row r="2" spans="1:4" x14ac:dyDescent="0.25">
      <c r="A2" s="13">
        <v>4</v>
      </c>
      <c r="B2" s="13" t="s">
        <v>221</v>
      </c>
    </row>
    <row r="5" spans="1:4" x14ac:dyDescent="0.25">
      <c r="C5" s="25" t="s">
        <v>222</v>
      </c>
    </row>
    <row r="6" spans="1:4" x14ac:dyDescent="0.25">
      <c r="B6" s="25" t="s">
        <v>226</v>
      </c>
      <c r="C6" t="s">
        <v>8</v>
      </c>
      <c r="D6" t="s">
        <v>15</v>
      </c>
    </row>
    <row r="7" spans="1:4" x14ac:dyDescent="0.25">
      <c r="B7" s="14" t="s">
        <v>224</v>
      </c>
      <c r="C7" s="6">
        <v>86</v>
      </c>
      <c r="D7" s="6">
        <v>89</v>
      </c>
    </row>
    <row r="8" spans="1:4" x14ac:dyDescent="0.25">
      <c r="B8" s="14" t="s">
        <v>225</v>
      </c>
      <c r="C8" s="8">
        <v>31.406976744186046</v>
      </c>
      <c r="D8" s="8">
        <v>29.393258426966291</v>
      </c>
    </row>
    <row r="9" spans="1:4" x14ac:dyDescent="0.25">
      <c r="B9" s="14" t="s">
        <v>227</v>
      </c>
      <c r="C9" s="8">
        <v>78284.186046511633</v>
      </c>
      <c r="D9" s="8">
        <v>74915.168539325838</v>
      </c>
    </row>
    <row r="10" spans="1:4" x14ac:dyDescent="0.25">
      <c r="B10" s="14" t="s">
        <v>228</v>
      </c>
      <c r="C10" s="8">
        <v>1.9449506212169483</v>
      </c>
      <c r="D10" s="8">
        <v>1.9358473141449901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54FAE-1925-4154-BD7F-0469AA0BA53D}">
  <sheetPr>
    <tabColor rgb="FF7030A0"/>
  </sheetPr>
  <dimension ref="A1"/>
  <sheetViews>
    <sheetView workbookViewId="0">
      <selection activeCell="S15" sqref="S15"/>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82BBC-5FD7-49FE-BBE7-D85D04360955}">
  <sheetPr>
    <tabColor rgb="FF7030A0"/>
  </sheetPr>
  <dimension ref="B4:D10"/>
  <sheetViews>
    <sheetView workbookViewId="0">
      <selection activeCell="H8" sqref="H8"/>
    </sheetView>
  </sheetViews>
  <sheetFormatPr defaultRowHeight="15" x14ac:dyDescent="0.25"/>
  <cols>
    <col min="2" max="2" width="14.28515625" bestFit="1" customWidth="1"/>
    <col min="3" max="3" width="14.42578125" bestFit="1" customWidth="1"/>
    <col min="4" max="4" width="16.42578125" bestFit="1" customWidth="1"/>
  </cols>
  <sheetData>
    <row r="4" spans="2:4" x14ac:dyDescent="0.25">
      <c r="B4" s="25" t="s">
        <v>230</v>
      </c>
      <c r="C4" t="s">
        <v>224</v>
      </c>
      <c r="D4" t="s">
        <v>227</v>
      </c>
    </row>
    <row r="5" spans="2:4" x14ac:dyDescent="0.25">
      <c r="B5" s="14" t="s">
        <v>10</v>
      </c>
      <c r="C5" s="6">
        <v>4</v>
      </c>
      <c r="D5" s="27">
        <v>92080</v>
      </c>
    </row>
    <row r="6" spans="2:4" x14ac:dyDescent="0.25">
      <c r="B6" s="14" t="s">
        <v>13</v>
      </c>
      <c r="C6" s="6">
        <v>20</v>
      </c>
      <c r="D6" s="27">
        <v>75933</v>
      </c>
    </row>
    <row r="7" spans="2:4" x14ac:dyDescent="0.25">
      <c r="B7" s="14" t="s">
        <v>16</v>
      </c>
      <c r="C7" s="6">
        <v>137</v>
      </c>
      <c r="D7" s="27">
        <v>76798.759124087592</v>
      </c>
    </row>
    <row r="8" spans="2:4" x14ac:dyDescent="0.25">
      <c r="B8" s="14" t="s">
        <v>24</v>
      </c>
      <c r="C8" s="6">
        <v>16</v>
      </c>
      <c r="D8" s="27">
        <v>78115</v>
      </c>
    </row>
    <row r="9" spans="2:4" x14ac:dyDescent="0.25">
      <c r="B9" s="14" t="s">
        <v>42</v>
      </c>
      <c r="C9" s="6">
        <v>6</v>
      </c>
      <c r="D9" s="27">
        <v>77423.333333333328</v>
      </c>
    </row>
    <row r="10" spans="2:4" x14ac:dyDescent="0.25">
      <c r="B10" s="14" t="s">
        <v>223</v>
      </c>
      <c r="C10" s="6">
        <v>183</v>
      </c>
      <c r="D10" s="27">
        <v>77173.715846994543</v>
      </c>
    </row>
  </sheetData>
  <conditionalFormatting pivot="1" sqref="D5:D9">
    <cfRule type="dataBar" priority="1">
      <dataBar>
        <cfvo type="min"/>
        <cfvo type="max"/>
        <color rgb="FF638EC6"/>
      </dataBar>
      <extLst>
        <ext xmlns:x14="http://schemas.microsoft.com/office/spreadsheetml/2009/9/main" uri="{B025F937-C7B1-47D3-B67F-A62EFF666E3E}">
          <x14:id>{5CA29A5A-01B0-49E1-AA49-418B6A15B097}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CA29A5A-01B0-49E1-AA49-418B6A15B097}">
            <x14:dataBar minLength="0" maxLength="100" border="1" negativeBarBorderColorSameAsPositive="0">
              <x14:cfvo type="autoMin"/>
              <x14:cfvo type="autoMax"/>
              <x14:borderColor rgb="FF638EC6"/>
              <x14:negativeFillColor rgb="FFFF0000"/>
              <x14:negativeBorderColor rgb="FFFF0000"/>
              <x14:axisColor rgb="FF000000"/>
            </x14:dataBar>
          </x14:cfRule>
          <xm:sqref>D5:D9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A42B-C2E9-4961-B3E4-7D87D3ED719C}">
  <sheetPr>
    <tabColor rgb="FF7030A0"/>
  </sheetPr>
  <dimension ref="B3:Q40"/>
  <sheetViews>
    <sheetView workbookViewId="0">
      <selection activeCell="M16" sqref="M16"/>
    </sheetView>
  </sheetViews>
  <sheetFormatPr defaultRowHeight="15" x14ac:dyDescent="0.25"/>
  <cols>
    <col min="2" max="2" width="13.140625" bestFit="1" customWidth="1"/>
    <col min="3" max="3" width="14.42578125" bestFit="1" customWidth="1"/>
    <col min="15" max="15" width="10.85546875" bestFit="1" customWidth="1"/>
    <col min="16" max="16" width="10.5703125" bestFit="1" customWidth="1"/>
    <col min="17" max="17" width="13.28515625" bestFit="1" customWidth="1"/>
  </cols>
  <sheetData>
    <row r="3" spans="2:17" x14ac:dyDescent="0.25">
      <c r="B3" s="25" t="s">
        <v>230</v>
      </c>
      <c r="C3" t="s">
        <v>224</v>
      </c>
    </row>
    <row r="4" spans="2:17" x14ac:dyDescent="0.25">
      <c r="B4" s="14" t="s">
        <v>232</v>
      </c>
      <c r="C4" s="6"/>
      <c r="O4" s="21" t="s">
        <v>248</v>
      </c>
      <c r="P4" s="21" t="s">
        <v>249</v>
      </c>
      <c r="Q4" s="21" t="s">
        <v>250</v>
      </c>
    </row>
    <row r="5" spans="2:17" x14ac:dyDescent="0.25">
      <c r="B5" s="28" t="s">
        <v>233</v>
      </c>
      <c r="C5" s="6">
        <v>3</v>
      </c>
      <c r="N5" cm="1">
        <f t="array" ref="N5:N40">_xlfn.SEQUENCE(36)</f>
        <v>1</v>
      </c>
      <c r="O5" s="4" cm="1">
        <f t="array" ref="O5:O40">EDATE(DATE(2020,4,1),_xlfn.ANCHORARRAY(N5)+0)</f>
        <v>43952</v>
      </c>
      <c r="P5">
        <f>COUNTIFS(Table_staff[Date Joined],"&gt;="&amp;O5, Table_staff[Date Joined],"&lt;="&amp;EOMONTH(O5,0))</f>
        <v>3</v>
      </c>
      <c r="Q5">
        <f>SUM($P$5:P5)</f>
        <v>3</v>
      </c>
    </row>
    <row r="6" spans="2:17" x14ac:dyDescent="0.25">
      <c r="B6" s="28" t="s">
        <v>234</v>
      </c>
      <c r="C6" s="6">
        <v>4</v>
      </c>
      <c r="N6">
        <v>2</v>
      </c>
      <c r="O6" s="4">
        <v>43983</v>
      </c>
      <c r="P6">
        <f>COUNTIFS(Table_staff[Date Joined],"&gt;="&amp;O6, Table_staff[Date Joined],"&lt;="&amp;EOMONTH(O6,0))</f>
        <v>1</v>
      </c>
      <c r="Q6">
        <f>SUM($P$5:P6)</f>
        <v>4</v>
      </c>
    </row>
    <row r="7" spans="2:17" x14ac:dyDescent="0.25">
      <c r="B7" s="28" t="s">
        <v>235</v>
      </c>
      <c r="C7" s="6">
        <v>9</v>
      </c>
      <c r="N7">
        <v>3</v>
      </c>
      <c r="O7" s="4">
        <v>44013</v>
      </c>
      <c r="P7">
        <f>COUNTIFS(Table_staff[Date Joined],"&gt;="&amp;O7, Table_staff[Date Joined],"&lt;="&amp;EOMONTH(O7,0))</f>
        <v>5</v>
      </c>
      <c r="Q7">
        <f>SUM($P$5:P7)</f>
        <v>9</v>
      </c>
    </row>
    <row r="8" spans="2:17" x14ac:dyDescent="0.25">
      <c r="B8" s="28" t="s">
        <v>236</v>
      </c>
      <c r="C8" s="6">
        <v>12</v>
      </c>
      <c r="N8">
        <v>4</v>
      </c>
      <c r="O8" s="4">
        <v>44044</v>
      </c>
      <c r="P8">
        <f>COUNTIFS(Table_staff[Date Joined],"&gt;="&amp;O8, Table_staff[Date Joined],"&lt;="&amp;EOMONTH(O8,0))</f>
        <v>3</v>
      </c>
      <c r="Q8">
        <f>SUM($P$5:P8)</f>
        <v>12</v>
      </c>
    </row>
    <row r="9" spans="2:17" x14ac:dyDescent="0.25">
      <c r="B9" s="28" t="s">
        <v>237</v>
      </c>
      <c r="C9" s="6">
        <v>18</v>
      </c>
      <c r="N9">
        <v>5</v>
      </c>
      <c r="O9" s="4">
        <v>44075</v>
      </c>
      <c r="P9">
        <f>COUNTIFS(Table_staff[Date Joined],"&gt;="&amp;O9, Table_staff[Date Joined],"&lt;="&amp;EOMONTH(O9,0))</f>
        <v>6</v>
      </c>
      <c r="Q9">
        <f>SUM($P$5:P9)</f>
        <v>18</v>
      </c>
    </row>
    <row r="10" spans="2:17" x14ac:dyDescent="0.25">
      <c r="B10" s="28" t="s">
        <v>238</v>
      </c>
      <c r="C10" s="6">
        <v>24</v>
      </c>
      <c r="N10">
        <v>6</v>
      </c>
      <c r="O10" s="4">
        <v>44105</v>
      </c>
      <c r="P10">
        <f>COUNTIFS(Table_staff[Date Joined],"&gt;="&amp;O10, Table_staff[Date Joined],"&lt;="&amp;EOMONTH(O10,0))</f>
        <v>6</v>
      </c>
      <c r="Q10">
        <f>SUM($P$5:P10)</f>
        <v>24</v>
      </c>
    </row>
    <row r="11" spans="2:17" x14ac:dyDescent="0.25">
      <c r="B11" s="28" t="s">
        <v>239</v>
      </c>
      <c r="C11" s="6">
        <v>30</v>
      </c>
      <c r="N11">
        <v>7</v>
      </c>
      <c r="O11" s="4">
        <v>44136</v>
      </c>
      <c r="P11">
        <f>COUNTIFS(Table_staff[Date Joined],"&gt;="&amp;O11, Table_staff[Date Joined],"&lt;="&amp;EOMONTH(O11,0))</f>
        <v>6</v>
      </c>
      <c r="Q11">
        <f>SUM($P$5:P11)</f>
        <v>30</v>
      </c>
    </row>
    <row r="12" spans="2:17" x14ac:dyDescent="0.25">
      <c r="B12" s="28" t="s">
        <v>240</v>
      </c>
      <c r="C12" s="6">
        <v>37</v>
      </c>
      <c r="N12">
        <v>8</v>
      </c>
      <c r="O12" s="4">
        <v>44166</v>
      </c>
      <c r="P12">
        <f>COUNTIFS(Table_staff[Date Joined],"&gt;="&amp;O12, Table_staff[Date Joined],"&lt;="&amp;EOMONTH(O12,0))</f>
        <v>7</v>
      </c>
      <c r="Q12">
        <f>SUM($P$5:P12)</f>
        <v>37</v>
      </c>
    </row>
    <row r="13" spans="2:17" x14ac:dyDescent="0.25">
      <c r="B13" s="14" t="s">
        <v>241</v>
      </c>
      <c r="C13" s="6"/>
      <c r="N13">
        <v>9</v>
      </c>
      <c r="O13" s="4">
        <v>44197</v>
      </c>
      <c r="P13">
        <f>COUNTIFS(Table_staff[Date Joined],"&gt;="&amp;O13, Table_staff[Date Joined],"&lt;="&amp;EOMONTH(O13,0))</f>
        <v>6</v>
      </c>
      <c r="Q13">
        <f>SUM($P$5:P13)</f>
        <v>43</v>
      </c>
    </row>
    <row r="14" spans="2:17" x14ac:dyDescent="0.25">
      <c r="B14" s="28" t="s">
        <v>242</v>
      </c>
      <c r="C14" s="6">
        <v>6</v>
      </c>
      <c r="N14">
        <v>10</v>
      </c>
      <c r="O14" s="4">
        <v>44228</v>
      </c>
      <c r="P14">
        <f>COUNTIFS(Table_staff[Date Joined],"&gt;="&amp;O14, Table_staff[Date Joined],"&lt;="&amp;EOMONTH(O14,0))</f>
        <v>4</v>
      </c>
      <c r="Q14">
        <f>SUM($P$5:P14)</f>
        <v>47</v>
      </c>
    </row>
    <row r="15" spans="2:17" x14ac:dyDescent="0.25">
      <c r="B15" s="28" t="s">
        <v>243</v>
      </c>
      <c r="C15" s="6">
        <v>10</v>
      </c>
      <c r="N15">
        <v>11</v>
      </c>
      <c r="O15" s="4">
        <v>44256</v>
      </c>
      <c r="P15">
        <f>COUNTIFS(Table_staff[Date Joined],"&gt;="&amp;O15, Table_staff[Date Joined],"&lt;="&amp;EOMONTH(O15,0))</f>
        <v>9</v>
      </c>
      <c r="Q15">
        <f>SUM($P$5:P15)</f>
        <v>56</v>
      </c>
    </row>
    <row r="16" spans="2:17" x14ac:dyDescent="0.25">
      <c r="B16" s="28" t="s">
        <v>244</v>
      </c>
      <c r="C16" s="6">
        <v>19</v>
      </c>
      <c r="N16">
        <v>12</v>
      </c>
      <c r="O16" s="4">
        <v>44287</v>
      </c>
      <c r="P16">
        <f>COUNTIFS(Table_staff[Date Joined],"&gt;="&amp;O16, Table_staff[Date Joined],"&lt;="&amp;EOMONTH(O16,0))</f>
        <v>5</v>
      </c>
      <c r="Q16">
        <f>SUM($P$5:P16)</f>
        <v>61</v>
      </c>
    </row>
    <row r="17" spans="2:17" x14ac:dyDescent="0.25">
      <c r="B17" s="28" t="s">
        <v>245</v>
      </c>
      <c r="C17" s="6">
        <v>24</v>
      </c>
      <c r="N17">
        <v>13</v>
      </c>
      <c r="O17" s="4">
        <v>44317</v>
      </c>
      <c r="P17">
        <f>COUNTIFS(Table_staff[Date Joined],"&gt;="&amp;O17, Table_staff[Date Joined],"&lt;="&amp;EOMONTH(O17,0))</f>
        <v>10</v>
      </c>
      <c r="Q17">
        <f>SUM($P$5:P17)</f>
        <v>71</v>
      </c>
    </row>
    <row r="18" spans="2:17" x14ac:dyDescent="0.25">
      <c r="B18" s="28" t="s">
        <v>233</v>
      </c>
      <c r="C18" s="6">
        <v>34</v>
      </c>
      <c r="N18">
        <v>14</v>
      </c>
      <c r="O18" s="4">
        <v>44348</v>
      </c>
      <c r="P18">
        <f>COUNTIFS(Table_staff[Date Joined],"&gt;="&amp;O18, Table_staff[Date Joined],"&lt;="&amp;EOMONTH(O18,0))</f>
        <v>6</v>
      </c>
      <c r="Q18">
        <f>SUM($P$5:P18)</f>
        <v>77</v>
      </c>
    </row>
    <row r="19" spans="2:17" x14ac:dyDescent="0.25">
      <c r="B19" s="28" t="s">
        <v>234</v>
      </c>
      <c r="C19" s="6">
        <v>40</v>
      </c>
      <c r="N19">
        <v>15</v>
      </c>
      <c r="O19" s="4">
        <v>44378</v>
      </c>
      <c r="P19">
        <f>COUNTIFS(Table_staff[Date Joined],"&gt;="&amp;O19, Table_staff[Date Joined],"&lt;="&amp;EOMONTH(O19,0))</f>
        <v>13</v>
      </c>
      <c r="Q19">
        <f>SUM($P$5:P19)</f>
        <v>90</v>
      </c>
    </row>
    <row r="20" spans="2:17" x14ac:dyDescent="0.25">
      <c r="B20" s="28" t="s">
        <v>235</v>
      </c>
      <c r="C20" s="6">
        <v>53</v>
      </c>
      <c r="N20">
        <v>16</v>
      </c>
      <c r="O20" s="4">
        <v>44409</v>
      </c>
      <c r="P20">
        <f>COUNTIFS(Table_staff[Date Joined],"&gt;="&amp;O20, Table_staff[Date Joined],"&lt;="&amp;EOMONTH(O20,0))</f>
        <v>4</v>
      </c>
      <c r="Q20">
        <f>SUM($P$5:P20)</f>
        <v>94</v>
      </c>
    </row>
    <row r="21" spans="2:17" x14ac:dyDescent="0.25">
      <c r="B21" s="28" t="s">
        <v>236</v>
      </c>
      <c r="C21" s="6">
        <v>57</v>
      </c>
      <c r="N21">
        <v>17</v>
      </c>
      <c r="O21" s="4">
        <v>44440</v>
      </c>
      <c r="P21">
        <f>COUNTIFS(Table_staff[Date Joined],"&gt;="&amp;O21, Table_staff[Date Joined],"&lt;="&amp;EOMONTH(O21,0))</f>
        <v>11</v>
      </c>
      <c r="Q21">
        <f>SUM($P$5:P21)</f>
        <v>105</v>
      </c>
    </row>
    <row r="22" spans="2:17" x14ac:dyDescent="0.25">
      <c r="B22" s="28" t="s">
        <v>237</v>
      </c>
      <c r="C22" s="6">
        <v>68</v>
      </c>
      <c r="N22">
        <v>18</v>
      </c>
      <c r="O22" s="4">
        <v>44470</v>
      </c>
      <c r="P22">
        <f>COUNTIFS(Table_staff[Date Joined],"&gt;="&amp;O22, Table_staff[Date Joined],"&lt;="&amp;EOMONTH(O22,0))</f>
        <v>3</v>
      </c>
      <c r="Q22">
        <f>SUM($P$5:P22)</f>
        <v>108</v>
      </c>
    </row>
    <row r="23" spans="2:17" x14ac:dyDescent="0.25">
      <c r="B23" s="28" t="s">
        <v>238</v>
      </c>
      <c r="C23" s="6">
        <v>71</v>
      </c>
      <c r="N23">
        <v>19</v>
      </c>
      <c r="O23" s="4">
        <v>44501</v>
      </c>
      <c r="P23">
        <f>COUNTIFS(Table_staff[Date Joined],"&gt;="&amp;O23, Table_staff[Date Joined],"&lt;="&amp;EOMONTH(O23,0))</f>
        <v>4</v>
      </c>
      <c r="Q23">
        <f>SUM($P$5:P23)</f>
        <v>112</v>
      </c>
    </row>
    <row r="24" spans="2:17" x14ac:dyDescent="0.25">
      <c r="B24" s="28" t="s">
        <v>239</v>
      </c>
      <c r="C24" s="6">
        <v>75</v>
      </c>
      <c r="N24">
        <v>20</v>
      </c>
      <c r="O24" s="4">
        <v>44531</v>
      </c>
      <c r="P24">
        <f>COUNTIFS(Table_staff[Date Joined],"&gt;="&amp;O24, Table_staff[Date Joined],"&lt;="&amp;EOMONTH(O24,0))</f>
        <v>7</v>
      </c>
      <c r="Q24">
        <f>SUM($P$5:P24)</f>
        <v>119</v>
      </c>
    </row>
    <row r="25" spans="2:17" x14ac:dyDescent="0.25">
      <c r="B25" s="28" t="s">
        <v>240</v>
      </c>
      <c r="C25" s="6">
        <v>82</v>
      </c>
      <c r="N25">
        <v>21</v>
      </c>
      <c r="O25" s="4">
        <v>44562</v>
      </c>
      <c r="P25">
        <f>COUNTIFS(Table_staff[Date Joined],"&gt;="&amp;O25, Table_staff[Date Joined],"&lt;="&amp;EOMONTH(O25,0))</f>
        <v>3</v>
      </c>
      <c r="Q25">
        <f>SUM($P$5:P25)</f>
        <v>122</v>
      </c>
    </row>
    <row r="26" spans="2:17" x14ac:dyDescent="0.25">
      <c r="B26" s="14" t="s">
        <v>246</v>
      </c>
      <c r="C26" s="6"/>
      <c r="N26">
        <v>22</v>
      </c>
      <c r="O26" s="4">
        <v>44593</v>
      </c>
      <c r="P26">
        <f>COUNTIFS(Table_staff[Date Joined],"&gt;="&amp;O26, Table_staff[Date Joined],"&lt;="&amp;EOMONTH(O26,0))</f>
        <v>10</v>
      </c>
      <c r="Q26">
        <f>SUM($P$5:P26)</f>
        <v>132</v>
      </c>
    </row>
    <row r="27" spans="2:17" x14ac:dyDescent="0.25">
      <c r="B27" s="28" t="s">
        <v>242</v>
      </c>
      <c r="C27" s="6">
        <v>3</v>
      </c>
      <c r="N27">
        <v>23</v>
      </c>
      <c r="O27" s="4">
        <v>44621</v>
      </c>
      <c r="P27">
        <f>COUNTIFS(Table_staff[Date Joined],"&gt;="&amp;O27, Table_staff[Date Joined],"&lt;="&amp;EOMONTH(O27,0))</f>
        <v>9</v>
      </c>
      <c r="Q27">
        <f>SUM($P$5:P27)</f>
        <v>141</v>
      </c>
    </row>
    <row r="28" spans="2:17" x14ac:dyDescent="0.25">
      <c r="B28" s="28" t="s">
        <v>243</v>
      </c>
      <c r="C28" s="6">
        <v>13</v>
      </c>
      <c r="N28">
        <v>24</v>
      </c>
      <c r="O28" s="4">
        <v>44652</v>
      </c>
      <c r="P28">
        <f>COUNTIFS(Table_staff[Date Joined],"&gt;="&amp;O28, Table_staff[Date Joined],"&lt;="&amp;EOMONTH(O28,0))</f>
        <v>9</v>
      </c>
      <c r="Q28">
        <f>SUM($P$5:P28)</f>
        <v>150</v>
      </c>
    </row>
    <row r="29" spans="2:17" x14ac:dyDescent="0.25">
      <c r="B29" s="28" t="s">
        <v>244</v>
      </c>
      <c r="C29" s="6">
        <v>22</v>
      </c>
      <c r="N29">
        <v>25</v>
      </c>
      <c r="O29" s="4">
        <v>44682</v>
      </c>
      <c r="P29">
        <f>COUNTIFS(Table_staff[Date Joined],"&gt;="&amp;O29, Table_staff[Date Joined],"&lt;="&amp;EOMONTH(O29,0))</f>
        <v>9</v>
      </c>
      <c r="Q29">
        <f>SUM($P$5:P29)</f>
        <v>159</v>
      </c>
    </row>
    <row r="30" spans="2:17" x14ac:dyDescent="0.25">
      <c r="B30" s="28" t="s">
        <v>245</v>
      </c>
      <c r="C30" s="6">
        <v>31</v>
      </c>
      <c r="N30">
        <v>26</v>
      </c>
      <c r="O30" s="4">
        <v>44713</v>
      </c>
      <c r="P30">
        <f>COUNTIFS(Table_staff[Date Joined],"&gt;="&amp;O30, Table_staff[Date Joined],"&lt;="&amp;EOMONTH(O30,0))</f>
        <v>7</v>
      </c>
      <c r="Q30">
        <f>SUM($P$5:P30)</f>
        <v>166</v>
      </c>
    </row>
    <row r="31" spans="2:17" x14ac:dyDescent="0.25">
      <c r="B31" s="28" t="s">
        <v>233</v>
      </c>
      <c r="C31" s="6">
        <v>40</v>
      </c>
      <c r="N31">
        <v>27</v>
      </c>
      <c r="O31" s="4">
        <v>44743</v>
      </c>
      <c r="P31">
        <f>COUNTIFS(Table_staff[Date Joined],"&gt;="&amp;O31, Table_staff[Date Joined],"&lt;="&amp;EOMONTH(O31,0))</f>
        <v>5</v>
      </c>
      <c r="Q31">
        <f>SUM($P$5:P31)</f>
        <v>171</v>
      </c>
    </row>
    <row r="32" spans="2:17" x14ac:dyDescent="0.25">
      <c r="B32" s="28" t="s">
        <v>234</v>
      </c>
      <c r="C32" s="6">
        <v>47</v>
      </c>
      <c r="N32">
        <v>28</v>
      </c>
      <c r="O32" s="4">
        <v>44774</v>
      </c>
      <c r="P32">
        <f>COUNTIFS(Table_staff[Date Joined],"&gt;="&amp;O32, Table_staff[Date Joined],"&lt;="&amp;EOMONTH(O32,0))</f>
        <v>5</v>
      </c>
      <c r="Q32">
        <f>SUM($P$5:P32)</f>
        <v>176</v>
      </c>
    </row>
    <row r="33" spans="2:17" x14ac:dyDescent="0.25">
      <c r="B33" s="28" t="s">
        <v>235</v>
      </c>
      <c r="C33" s="6">
        <v>52</v>
      </c>
      <c r="N33">
        <v>29</v>
      </c>
      <c r="O33" s="4">
        <v>44805</v>
      </c>
      <c r="P33">
        <f>COUNTIFS(Table_staff[Date Joined],"&gt;="&amp;O33, Table_staff[Date Joined],"&lt;="&amp;EOMONTH(O33,0))</f>
        <v>2</v>
      </c>
      <c r="Q33">
        <f>SUM($P$5:P33)</f>
        <v>178</v>
      </c>
    </row>
    <row r="34" spans="2:17" x14ac:dyDescent="0.25">
      <c r="B34" s="28" t="s">
        <v>236</v>
      </c>
      <c r="C34" s="6">
        <v>57</v>
      </c>
      <c r="N34">
        <v>30</v>
      </c>
      <c r="O34" s="4">
        <v>44835</v>
      </c>
      <c r="P34">
        <f>COUNTIFS(Table_staff[Date Joined],"&gt;="&amp;O34, Table_staff[Date Joined],"&lt;="&amp;EOMONTH(O34,0))</f>
        <v>3</v>
      </c>
      <c r="Q34">
        <f>SUM($P$5:P34)</f>
        <v>181</v>
      </c>
    </row>
    <row r="35" spans="2:17" x14ac:dyDescent="0.25">
      <c r="B35" s="28" t="s">
        <v>237</v>
      </c>
      <c r="C35" s="6">
        <v>59</v>
      </c>
      <c r="N35">
        <v>31</v>
      </c>
      <c r="O35" s="4">
        <v>44866</v>
      </c>
      <c r="P35">
        <f>COUNTIFS(Table_staff[Date Joined],"&gt;="&amp;O35, Table_staff[Date Joined],"&lt;="&amp;EOMONTH(O35,0))</f>
        <v>0</v>
      </c>
      <c r="Q35">
        <f>SUM($P$5:P35)</f>
        <v>181</v>
      </c>
    </row>
    <row r="36" spans="2:17" x14ac:dyDescent="0.25">
      <c r="B36" s="28" t="s">
        <v>238</v>
      </c>
      <c r="C36" s="6">
        <v>62</v>
      </c>
      <c r="N36">
        <v>32</v>
      </c>
      <c r="O36" s="4">
        <v>44896</v>
      </c>
      <c r="P36">
        <f>COUNTIFS(Table_staff[Date Joined],"&gt;="&amp;O36, Table_staff[Date Joined],"&lt;="&amp;EOMONTH(O36,0))</f>
        <v>0</v>
      </c>
      <c r="Q36">
        <f>SUM($P$5:P36)</f>
        <v>181</v>
      </c>
    </row>
    <row r="37" spans="2:17" x14ac:dyDescent="0.25">
      <c r="B37" s="14" t="s">
        <v>247</v>
      </c>
      <c r="C37" s="6"/>
      <c r="N37">
        <v>33</v>
      </c>
      <c r="O37" s="4">
        <v>44927</v>
      </c>
      <c r="P37">
        <f>COUNTIFS(Table_staff[Date Joined],"&gt;="&amp;O37, Table_staff[Date Joined],"&lt;="&amp;EOMONTH(O37,0))</f>
        <v>0</v>
      </c>
      <c r="Q37">
        <f>SUM($P$5:P37)</f>
        <v>181</v>
      </c>
    </row>
    <row r="38" spans="2:17" x14ac:dyDescent="0.25">
      <c r="B38" s="28" t="s">
        <v>243</v>
      </c>
      <c r="C38" s="6">
        <v>1</v>
      </c>
      <c r="N38">
        <v>34</v>
      </c>
      <c r="O38" s="4">
        <v>44958</v>
      </c>
      <c r="P38">
        <f>COUNTIFS(Table_staff[Date Joined],"&gt;="&amp;O38, Table_staff[Date Joined],"&lt;="&amp;EOMONTH(O38,0))</f>
        <v>1</v>
      </c>
      <c r="Q38">
        <f>SUM($P$5:P38)</f>
        <v>182</v>
      </c>
    </row>
    <row r="39" spans="2:17" x14ac:dyDescent="0.25">
      <c r="B39" s="28" t="s">
        <v>245</v>
      </c>
      <c r="C39" s="6">
        <v>2</v>
      </c>
      <c r="N39">
        <v>35</v>
      </c>
      <c r="O39" s="4">
        <v>44986</v>
      </c>
      <c r="P39">
        <f>COUNTIFS(Table_staff[Date Joined],"&gt;="&amp;O39, Table_staff[Date Joined],"&lt;="&amp;EOMONTH(O39,0))</f>
        <v>0</v>
      </c>
      <c r="Q39">
        <f>SUM($P$5:P39)</f>
        <v>182</v>
      </c>
    </row>
    <row r="40" spans="2:17" x14ac:dyDescent="0.25">
      <c r="B40" s="14" t="s">
        <v>223</v>
      </c>
      <c r="C40" s="6"/>
      <c r="N40">
        <v>36</v>
      </c>
      <c r="O40" s="4">
        <v>45017</v>
      </c>
      <c r="P40">
        <f>COUNTIFS(Table_staff[Date Joined],"&gt;="&amp;O40, Table_staff[Date Joined],"&lt;="&amp;EOMONTH(O40,0))</f>
        <v>1</v>
      </c>
      <c r="Q40">
        <f>SUM($P$5:P40)</f>
        <v>183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3917-4C30-4422-980E-5892E85AF89A}">
  <dimension ref="B3:M22"/>
  <sheetViews>
    <sheetView showGridLines="0" tabSelected="1" zoomScale="80" zoomScaleNormal="80" workbookViewId="0">
      <selection activeCell="O11" sqref="O11"/>
    </sheetView>
  </sheetViews>
  <sheetFormatPr defaultRowHeight="15" x14ac:dyDescent="0.25"/>
  <cols>
    <col min="2" max="2" width="20.28515625" customWidth="1"/>
    <col min="3" max="3" width="2.5703125" customWidth="1"/>
    <col min="4" max="4" width="20.28515625" customWidth="1"/>
    <col min="5" max="5" width="2.5703125" customWidth="1"/>
    <col min="6" max="6" width="20.28515625" customWidth="1"/>
    <col min="8" max="8" width="9.140625" customWidth="1"/>
    <col min="9" max="9" width="20.28515625" customWidth="1"/>
    <col min="10" max="10" width="2.5703125" customWidth="1"/>
    <col min="11" max="11" width="20.28515625" customWidth="1"/>
    <col min="12" max="12" width="2.5703125" customWidth="1"/>
    <col min="13" max="13" width="20.28515625" customWidth="1"/>
  </cols>
  <sheetData>
    <row r="3" spans="2:13" ht="27" customHeight="1" x14ac:dyDescent="0.25">
      <c r="B3" s="42" t="s">
        <v>252</v>
      </c>
      <c r="C3" s="42"/>
      <c r="D3" s="42"/>
      <c r="E3" s="42"/>
      <c r="F3" s="42"/>
      <c r="I3" s="42" t="s">
        <v>253</v>
      </c>
      <c r="J3" s="42"/>
      <c r="K3" s="42"/>
      <c r="L3" s="42"/>
      <c r="M3" s="42"/>
    </row>
    <row r="4" spans="2:13" ht="113.25" customHeight="1" x14ac:dyDescent="0.25">
      <c r="B4" s="36">
        <f>COUNTIF(Table_staff[Country],"NZ")</f>
        <v>91</v>
      </c>
      <c r="D4" s="37">
        <f>COUNTIFS(Table_staff[Country],"NZ",Table_staff[Gender],"Female")/B4</f>
        <v>0.47252747252747251</v>
      </c>
      <c r="F4" s="41">
        <f>AVERAGEIFS(Table_staff[Salary],Table_staff[Country],"NZ")</f>
        <v>76978.791208791212</v>
      </c>
      <c r="I4" s="38">
        <f>COUNTIF(Table_staff[Country],"IND")</f>
        <v>92</v>
      </c>
      <c r="K4" s="39">
        <f>COUNTIFS(Table_staff[Country],"IND",Table_staff[Gender],"Female")/I4</f>
        <v>0.46739130434782611</v>
      </c>
      <c r="M4" s="40">
        <f>AVERAGEIFS(Table_staff[Salary],Table_staff[Country],"IND")</f>
        <v>77366.521739130432</v>
      </c>
    </row>
    <row r="6" spans="2:13" ht="26.25" customHeight="1" x14ac:dyDescent="0.25">
      <c r="B6" s="42" t="s">
        <v>251</v>
      </c>
      <c r="C6" s="42"/>
      <c r="D6" s="42"/>
      <c r="E6" s="42"/>
      <c r="F6" s="42"/>
      <c r="G6" s="42"/>
      <c r="H6" s="42"/>
      <c r="I6" s="42"/>
      <c r="J6" s="42"/>
      <c r="K6" s="42"/>
      <c r="L6" s="42"/>
      <c r="M6" s="42"/>
    </row>
    <row r="8" spans="2:13" x14ac:dyDescent="0.25">
      <c r="B8" s="29"/>
      <c r="C8" s="30"/>
      <c r="D8" s="30"/>
      <c r="E8" s="30"/>
      <c r="F8" s="31"/>
      <c r="I8" s="29"/>
      <c r="J8" s="30"/>
      <c r="K8" s="30"/>
      <c r="L8" s="30"/>
      <c r="M8" s="31"/>
    </row>
    <row r="9" spans="2:13" x14ac:dyDescent="0.25">
      <c r="B9" s="32"/>
      <c r="C9" s="15"/>
      <c r="D9" s="15"/>
      <c r="E9" s="15"/>
      <c r="F9" s="33"/>
      <c r="I9" s="32"/>
      <c r="J9" s="15"/>
      <c r="K9" s="15"/>
      <c r="L9" s="15"/>
      <c r="M9" s="33"/>
    </row>
    <row r="10" spans="2:13" x14ac:dyDescent="0.25">
      <c r="B10" s="32"/>
      <c r="C10" s="15"/>
      <c r="D10" s="15"/>
      <c r="E10" s="15"/>
      <c r="F10" s="33"/>
      <c r="I10" s="32"/>
      <c r="J10" s="15"/>
      <c r="K10" s="15"/>
      <c r="L10" s="15"/>
      <c r="M10" s="33"/>
    </row>
    <row r="11" spans="2:13" x14ac:dyDescent="0.25">
      <c r="B11" s="32"/>
      <c r="C11" s="15"/>
      <c r="D11" s="15"/>
      <c r="E11" s="15"/>
      <c r="F11" s="33"/>
      <c r="I11" s="32"/>
      <c r="J11" s="15"/>
      <c r="K11" s="15"/>
      <c r="L11" s="15"/>
      <c r="M11" s="33"/>
    </row>
    <row r="12" spans="2:13" x14ac:dyDescent="0.25">
      <c r="B12" s="32"/>
      <c r="C12" s="15"/>
      <c r="D12" s="15"/>
      <c r="E12" s="15"/>
      <c r="F12" s="33"/>
      <c r="I12" s="32"/>
      <c r="J12" s="15"/>
      <c r="K12" s="15"/>
      <c r="L12" s="15"/>
      <c r="M12" s="33"/>
    </row>
    <row r="13" spans="2:13" x14ac:dyDescent="0.25">
      <c r="B13" s="32"/>
      <c r="C13" s="15"/>
      <c r="D13" s="15"/>
      <c r="E13" s="15"/>
      <c r="F13" s="33"/>
      <c r="I13" s="32"/>
      <c r="J13" s="15"/>
      <c r="K13" s="15"/>
      <c r="L13" s="15"/>
      <c r="M13" s="33"/>
    </row>
    <row r="14" spans="2:13" x14ac:dyDescent="0.25">
      <c r="B14" s="32"/>
      <c r="C14" s="15"/>
      <c r="D14" s="15"/>
      <c r="E14" s="15"/>
      <c r="F14" s="33"/>
      <c r="I14" s="32"/>
      <c r="J14" s="15"/>
      <c r="K14" s="15"/>
      <c r="L14" s="15"/>
      <c r="M14" s="33"/>
    </row>
    <row r="15" spans="2:13" x14ac:dyDescent="0.25">
      <c r="B15" s="32"/>
      <c r="C15" s="15"/>
      <c r="D15" s="15"/>
      <c r="E15" s="15"/>
      <c r="F15" s="33"/>
      <c r="I15" s="32"/>
      <c r="J15" s="15"/>
      <c r="K15" s="15"/>
      <c r="L15" s="15"/>
      <c r="M15" s="33"/>
    </row>
    <row r="16" spans="2:13" x14ac:dyDescent="0.25">
      <c r="B16" s="32"/>
      <c r="C16" s="15"/>
      <c r="D16" s="15"/>
      <c r="E16" s="15"/>
      <c r="F16" s="33"/>
      <c r="I16" s="32"/>
      <c r="J16" s="15"/>
      <c r="K16" s="15"/>
      <c r="L16" s="15"/>
      <c r="M16" s="33"/>
    </row>
    <row r="17" spans="2:13" x14ac:dyDescent="0.25">
      <c r="B17" s="32"/>
      <c r="C17" s="15"/>
      <c r="D17" s="15"/>
      <c r="E17" s="15"/>
      <c r="F17" s="33"/>
      <c r="I17" s="32"/>
      <c r="J17" s="15"/>
      <c r="K17" s="15"/>
      <c r="L17" s="15"/>
      <c r="M17" s="33"/>
    </row>
    <row r="18" spans="2:13" x14ac:dyDescent="0.25">
      <c r="B18" s="32"/>
      <c r="C18" s="15"/>
      <c r="D18" s="15"/>
      <c r="E18" s="15"/>
      <c r="F18" s="33"/>
      <c r="I18" s="32"/>
      <c r="J18" s="15"/>
      <c r="K18" s="15"/>
      <c r="L18" s="15"/>
      <c r="M18" s="33"/>
    </row>
    <row r="19" spans="2:13" x14ac:dyDescent="0.25">
      <c r="B19" s="32"/>
      <c r="C19" s="15"/>
      <c r="D19" s="15"/>
      <c r="E19" s="15"/>
      <c r="F19" s="33"/>
      <c r="I19" s="32"/>
      <c r="J19" s="15"/>
      <c r="K19" s="15"/>
      <c r="L19" s="15"/>
      <c r="M19" s="33"/>
    </row>
    <row r="20" spans="2:13" x14ac:dyDescent="0.25">
      <c r="B20" s="32"/>
      <c r="C20" s="15"/>
      <c r="D20" s="15"/>
      <c r="E20" s="15"/>
      <c r="F20" s="33"/>
      <c r="I20" s="32"/>
      <c r="J20" s="15"/>
      <c r="K20" s="15"/>
      <c r="L20" s="15"/>
      <c r="M20" s="33"/>
    </row>
    <row r="21" spans="2:13" x14ac:dyDescent="0.25">
      <c r="B21" s="32"/>
      <c r="C21" s="15"/>
      <c r="D21" s="15"/>
      <c r="E21" s="15"/>
      <c r="F21" s="33"/>
      <c r="I21" s="32"/>
      <c r="J21" s="15"/>
      <c r="K21" s="15"/>
      <c r="L21" s="15"/>
      <c r="M21" s="33"/>
    </row>
    <row r="22" spans="2:13" x14ac:dyDescent="0.25">
      <c r="B22" s="34"/>
      <c r="C22" s="16"/>
      <c r="D22" s="16"/>
      <c r="E22" s="16"/>
      <c r="F22" s="35"/>
      <c r="I22" s="34"/>
      <c r="J22" s="16"/>
      <c r="K22" s="16"/>
      <c r="L22" s="16"/>
      <c r="M22" s="35"/>
    </row>
  </sheetData>
  <mergeCells count="3">
    <mergeCell ref="B6:M6"/>
    <mergeCell ref="B3:F3"/>
    <mergeCell ref="I3:M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0E3B6-4DE9-41FD-8EE6-FEC840E27BEF}">
  <dimension ref="E4:N12"/>
  <sheetViews>
    <sheetView workbookViewId="0">
      <selection activeCell="N8" sqref="N8"/>
    </sheetView>
  </sheetViews>
  <sheetFormatPr defaultRowHeight="15" x14ac:dyDescent="0.25"/>
  <cols>
    <col min="5" max="5" width="14.28515625" bestFit="1" customWidth="1"/>
    <col min="10" max="10" width="13.140625" bestFit="1" customWidth="1"/>
    <col min="11" max="11" width="14.42578125" bestFit="1" customWidth="1"/>
    <col min="13" max="13" width="13.140625" bestFit="1" customWidth="1"/>
    <col min="14" max="14" width="14.42578125" bestFit="1" customWidth="1"/>
  </cols>
  <sheetData>
    <row r="4" spans="5:14" x14ac:dyDescent="0.25">
      <c r="E4" s="14" t="s">
        <v>10</v>
      </c>
      <c r="F4">
        <v>5</v>
      </c>
      <c r="J4" s="25" t="s">
        <v>204</v>
      </c>
      <c r="K4" t="s" vm="1">
        <v>205</v>
      </c>
      <c r="M4" s="25" t="s">
        <v>204</v>
      </c>
      <c r="N4" t="s" vm="2">
        <v>207</v>
      </c>
    </row>
    <row r="5" spans="5:14" x14ac:dyDescent="0.25">
      <c r="E5" s="14" t="s">
        <v>13</v>
      </c>
      <c r="F5">
        <v>4</v>
      </c>
    </row>
    <row r="6" spans="5:14" x14ac:dyDescent="0.25">
      <c r="E6" s="14" t="s">
        <v>16</v>
      </c>
      <c r="F6">
        <v>3</v>
      </c>
      <c r="J6" s="25" t="s">
        <v>230</v>
      </c>
      <c r="K6" t="s">
        <v>224</v>
      </c>
      <c r="M6" s="25" t="s">
        <v>230</v>
      </c>
      <c r="N6" t="s">
        <v>224</v>
      </c>
    </row>
    <row r="7" spans="5:14" x14ac:dyDescent="0.25">
      <c r="E7" s="14" t="s">
        <v>24</v>
      </c>
      <c r="F7">
        <v>2</v>
      </c>
      <c r="J7" s="14" t="s">
        <v>9</v>
      </c>
      <c r="K7" s="6">
        <v>28</v>
      </c>
      <c r="M7" s="14" t="s">
        <v>12</v>
      </c>
      <c r="N7" s="6">
        <v>27</v>
      </c>
    </row>
    <row r="8" spans="5:14" x14ac:dyDescent="0.25">
      <c r="E8" s="14" t="s">
        <v>42</v>
      </c>
      <c r="F8">
        <v>1</v>
      </c>
      <c r="J8" s="14" t="s">
        <v>12</v>
      </c>
      <c r="K8" s="6">
        <v>27</v>
      </c>
      <c r="M8" s="14" t="s">
        <v>9</v>
      </c>
      <c r="N8" s="6">
        <v>27</v>
      </c>
    </row>
    <row r="9" spans="5:14" x14ac:dyDescent="0.25">
      <c r="J9" s="14" t="s">
        <v>21</v>
      </c>
      <c r="K9" s="6">
        <v>19</v>
      </c>
      <c r="M9" s="14" t="s">
        <v>21</v>
      </c>
      <c r="N9" s="6">
        <v>19</v>
      </c>
    </row>
    <row r="10" spans="5:14" x14ac:dyDescent="0.25">
      <c r="J10" s="14" t="s">
        <v>19</v>
      </c>
      <c r="K10" s="6">
        <v>14</v>
      </c>
      <c r="M10" s="14" t="s">
        <v>19</v>
      </c>
      <c r="N10" s="6">
        <v>14</v>
      </c>
    </row>
    <row r="11" spans="5:14" x14ac:dyDescent="0.25">
      <c r="J11" s="14" t="s">
        <v>56</v>
      </c>
      <c r="K11" s="6">
        <v>4</v>
      </c>
      <c r="M11" s="14" t="s">
        <v>56</v>
      </c>
      <c r="N11" s="6">
        <v>4</v>
      </c>
    </row>
    <row r="12" spans="5:14" x14ac:dyDescent="0.25">
      <c r="J12" s="14" t="s">
        <v>223</v>
      </c>
      <c r="K12" s="6">
        <v>92</v>
      </c>
      <c r="M12" s="14" t="s">
        <v>223</v>
      </c>
      <c r="N12" s="6">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AE7B1-6492-4280-9701-81A069188D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All Staff</vt:lpstr>
      <vt:lpstr>Info Finder 2.0</vt:lpstr>
      <vt:lpstr>Male vs Female</vt:lpstr>
      <vt:lpstr>Salary Spread</vt:lpstr>
      <vt:lpstr>Salary vs Rating</vt:lpstr>
      <vt:lpstr>Employee Trend</vt:lpstr>
      <vt:lpstr>Ind vs. Nz</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Muhammad Asim</cp:lastModifiedBy>
  <dcterms:created xsi:type="dcterms:W3CDTF">2021-03-14T20:21:32Z</dcterms:created>
  <dcterms:modified xsi:type="dcterms:W3CDTF">2023-08-04T09:42:40Z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2023-08-04T03:48:03Z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b0a4ee6b-c781-4d1b-b8ce-408fe4188736</vt:lpwstr>
  </property>
  <property fmtid="{D5CDD505-2E9C-101B-9397-08002B2CF9AE}" pid="8" name="MSIP_Label_defa4170-0d19-0005-0004-bc88714345d2_ContentBits">
    <vt:lpwstr>0</vt:lpwstr>
  </property>
</Properties>
</file>