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0" yWindow="0" windowWidth="21580" windowHeight="113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19" i="1"/>
  <c r="B25" i="1"/>
  <c r="B63" i="1"/>
  <c r="B55" i="1"/>
  <c r="B56" i="1"/>
  <c r="B43" i="1"/>
  <c r="B40" i="1"/>
  <c r="B41" i="1"/>
  <c r="B45" i="1"/>
  <c r="B32" i="1"/>
  <c r="B31" i="1"/>
  <c r="B18" i="1"/>
  <c r="B16" i="1"/>
  <c r="B11" i="1"/>
  <c r="B12" i="1"/>
  <c r="B26" i="1"/>
  <c r="B44" i="1"/>
  <c r="B64" i="1"/>
  <c r="B46" i="1"/>
  <c r="B47" i="1"/>
  <c r="B48" i="1"/>
  <c r="B35" i="1"/>
  <c r="B8" i="1"/>
  <c r="B9" i="1"/>
  <c r="B60" i="1"/>
  <c r="B61" i="1"/>
  <c r="B66" i="1"/>
  <c r="B65" i="1"/>
  <c r="B67" i="1"/>
</calcChain>
</file>

<file path=xl/sharedStrings.xml><?xml version="1.0" encoding="utf-8"?>
<sst xmlns="http://schemas.openxmlformats.org/spreadsheetml/2006/main" count="69" uniqueCount="68">
  <si>
    <t>比速度</t>
    <rPh sb="0" eb="3">
      <t>ヒソクド</t>
    </rPh>
    <phoneticPr fontId="1"/>
  </si>
  <si>
    <t>回転数(rpm)</t>
    <rPh sb="0" eb="3">
      <t>カイテンスウ</t>
    </rPh>
    <phoneticPr fontId="1"/>
  </si>
  <si>
    <t>揚程(m)</t>
    <rPh sb="0" eb="2">
      <t>ヨウテイ</t>
    </rPh>
    <phoneticPr fontId="1"/>
  </si>
  <si>
    <t>流量(m3/min)</t>
    <rPh sb="0" eb="2">
      <t>リュウリョウ</t>
    </rPh>
    <phoneticPr fontId="1"/>
  </si>
  <si>
    <t>流量(m3/s)</t>
    <rPh sb="0" eb="2">
      <t>リュウリョウ</t>
    </rPh>
    <phoneticPr fontId="1"/>
  </si>
  <si>
    <t>O/F</t>
    <phoneticPr fontId="1"/>
  </si>
  <si>
    <t>推力(N)</t>
    <rPh sb="0" eb="2">
      <t>スイリョク</t>
    </rPh>
    <phoneticPr fontId="1"/>
  </si>
  <si>
    <t>比推力(sec)</t>
    <rPh sb="0" eb="3">
      <t>ヒスイリョク</t>
    </rPh>
    <phoneticPr fontId="1"/>
  </si>
  <si>
    <t>酸化剤密度(kg/m3)</t>
    <rPh sb="0" eb="3">
      <t>サンカザイ</t>
    </rPh>
    <rPh sb="3" eb="5">
      <t>ミツド</t>
    </rPh>
    <phoneticPr fontId="1"/>
  </si>
  <si>
    <t>酸化剤質量流量(kg/s)</t>
    <rPh sb="0" eb="3">
      <t>サンカザイ</t>
    </rPh>
    <rPh sb="3" eb="5">
      <t>シツリョウ</t>
    </rPh>
    <rPh sb="5" eb="7">
      <t>リュウリョウ</t>
    </rPh>
    <phoneticPr fontId="1"/>
  </si>
  <si>
    <t>LOX</t>
    <phoneticPr fontId="1"/>
  </si>
  <si>
    <t>燃料密度(kg/m3)</t>
    <rPh sb="0" eb="2">
      <t>ネンリョウ</t>
    </rPh>
    <rPh sb="2" eb="4">
      <t>ミツド</t>
    </rPh>
    <phoneticPr fontId="1"/>
  </si>
  <si>
    <t>燃料質量流量(kg/s)</t>
    <rPh sb="0" eb="2">
      <t>ネンリョウ</t>
    </rPh>
    <rPh sb="2" eb="4">
      <t>シツリョウ</t>
    </rPh>
    <rPh sb="4" eb="6">
      <t>リュウリョウ</t>
    </rPh>
    <phoneticPr fontId="1"/>
  </si>
  <si>
    <t>エタノール</t>
    <phoneticPr fontId="1"/>
  </si>
  <si>
    <t>重力加速度(m/s2)</t>
    <rPh sb="0" eb="5">
      <t>ジュウリョク</t>
    </rPh>
    <phoneticPr fontId="1"/>
  </si>
  <si>
    <t>推進剤質量流量(kg/s)</t>
    <rPh sb="0" eb="3">
      <t>スイシンザイ</t>
    </rPh>
    <rPh sb="3" eb="7">
      <t>シツリョウ</t>
    </rPh>
    <phoneticPr fontId="1"/>
  </si>
  <si>
    <t>酸化剤流量(m3/s)</t>
    <rPh sb="0" eb="3">
      <t>サンカザイ</t>
    </rPh>
    <rPh sb="3" eb="5">
      <t>リュウリョウ</t>
    </rPh>
    <phoneticPr fontId="1"/>
  </si>
  <si>
    <t>燃料流量(m3/s)</t>
    <rPh sb="0" eb="2">
      <t>ネンリョウ</t>
    </rPh>
    <rPh sb="2" eb="4">
      <t>リュウリョウ</t>
    </rPh>
    <phoneticPr fontId="1"/>
  </si>
  <si>
    <t>ロケットエンジン</t>
    <phoneticPr fontId="1"/>
  </si>
  <si>
    <t>ポンプ（エタノール）</t>
    <phoneticPr fontId="1"/>
  </si>
  <si>
    <t>出口圧力(MPa)</t>
    <rPh sb="0" eb="2">
      <t>デグチ</t>
    </rPh>
    <rPh sb="2" eb="4">
      <t>アツリョク</t>
    </rPh>
    <phoneticPr fontId="1"/>
  </si>
  <si>
    <t>回転角速度(rad/s)</t>
    <rPh sb="0" eb="2">
      <t>カイテン</t>
    </rPh>
    <rPh sb="2" eb="5">
      <t>カクソクド</t>
    </rPh>
    <phoneticPr fontId="1"/>
  </si>
  <si>
    <t>羽根車入口設計</t>
    <rPh sb="0" eb="3">
      <t>ハネグル</t>
    </rPh>
    <rPh sb="3" eb="5">
      <t>イリグチ</t>
    </rPh>
    <rPh sb="5" eb="7">
      <t>セッケイ</t>
    </rPh>
    <phoneticPr fontId="1"/>
  </si>
  <si>
    <t>比速度Ns</t>
    <rPh sb="0" eb="3">
      <t>ヒソクド</t>
    </rPh>
    <phoneticPr fontId="1"/>
  </si>
  <si>
    <t>Type Number K</t>
    <phoneticPr fontId="1"/>
  </si>
  <si>
    <t>入口圧力(MPa)</t>
    <rPh sb="0" eb="2">
      <t>イリグチ</t>
    </rPh>
    <rPh sb="2" eb="4">
      <t>アツリョク</t>
    </rPh>
    <phoneticPr fontId="1"/>
  </si>
  <si>
    <t>吸込水面ヘッドHa(m)</t>
    <rPh sb="0" eb="1">
      <t>ス</t>
    </rPh>
    <rPh sb="1" eb="2">
      <t>コ</t>
    </rPh>
    <rPh sb="2" eb="4">
      <t>スイメン</t>
    </rPh>
    <phoneticPr fontId="1"/>
  </si>
  <si>
    <t>飽和蒸気ヘッドHv(m)</t>
    <rPh sb="0" eb="2">
      <t>ホウワ</t>
    </rPh>
    <rPh sb="2" eb="4">
      <t>ジョウキ</t>
    </rPh>
    <phoneticPr fontId="1"/>
  </si>
  <si>
    <t>損失ヘッドHloss(m)</t>
    <rPh sb="0" eb="2">
      <t>ソンシツ</t>
    </rPh>
    <phoneticPr fontId="1"/>
  </si>
  <si>
    <t>飽和蒸気圧曲線より25度のとき</t>
    <rPh sb="0" eb="5">
      <t>ホウワジョウキア</t>
    </rPh>
    <rPh sb="5" eb="7">
      <t>キョクセン</t>
    </rPh>
    <rPh sb="11" eb="12">
      <t>ド</t>
    </rPh>
    <phoneticPr fontId="1"/>
  </si>
  <si>
    <t>ポンプ高さh(m)</t>
    <rPh sb="3" eb="4">
      <t>タカ</t>
    </rPh>
    <phoneticPr fontId="1"/>
  </si>
  <si>
    <t>NPSH(m)</t>
    <phoneticPr fontId="1"/>
  </si>
  <si>
    <t>有効必要吸込ヘッドと吸込比速度</t>
    <rPh sb="0" eb="2">
      <t>ユウコウ</t>
    </rPh>
    <rPh sb="2" eb="4">
      <t>ヒツヨウ</t>
    </rPh>
    <rPh sb="4" eb="5">
      <t>キュウ</t>
    </rPh>
    <rPh sb="5" eb="6">
      <t>コミ</t>
    </rPh>
    <rPh sb="10" eb="11">
      <t>キュウ</t>
    </rPh>
    <rPh sb="11" eb="12">
      <t>コミ</t>
    </rPh>
    <rPh sb="12" eb="13">
      <t>ヒ</t>
    </rPh>
    <rPh sb="13" eb="15">
      <t>ソクド</t>
    </rPh>
    <phoneticPr fontId="1"/>
  </si>
  <si>
    <t>羽根入口揚程低下係数λ1</t>
    <rPh sb="0" eb="2">
      <t>ハネ</t>
    </rPh>
    <rPh sb="2" eb="4">
      <t>イリグチ</t>
    </rPh>
    <rPh sb="4" eb="6">
      <t>ヨウテイ</t>
    </rPh>
    <rPh sb="6" eb="8">
      <t>テイカ</t>
    </rPh>
    <rPh sb="8" eb="10">
      <t>ケイスウ</t>
    </rPh>
    <phoneticPr fontId="1"/>
  </si>
  <si>
    <t>羽根入口揚程低下係数λ2</t>
    <rPh sb="0" eb="2">
      <t>ハネ</t>
    </rPh>
    <rPh sb="2" eb="4">
      <t>イリグチ</t>
    </rPh>
    <rPh sb="4" eb="6">
      <t>ヨウテイ</t>
    </rPh>
    <rPh sb="6" eb="8">
      <t>テイカ</t>
    </rPh>
    <rPh sb="8" eb="10">
      <t>ケイスウ</t>
    </rPh>
    <phoneticPr fontId="1"/>
  </si>
  <si>
    <t>Hsv最小となる入口角度tanβ1</t>
    <rPh sb="3" eb="5">
      <t>サイショウ</t>
    </rPh>
    <rPh sb="8" eb="10">
      <t>イリグチ</t>
    </rPh>
    <rPh sb="10" eb="12">
      <t>カクド</t>
    </rPh>
    <phoneticPr fontId="1"/>
  </si>
  <si>
    <t>β(deg)</t>
    <phoneticPr fontId="1"/>
  </si>
  <si>
    <t>ハブ比ν</t>
    <rPh sb="2" eb="3">
      <t>ヒ</t>
    </rPh>
    <phoneticPr fontId="1"/>
  </si>
  <si>
    <t>吸込比速度Sの最大値</t>
    <rPh sb="0" eb="2">
      <t>スイコ</t>
    </rPh>
    <rPh sb="2" eb="3">
      <t>ヒ</t>
    </rPh>
    <rPh sb="3" eb="5">
      <t>ソクド</t>
    </rPh>
    <rPh sb="7" eb="10">
      <t>サイダイチ</t>
    </rPh>
    <phoneticPr fontId="1"/>
  </si>
  <si>
    <t>Hsvの係数</t>
    <rPh sb="4" eb="6">
      <t>ケイスウ</t>
    </rPh>
    <phoneticPr fontId="1"/>
  </si>
  <si>
    <t>入口絶対速度v1(m/s)</t>
    <rPh sb="0" eb="2">
      <t>イリグチ</t>
    </rPh>
    <rPh sb="2" eb="4">
      <t>ゼッタイ</t>
    </rPh>
    <rPh sb="4" eb="6">
      <t>ソクド</t>
    </rPh>
    <phoneticPr fontId="1"/>
  </si>
  <si>
    <t>必要有効吸込ヘッドHsv(m)</t>
    <rPh sb="0" eb="2">
      <t>ヒツヨウ</t>
    </rPh>
    <rPh sb="2" eb="4">
      <t>ユウコウ</t>
    </rPh>
    <rPh sb="4" eb="6">
      <t>スイコ</t>
    </rPh>
    <phoneticPr fontId="1"/>
  </si>
  <si>
    <t>羽根入口シュラウド径Ds</t>
    <rPh sb="0" eb="4">
      <t>ハネ</t>
    </rPh>
    <rPh sb="9" eb="10">
      <t>ケイ</t>
    </rPh>
    <phoneticPr fontId="1"/>
  </si>
  <si>
    <t>羽根入口ハブ径Dh</t>
    <rPh sb="0" eb="4">
      <t>ハネ</t>
    </rPh>
    <rPh sb="6" eb="7">
      <t>ケイ</t>
    </rPh>
    <phoneticPr fontId="1"/>
  </si>
  <si>
    <t>羽根出口設計</t>
    <rPh sb="0" eb="2">
      <t>ハネ</t>
    </rPh>
    <rPh sb="2" eb="4">
      <t>デグチ</t>
    </rPh>
    <rPh sb="4" eb="6">
      <t>セッケイ</t>
    </rPh>
    <phoneticPr fontId="1"/>
  </si>
  <si>
    <t>すべり係数</t>
    <rPh sb="3" eb="5">
      <t>ケイスウ</t>
    </rPh>
    <phoneticPr fontId="1"/>
  </si>
  <si>
    <t>キャビテーションと有効吸込ヘッド</t>
    <rPh sb="9" eb="11">
      <t>ユウコウ</t>
    </rPh>
    <rPh sb="11" eb="13">
      <t>スイコ</t>
    </rPh>
    <phoneticPr fontId="1"/>
  </si>
  <si>
    <t>羽根出口角度β2(deg)</t>
    <rPh sb="0" eb="2">
      <t>ハネ</t>
    </rPh>
    <rPh sb="2" eb="4">
      <t>デグチ</t>
    </rPh>
    <rPh sb="4" eb="6">
      <t>カクド</t>
    </rPh>
    <phoneticPr fontId="1"/>
  </si>
  <si>
    <t>εlimit</t>
    <phoneticPr fontId="1"/>
  </si>
  <si>
    <t>羽根枚数Z</t>
    <rPh sb="0" eb="4">
      <t>ハネマイスウ</t>
    </rPh>
    <phoneticPr fontId="1"/>
  </si>
  <si>
    <t>σ　(1-k)のすべり係数</t>
    <rPh sb="11" eb="13">
      <t>ケイスウ</t>
    </rPh>
    <phoneticPr fontId="1"/>
  </si>
  <si>
    <t>R1/R2</t>
    <phoneticPr fontId="1"/>
  </si>
  <si>
    <t>出口諸元</t>
    <rPh sb="0" eb="2">
      <t>デグチ</t>
    </rPh>
    <rPh sb="2" eb="4">
      <t>ショゲン</t>
    </rPh>
    <phoneticPr fontId="1"/>
  </si>
  <si>
    <t>3次方程式</t>
    <rPh sb="1" eb="2">
      <t>ジ</t>
    </rPh>
    <rPh sb="2" eb="5">
      <t>ホウテイシキ</t>
    </rPh>
    <phoneticPr fontId="1"/>
  </si>
  <si>
    <t>Ku</t>
    <phoneticPr fontId="1"/>
  </si>
  <si>
    <t>χ</t>
    <phoneticPr fontId="1"/>
  </si>
  <si>
    <t>(D2/B2)^0.5</t>
    <phoneticPr fontId="1"/>
  </si>
  <si>
    <t>図より</t>
    <rPh sb="0" eb="1">
      <t>ズ</t>
    </rPh>
    <phoneticPr fontId="1"/>
  </si>
  <si>
    <t>Kc</t>
    <phoneticPr fontId="1"/>
  </si>
  <si>
    <t>Km</t>
    <phoneticPr fontId="1"/>
  </si>
  <si>
    <t>Ka</t>
    <phoneticPr fontId="1"/>
  </si>
  <si>
    <t>Kw</t>
    <phoneticPr fontId="1"/>
  </si>
  <si>
    <t>α2(deg)</t>
    <phoneticPr fontId="1"/>
  </si>
  <si>
    <t>渦巻ケーシングの設計</t>
    <rPh sb="0" eb="2">
      <t>ウズマ</t>
    </rPh>
    <rPh sb="8" eb="10">
      <t>セッケイ</t>
    </rPh>
    <phoneticPr fontId="1"/>
  </si>
  <si>
    <t>変更可能なパラメータ</t>
    <rPh sb="0" eb="2">
      <t>ヘンコウ</t>
    </rPh>
    <rPh sb="2" eb="4">
      <t>カノウ</t>
    </rPh>
    <phoneticPr fontId="1"/>
  </si>
  <si>
    <t>計算結果</t>
    <rPh sb="0" eb="2">
      <t>ケイサン</t>
    </rPh>
    <rPh sb="2" eb="4">
      <t>ケッカ</t>
    </rPh>
    <phoneticPr fontId="1"/>
  </si>
  <si>
    <t>定数</t>
    <rPh sb="0" eb="2">
      <t>テイスウ</t>
    </rPh>
    <phoneticPr fontId="1"/>
  </si>
  <si>
    <t>ゴールシーク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</si>
</sst>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3" borderId="0" xfId="0" applyFont="1" applyFill="1">
      <alignment vertical="center"/>
    </xf>
    <xf numFmtId="0" fontId="0" fillId="7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topLeftCell="A23" workbookViewId="0">
      <selection activeCell="B30" sqref="B30"/>
    </sheetView>
  </sheetViews>
  <sheetFormatPr baseColWidth="12" defaultColWidth="8.83203125" defaultRowHeight="17" x14ac:dyDescent="0"/>
  <cols>
    <col min="1" max="1" width="24.83203125" customWidth="1"/>
  </cols>
  <sheetData>
    <row r="1" spans="1:5">
      <c r="A1" s="3" t="s">
        <v>18</v>
      </c>
    </row>
    <row r="2" spans="1:5">
      <c r="A2" s="6" t="s">
        <v>6</v>
      </c>
      <c r="B2">
        <v>10000</v>
      </c>
      <c r="E2" s="6" t="s">
        <v>64</v>
      </c>
    </row>
    <row r="3" spans="1:5">
      <c r="A3" s="6" t="s">
        <v>7</v>
      </c>
      <c r="B3">
        <v>230</v>
      </c>
      <c r="E3" s="4" t="s">
        <v>65</v>
      </c>
    </row>
    <row r="4" spans="1:5">
      <c r="A4" s="6" t="s">
        <v>5</v>
      </c>
      <c r="B4">
        <v>1.6</v>
      </c>
      <c r="E4" s="7" t="s">
        <v>66</v>
      </c>
    </row>
    <row r="5" spans="1:5">
      <c r="A5" s="1" t="s">
        <v>14</v>
      </c>
      <c r="B5">
        <v>9.8000000000000007</v>
      </c>
    </row>
    <row r="6" spans="1:5">
      <c r="A6" s="4" t="s">
        <v>15</v>
      </c>
      <c r="B6">
        <f>B2/B3/B5</f>
        <v>4.4365572315882869</v>
      </c>
    </row>
    <row r="7" spans="1:5">
      <c r="A7" s="7" t="s">
        <v>8</v>
      </c>
      <c r="B7">
        <v>1140</v>
      </c>
      <c r="C7" t="s">
        <v>10</v>
      </c>
    </row>
    <row r="8" spans="1:5">
      <c r="A8" s="4" t="s">
        <v>9</v>
      </c>
      <c r="B8">
        <f>B6*(B4/(B4+1))</f>
        <v>2.7301890655927918</v>
      </c>
    </row>
    <row r="9" spans="1:5">
      <c r="A9" s="4" t="s">
        <v>16</v>
      </c>
      <c r="B9">
        <f>B8/B7</f>
        <v>2.3949026891164839E-3</v>
      </c>
    </row>
    <row r="10" spans="1:5">
      <c r="A10" s="7" t="s">
        <v>11</v>
      </c>
      <c r="B10">
        <v>789</v>
      </c>
      <c r="C10" t="s">
        <v>13</v>
      </c>
    </row>
    <row r="11" spans="1:5">
      <c r="A11" s="4" t="s">
        <v>12</v>
      </c>
      <c r="B11">
        <f>B6*(1/(B4+1))</f>
        <v>1.7063681659954948</v>
      </c>
    </row>
    <row r="12" spans="1:5">
      <c r="A12" s="4" t="s">
        <v>17</v>
      </c>
      <c r="B12">
        <f>B11/B10</f>
        <v>2.1626972953048096E-3</v>
      </c>
    </row>
    <row r="14" spans="1:5">
      <c r="A14" s="3" t="s">
        <v>19</v>
      </c>
    </row>
    <row r="15" spans="1:5">
      <c r="A15" s="6" t="s">
        <v>1</v>
      </c>
      <c r="B15">
        <v>30000</v>
      </c>
    </row>
    <row r="16" spans="1:5">
      <c r="A16" s="4" t="s">
        <v>21</v>
      </c>
      <c r="B16">
        <f>B15/60*2*PI()</f>
        <v>3141.5926535897929</v>
      </c>
    </row>
    <row r="17" spans="1:3">
      <c r="A17" s="6" t="s">
        <v>20</v>
      </c>
      <c r="B17">
        <v>1.6</v>
      </c>
    </row>
    <row r="18" spans="1:3">
      <c r="A18" s="4" t="s">
        <v>2</v>
      </c>
      <c r="B18">
        <f>B17/B7/B5*10^6</f>
        <v>143.21518080916576</v>
      </c>
    </row>
    <row r="19" spans="1:3">
      <c r="A19" s="4" t="s">
        <v>3</v>
      </c>
      <c r="B19">
        <f>B20*60</f>
        <v>0.126</v>
      </c>
    </row>
    <row r="20" spans="1:3">
      <c r="A20" s="6" t="s">
        <v>4</v>
      </c>
      <c r="B20">
        <v>2.0999999999999999E-3</v>
      </c>
    </row>
    <row r="21" spans="1:3">
      <c r="A21" s="6" t="s">
        <v>0</v>
      </c>
      <c r="B21">
        <v>257</v>
      </c>
    </row>
    <row r="24" spans="1:3">
      <c r="A24" s="3" t="s">
        <v>0</v>
      </c>
    </row>
    <row r="25" spans="1:3">
      <c r="A25" s="4" t="s">
        <v>23</v>
      </c>
      <c r="B25">
        <f>B15*B19^0.5/B18^0.75</f>
        <v>257.22592376309603</v>
      </c>
    </row>
    <row r="26" spans="1:3">
      <c r="A26" s="4" t="s">
        <v>24</v>
      </c>
      <c r="B26">
        <f>B16*B20^0.5/(B5*B18)^0.75</f>
        <v>0.62783882932073842</v>
      </c>
    </row>
    <row r="28" spans="1:3">
      <c r="A28" s="3" t="s">
        <v>22</v>
      </c>
    </row>
    <row r="29" spans="1:3">
      <c r="A29" s="3" t="s">
        <v>46</v>
      </c>
    </row>
    <row r="30" spans="1:3">
      <c r="A30" s="6" t="s">
        <v>25</v>
      </c>
      <c r="B30" s="8">
        <v>1</v>
      </c>
    </row>
    <row r="31" spans="1:3">
      <c r="A31" s="4" t="s">
        <v>26</v>
      </c>
      <c r="B31">
        <f>B30/B10/B5*10^6</f>
        <v>129.32929825922764</v>
      </c>
    </row>
    <row r="32" spans="1:3">
      <c r="A32" s="4" t="s">
        <v>27</v>
      </c>
      <c r="B32">
        <f>8100/B5/B10</f>
        <v>1.0475673158997438</v>
      </c>
      <c r="C32" t="s">
        <v>29</v>
      </c>
    </row>
    <row r="33" spans="1:2">
      <c r="A33" s="6" t="s">
        <v>28</v>
      </c>
      <c r="B33">
        <v>3</v>
      </c>
    </row>
    <row r="34" spans="1:2">
      <c r="A34" s="6" t="s">
        <v>30</v>
      </c>
      <c r="B34">
        <v>0</v>
      </c>
    </row>
    <row r="35" spans="1:2">
      <c r="A35" s="4" t="s">
        <v>31</v>
      </c>
      <c r="B35">
        <f>B31-B34-B33-B32</f>
        <v>125.2817309433279</v>
      </c>
    </row>
    <row r="37" spans="1:2">
      <c r="A37" s="3" t="s">
        <v>32</v>
      </c>
    </row>
    <row r="38" spans="1:2">
      <c r="A38" s="6" t="s">
        <v>33</v>
      </c>
      <c r="B38">
        <v>0.25</v>
      </c>
    </row>
    <row r="39" spans="1:2">
      <c r="A39" s="6" t="s">
        <v>34</v>
      </c>
      <c r="B39">
        <v>1.1000000000000001</v>
      </c>
    </row>
    <row r="40" spans="1:2">
      <c r="A40" s="4" t="s">
        <v>35</v>
      </c>
      <c r="B40">
        <f>(B38/2/(B38+B39))^0.5</f>
        <v>0.3042903097250923</v>
      </c>
    </row>
    <row r="41" spans="1:2">
      <c r="A41" s="4" t="s">
        <v>36</v>
      </c>
      <c r="B41">
        <f>DEGREES(ATAN(B40))</f>
        <v>16.924496942657758</v>
      </c>
    </row>
    <row r="42" spans="1:2">
      <c r="A42" s="6" t="s">
        <v>37</v>
      </c>
      <c r="B42">
        <v>0.5</v>
      </c>
    </row>
    <row r="43" spans="1:2">
      <c r="A43" s="4" t="s">
        <v>38</v>
      </c>
      <c r="B43">
        <f>757.7*(1-B42^2)^0.5/(B38^0.5*(B38+B39)^0.25)</f>
        <v>1217.5154260687252</v>
      </c>
    </row>
    <row r="44" spans="1:2">
      <c r="A44" s="4" t="s">
        <v>41</v>
      </c>
      <c r="B44">
        <f>(1/60)^2*(4*PI())^(2/3)/2/B5*(B15*SQRT(B19)/(1-B42^2)^0.5*B40)*(B38+B39+B38/B40^2)</f>
        <v>1.1608257812122933</v>
      </c>
    </row>
    <row r="45" spans="1:2">
      <c r="A45" s="4" t="s">
        <v>39</v>
      </c>
      <c r="B45">
        <f>(B38/SIN(RADIANS(B41))^2+B39)/2/B5</f>
        <v>0.20663265306122447</v>
      </c>
    </row>
    <row r="46" spans="1:2">
      <c r="A46" s="4" t="s">
        <v>40</v>
      </c>
      <c r="B46">
        <f>B15^(2/3)*B19^(1/3)/B45/B43^(2/3)</f>
        <v>20.544192921198775</v>
      </c>
    </row>
    <row r="47" spans="1:2">
      <c r="A47" s="4" t="s">
        <v>42</v>
      </c>
      <c r="B47">
        <f>1.1/SQRT(1-B42^2)*(B19/B15)^(1/3)</f>
        <v>2.0493296188211538E-2</v>
      </c>
    </row>
    <row r="48" spans="1:2">
      <c r="A48" s="4" t="s">
        <v>43</v>
      </c>
      <c r="B48">
        <f>B47*B42</f>
        <v>1.0246648094105769E-2</v>
      </c>
    </row>
    <row r="50" spans="1:3">
      <c r="A50" s="3" t="s">
        <v>44</v>
      </c>
    </row>
    <row r="51" spans="1:3">
      <c r="A51" s="3" t="s">
        <v>45</v>
      </c>
    </row>
    <row r="52" spans="1:3">
      <c r="A52" s="6" t="s">
        <v>49</v>
      </c>
      <c r="B52">
        <v>5</v>
      </c>
    </row>
    <row r="53" spans="1:3">
      <c r="A53" s="6" t="s">
        <v>47</v>
      </c>
      <c r="B53">
        <v>25</v>
      </c>
    </row>
    <row r="54" spans="1:3">
      <c r="A54" s="6" t="s">
        <v>51</v>
      </c>
      <c r="B54">
        <v>0.3</v>
      </c>
    </row>
    <row r="55" spans="1:3">
      <c r="A55" s="4" t="s">
        <v>48</v>
      </c>
      <c r="B55">
        <f>1/EXP(8.16*SIN(RADIANS(B53))/B52)</f>
        <v>0.50172004047116592</v>
      </c>
    </row>
    <row r="56" spans="1:3">
      <c r="A56" s="4" t="s">
        <v>50</v>
      </c>
      <c r="B56">
        <f>IF(B54&lt;B55,1-SQRT(SIN(RADIANS(B53)))/B52^0.7,(1-SQRT(SIN(RADIANS(B53)))/B52^0.7)*(1-((B54-B55)/(1-B55))))</f>
        <v>0.78928515808223321</v>
      </c>
    </row>
    <row r="58" spans="1:3">
      <c r="A58" s="3" t="s">
        <v>52</v>
      </c>
    </row>
    <row r="59" spans="1:3" s="2" customFormat="1">
      <c r="A59" s="6" t="s">
        <v>56</v>
      </c>
      <c r="B59" s="2">
        <v>3.2</v>
      </c>
      <c r="C59" s="2" t="s">
        <v>57</v>
      </c>
    </row>
    <row r="60" spans="1:3">
      <c r="A60" s="4" t="s">
        <v>55</v>
      </c>
      <c r="B60">
        <f>B25*B59/2320</f>
        <v>0.35479437760427041</v>
      </c>
    </row>
    <row r="61" spans="1:3">
      <c r="A61" s="4" t="s">
        <v>53</v>
      </c>
      <c r="B61" t="e">
        <f ca="1">B56*B62^3-0.5*B62-B60^2*_xlfn.COT(RADIANS(B53))</f>
        <v>#NAME?</v>
      </c>
    </row>
    <row r="62" spans="1:3">
      <c r="A62" s="4" t="s">
        <v>54</v>
      </c>
      <c r="B62">
        <v>0.85138898788376804</v>
      </c>
      <c r="C62" t="s">
        <v>67</v>
      </c>
    </row>
    <row r="63" spans="1:3">
      <c r="A63" s="4" t="s">
        <v>58</v>
      </c>
      <c r="B63">
        <f>0.5/B62</f>
        <v>0.5872756250263601</v>
      </c>
    </row>
    <row r="64" spans="1:3">
      <c r="A64" s="4" t="s">
        <v>59</v>
      </c>
      <c r="B64" t="e">
        <f ca="1">(B56*B62-B63)/_xlfn.COT(RADIANS(B53))</f>
        <v>#NAME?</v>
      </c>
    </row>
    <row r="65" spans="1:2">
      <c r="A65" s="4" t="s">
        <v>60</v>
      </c>
      <c r="B65" t="e">
        <f ca="1">SQRT(B64^2+B63^2)</f>
        <v>#NAME?</v>
      </c>
    </row>
    <row r="66" spans="1:2">
      <c r="A66" s="4" t="s">
        <v>61</v>
      </c>
      <c r="B66" t="e">
        <f ca="1">B64/SIN(RADIANS(B53))</f>
        <v>#NAME?</v>
      </c>
    </row>
    <row r="67" spans="1:2">
      <c r="A67" s="4" t="s">
        <v>62</v>
      </c>
      <c r="B67" t="e">
        <f ca="1">DEGREES(ATAN(B64/B63))</f>
        <v>#NAME?</v>
      </c>
    </row>
    <row r="70" spans="1:2">
      <c r="A70" s="5" t="s">
        <v>63</v>
      </c>
    </row>
  </sheetData>
  <phoneticPr fontId="1"/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 ina</dc:creator>
  <cp:lastModifiedBy>稲川 貴大</cp:lastModifiedBy>
  <dcterms:created xsi:type="dcterms:W3CDTF">2014-01-04T23:09:47Z</dcterms:created>
  <dcterms:modified xsi:type="dcterms:W3CDTF">2015-05-29T11:17:34Z</dcterms:modified>
</cp:coreProperties>
</file>