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annotation" sheetId="1" r:id="rId4"/>
    <sheet state="visible" name="cols ids" sheetId="2" r:id="rId5"/>
    <sheet state="visible" name="cols results" sheetId="3" r:id="rId6"/>
  </sheets>
  <definedNames/>
  <calcPr/>
  <extLst>
    <ext uri="GoogleSheetsCustomDataVersion2">
      <go:sheetsCustomData xmlns:go="http://customooxmlschemas.google.com/" r:id="rId7" roundtripDataChecksum="gtQD1zEDAQkRjqS2SPf50D/2KknxC2eVqPo7VkRT7hU="/>
    </ext>
  </extLst>
</workbook>
</file>

<file path=xl/sharedStrings.xml><?xml version="1.0" encoding="utf-8"?>
<sst xmlns="http://schemas.openxmlformats.org/spreadsheetml/2006/main" count="2266" uniqueCount="844">
  <si>
    <t>entry_id</t>
  </si>
  <si>
    <t>entry_1_id</t>
  </si>
  <si>
    <t>entry_1_source</t>
  </si>
  <si>
    <t>entry_1_name</t>
  </si>
  <si>
    <t>entry_1_type</t>
  </si>
  <si>
    <t>entry_1_description</t>
  </si>
  <si>
    <t>entry_1_repository</t>
  </si>
  <si>
    <t>entry_1_webpage</t>
  </si>
  <si>
    <t>entry_1_authors</t>
  </si>
  <si>
    <t>entry_1_publication</t>
  </si>
  <si>
    <t>entry_1_license</t>
  </si>
  <si>
    <t>entry_2_id</t>
  </si>
  <si>
    <t>entry_2_source</t>
  </si>
  <si>
    <t>entry_2_name</t>
  </si>
  <si>
    <t>entry_2_type</t>
  </si>
  <si>
    <t>entry_2_description</t>
  </si>
  <si>
    <t>entry_2_repository</t>
  </si>
  <si>
    <t>entry_2_webpage</t>
  </si>
  <si>
    <t>entry_2_authors</t>
  </si>
  <si>
    <t>entry_2_publication</t>
  </si>
  <si>
    <t>entry_2_license</t>
  </si>
  <si>
    <t>human_decision</t>
  </si>
  <si>
    <t>human_confidence</t>
  </si>
  <si>
    <t>human_rationale</t>
  </si>
  <si>
    <t>hard</t>
  </si>
  <si>
    <t>slimfastq/*</t>
  </si>
  <si>
    <t>sourceforge/slimfastq/None/None</t>
  </si>
  <si>
    <t>sourceforge</t>
  </si>
  <si>
    <t>slimfastq</t>
  </si>
  <si>
    <t>Slimfastq is a cli application that compresses/decompresses fastq files.
It features:
* High compression ratio
* Relatively low cpu/memory usage
* Truly lossless compression/decompression.</t>
  </si>
  <si>
    <t>github/slimfastq/None/v2.04</t>
  </si>
  <si>
    <t>github</t>
  </si>
  <si>
    <t>Fast, efficient, lossless compression of fastq files.</t>
  </si>
  <si>
    <t>same</t>
  </si>
  <si>
    <t>high</t>
  </si>
  <si>
    <t>Same sourceforge page and descriptions refer to the same function</t>
  </si>
  <si>
    <t>pyfastx/*</t>
  </si>
  <si>
    <t>biotools/pyfastx/undefined/None</t>
  </si>
  <si>
    <t>biotools</t>
  </si>
  <si>
    <t>pyfastx</t>
  </si>
  <si>
    <t>undefined</t>
  </si>
  <si>
    <t>The pyfastx is a lightweight Python C extension that enables users to randomly access to sequences from plain and gzipped FASTA Q files.
All tools support for random access were used to perform benchmark.</t>
  </si>
  <si>
    <t>Bisong Yue &lt;zhaokelei@cdu.edu.cn&gt;
Kelei Zhao &lt;bsyue@scu.edu.cn&gt;</t>
  </si>
  <si>
    <t>github/pyfastx/None/2.2.0</t>
  </si>
  <si>
    <t>A python package for fast random access to sequences from plain and gzipped FASTA/Q files.</t>
  </si>
  <si>
    <t xml:space="preserve">PyPI and github readme are the same. </t>
  </si>
  <si>
    <t>prinseq/cmd</t>
  </si>
  <si>
    <t>galaxy/prinseq/cmd/0.20.4</t>
  </si>
  <si>
    <t>galaxy</t>
  </si>
  <si>
    <t>prinseq</t>
  </si>
  <si>
    <t>cmd</t>
  </si>
  <si>
    <t>To process quality of sequences.</t>
  </si>
  <si>
    <t>bioconda_recipes/prinseq/cmd/0.20.4</t>
  </si>
  <si>
    <t>bioconda_recipes</t>
  </si>
  <si>
    <t>PRINSEQ can be used to filter, reformat, or trim your genomic and metagenomic sequence data.</t>
  </si>
  <si>
    <t>GPL-3.0-only</t>
  </si>
  <si>
    <t>medium</t>
  </si>
  <si>
    <t>Same purpose and same documentation page as webpage in 1</t>
  </si>
  <si>
    <t>bioconductor-lipidr/lib</t>
  </si>
  <si>
    <t>biotools/lipidr/lib/None</t>
  </si>
  <si>
    <t>lipidr</t>
  </si>
  <si>
    <t>lib</t>
  </si>
  <si>
    <t>A Software Tool for Data Mining and Analysis of Lipidomics Datasets.
Data Mining and Analysis of Lipidomics Datasets.
lipidr: Data Mining and Analysis of Lipidomics Datasets in R.</t>
  </si>
  <si>
    <t>bioconda_recipes/bioconductor-lipidr/lib/2.16.0</t>
  </si>
  <si>
    <t>bioconductor-lipidr</t>
  </si>
  <si>
    <t>Lipidr an easy-to-use R package implementing a complete workflow for downstream analysis of targeted and untargeted lipidomics data. lipidomics results can be imported into lipidr as a numerical matrix or a Skyline export, allowing integration into current analysis frameworks. Data mining of lipidomics datasets is enabled through integration with Metabolomics Workbench API. lipidr allows data inspection, normalization, univariate and multivariate analysis, displaying informative visualizations. lipidr also implements a novel Lipid Set Enrichment Analysis (LSEA), harnessing molecular information such as lipid class, total chain length and unsaturation.</t>
  </si>
  <si>
    <t>MIT</t>
  </si>
  <si>
    <t>Same authors and same githubs (found in the provided webpages)</t>
  </si>
  <si>
    <t>repet/cmd</t>
  </si>
  <si>
    <t>biotools/repet/cmd/None</t>
  </si>
  <si>
    <t>repet</t>
  </si>
  <si>
    <t>A software of detection, annotation and analysis of repeats in genomic sequences, specifically designed for transposable elements.</t>
  </si>
  <si>
    <t xml:space="preserve"> &lt;urgi-repet@versailles.inra.fr&gt;</t>
  </si>
  <si>
    <t>biotools/repet/cmd/v3.0</t>
  </si>
  <si>
    <t>The REPET package integrates bioinformatics pipelines dedicated to detect, annotate and analyze transposable elements (TEs) in genomic sequences. The main pipelines are (i) TEdenovo, which search for interspersed repeats, build consensus sequences and classify them according to TE features, and (ii)
 TEannot, which mines a genome with a library of TE sequences, for instance the one produced by the TEdenovo pipeline, to provide TE annotations exported into GFF3 files.</t>
  </si>
  <si>
    <t>URGI &lt;urgi-repet@versailles.inrae.fr&gt;</t>
  </si>
  <si>
    <t>Webpages redirect to the same page and the author is the same</t>
  </si>
  <si>
    <t>bmge/cmd</t>
  </si>
  <si>
    <t>biotools/bmge/cmd/1.12</t>
  </si>
  <si>
    <t>bmge</t>
  </si>
  <si>
    <t>Block Mapping and Gathering using Entropy.</t>
  </si>
  <si>
    <t>Simonetta Gribaldo
Institut Pasteur
C3BI
Bioinformatics and Biostatistics Hub
Alexis Criscuolo &lt;alexis.criscuolo@pasteur.fr&gt;
Alexis Criscuolo &lt;alexis.criscuolo@pasteur.fr&gt;</t>
  </si>
  <si>
    <t>bioconda_recipes/bmge/cmd/1.12</t>
  </si>
  <si>
    <t>BMGE (Block Mapping and Gathering with Entropy) is a program that selects
regions in a multiple sequence alignment that are suited for phylogenetic inference.</t>
  </si>
  <si>
    <t>GPL-2.0-only</t>
  </si>
  <si>
    <t>Same suthors and publication</t>
  </si>
  <si>
    <t>rfmix/cmd</t>
  </si>
  <si>
    <t>biotools/rfmix/cmd/None</t>
  </si>
  <si>
    <t>rfmix</t>
  </si>
  <si>
    <t>Apowerful discriminative modeling approach that is faster (~30×) and more accurate than existing methods. It is capable of learning from the admixed samples themselves to boost performance and autocorrect phasing errors. RFMix shows high sensitivity and specificity in simulated Hispanics/Latinos and African Americans and admixed Europeans, Africans, and Asians.</t>
  </si>
  <si>
    <t xml:space="preserve"> &lt;bmaples@stanford.edu&gt;</t>
  </si>
  <si>
    <t>bioconda_recipes/rfmix/cmd/2.03.r0.9505bfa</t>
  </si>
  <si>
    <t>RFMix implements a fast discriminative approach to modeling ancestry along an admixed chromosome given observed haplotype sequences of known or inferred ancestry.</t>
  </si>
  <si>
    <t>Free for Academic Use</t>
  </si>
  <si>
    <t>unclear</t>
  </si>
  <si>
    <t>No common links or author, but description is similar</t>
  </si>
  <si>
    <t>metilene/cmd</t>
  </si>
  <si>
    <t>galaxy/metilene/cmd/0.2.6.1</t>
  </si>
  <si>
    <t>metilene</t>
  </si>
  <si>
    <t>Calling differentially methylated regions from bisulfite sequencing data.</t>
  </si>
  <si>
    <t>bioconda_recipes/metilene/cmd/0.2.8</t>
  </si>
  <si>
    <t>Fast and sensitive detection of differential DNA methylation.</t>
  </si>
  <si>
    <t>Same links for documentation</t>
  </si>
  <si>
    <t>hyphy/*</t>
  </si>
  <si>
    <t>sourceforge/hyphy/None/None</t>
  </si>
  <si>
    <t>hyphy</t>
  </si>
  <si>
    <t>HyPhy is a comprehensive environment for maximum likelihood statistical analysis of genetic sequence data. It includes a large collection of out of the box analyses, a feature-rich graphical user interface for custom data analysis and a scripting languag.</t>
  </si>
  <si>
    <t>github/hyphy/None/2.5.65.actual</t>
  </si>
  <si>
    <t>HyPhy: Hypothesis testing using Phylogenies.</t>
  </si>
  <si>
    <t>low</t>
  </si>
  <si>
    <t xml:space="preserve">SF user is the same as main contributor in github. The programming language is the same. </t>
  </si>
  <si>
    <t>raresim/lib</t>
  </si>
  <si>
    <t>biotools/raresim/lib/None</t>
  </si>
  <si>
    <t>raresim</t>
  </si>
  <si>
    <t>A simulation method for very rare genetic variants.</t>
  </si>
  <si>
    <t>Megan Null &lt;mnull@collegeofidaho.edu&gt;
Josée Dupuis
Pezhman Sheinidashtegol
Audrey E. Hendricks</t>
  </si>
  <si>
    <t>bioconductor/raresim/lib/1.11.0</t>
  </si>
  <si>
    <t>bioconductor</t>
  </si>
  <si>
    <t>Haplotype simulations of rare variant genetic data that emulates real data can be performed with RAREsim. RAREsim uses the expected number of variants in MAC bins - either as provided by default parameters or estimated from target data - and an abundance of rare variants as simulated HAPGEN2 to probabilistically prune variants. RAREsim produces haplotypes that emulate real sequencing data with respect to the total number of variants, allele frequency spectrum, haplotype structure, and variant annotation.</t>
  </si>
  <si>
    <t>https://git.bioconductor.org/packages/RAREsim
https://github.com/meganmichelle/RAREsim</t>
  </si>
  <si>
    <t>Megan Null &lt;mnull@collegeofidaho.edu&gt;
Ryan Barnard &lt;rbarnard1107@gmail.com&gt;</t>
  </si>
  <si>
    <t>Common main author and publication (found inside webpage and github)</t>
  </si>
  <si>
    <t>kma/cmd</t>
  </si>
  <si>
    <t>bioconda_recipes/kma/cmd/1.4.14</t>
  </si>
  <si>
    <t>kma</t>
  </si>
  <si>
    <t>KMA is mapping a method designed to map raw reads directly against redundant databases, in an ultra-fast manner using seed and extend.</t>
  </si>
  <si>
    <t>Apache-2.0</t>
  </si>
  <si>
    <t>biotools/kma/cmd/1.4.0</t>
  </si>
  <si>
    <t>Same repository</t>
  </si>
  <si>
    <t>translig/cmd</t>
  </si>
  <si>
    <t>biotools/translig/cmd/None</t>
  </si>
  <si>
    <t>translig</t>
  </si>
  <si>
    <t>De novo transcriptome assembler that uses line graph iteration.</t>
  </si>
  <si>
    <t>bioconda_recipes/translig/cmd/1.3</t>
  </si>
  <si>
    <t>A de novo transcriptome assembler that uses line graph iteration.</t>
  </si>
  <si>
    <t>Same sourceforge page</t>
  </si>
  <si>
    <t>racon/*</t>
  </si>
  <si>
    <t>biotools/racon/undefined/None</t>
  </si>
  <si>
    <t>racon</t>
  </si>
  <si>
    <t>The Possibility to Use Oxford Nanopore Technology | Ultrafast consensus module for raw de novo genome assembly of long uncorrected reads. http://genome.cshlp.org/content/early/2017/01/18/gr.214270.116 Note: This was the original repository which will no longer be officially maintained. Please use the new official repository here: https://github.com/isovic/racon| Racon is intended as a standalone consensus module to correct raw contigs generated by rapid assembly methods which do not include a consensus step | Consensus module for raw de novo DNA assembly of long uncorrected reads.</t>
  </si>
  <si>
    <t>Chon-Sik Kang &lt;cskang@korea.kr&gt;
Changsoo Kim &lt;changsookim@cnu.ac.kr&gt;</t>
  </si>
  <si>
    <t>github/racon/None/1.5.0</t>
  </si>
  <si>
    <t>Ultrafast consensus module for raw de novo genome assembly of long uncorrected reads.</t>
  </si>
  <si>
    <t>One github links the other. READMEs are the same. It seems at some point the project was moved from one owner to another.</t>
  </si>
  <si>
    <t>pizzly/cmd</t>
  </si>
  <si>
    <t>galaxy/pizzly/cmd/0.37.3.1</t>
  </si>
  <si>
    <t>pizzly</t>
  </si>
  <si>
    <t>- fast fusion detection using kallisto.</t>
  </si>
  <si>
    <t>bioconda_recipes/pizzly/cmd/0.37.3</t>
  </si>
  <si>
    <t>Fast fusion detection using kallisto.</t>
  </si>
  <si>
    <t>BSD-2-Clause</t>
  </si>
  <si>
    <t>Link to biotools with same github in entry 1.</t>
  </si>
  <si>
    <t>sparsedossa2/lib</t>
  </si>
  <si>
    <t>biotools/sparsedossa2/lib/None</t>
  </si>
  <si>
    <t>sparsedossa2</t>
  </si>
  <si>
    <t>SparseDOSSA 2 is an upcoming software for the simulation of null and metadata-associated microbial abundance profiles. It has functionalities for a) fitting to user-provided microbial template datasets, b) synthesizing microbial abundances similar to either user-provided or pre-trained templates, and c) additionally simulating associations with sample metadata or among microbial features.</t>
  </si>
  <si>
    <t>Curtis Huttenhower &lt;chuttenh@hsph.harvard.edu&gt;</t>
  </si>
  <si>
    <t>bioconductor/sparsedossa2/lib/0.99.1</t>
  </si>
  <si>
    <t>SparseDOSSA 2 is an R package for fitting to and the simulation of realistic microbial abundance observations. It provides functionlaities for: a) generation of synthetic microbial observations, based on either pre-fitted template that the package provides, or user-trained results.  b) spiking-in of associations with metadata variables or between feature pairs, for e.g. benchmarking or power analysis purposes.  c) fitting the SparseDOSSA 2 model to real-world microbial abundance observations.</t>
  </si>
  <si>
    <t>Siyuan Ma &lt;syma.research@gmail.com&gt;</t>
  </si>
  <si>
    <t>Bioconductor author is the main contributor to github (found in webpage)</t>
  </si>
  <si>
    <t>bioconductor-crisprverse/lib</t>
  </si>
  <si>
    <t>biotools/crisprverse/lib/None</t>
  </si>
  <si>
    <t>crisprverse</t>
  </si>
  <si>
    <t>A comprehensive Bioconductor ecosystem for the design of CRISPR guide RNAs across nucleases and technologies.</t>
  </si>
  <si>
    <t>Jean-Philippe Fortin &lt;fortin946@gmail.com&gt;</t>
  </si>
  <si>
    <t>bioconda_recipes/bioconductor-crisprverse/lib/1.4.0</t>
  </si>
  <si>
    <t>bioconductor-crisprverse</t>
  </si>
  <si>
    <t>The crisprVerse is a modular ecosystem of R packages developed for the design and manipulation of CRISPR guide RNAs (gRNAs). All packages share a common language and design principles. This package is designed to make it easy to install and load the crisprVerse packages in a single step. To learn more about the crisprVerse, visit &lt;https://www.github.com/crisprVerse&gt;.</t>
  </si>
  <si>
    <t>Same publication and github organization</t>
  </si>
  <si>
    <t>percolator/cmd</t>
  </si>
  <si>
    <t>biotools/percolator/cmd/None</t>
  </si>
  <si>
    <t>percolator</t>
  </si>
  <si>
    <t>Semi-supervised learning for peptide identification from MS/MS data.</t>
  </si>
  <si>
    <t xml:space="preserve"> &lt;webmaster@ms-utils.org&gt;</t>
  </si>
  <si>
    <t>bioconda_recipes/percolator/cmd/3.5</t>
  </si>
  <si>
    <t>Semi-supervised learning for peptide identification from shotgun proteomics datasets.</t>
  </si>
  <si>
    <t>Common author, description 1 is paper title in webpage of 2.</t>
  </si>
  <si>
    <t>ncbi-fcs-gx/cmd</t>
  </si>
  <si>
    <t>biotools/fcs/undefined/None</t>
  </si>
  <si>
    <t>fcs</t>
  </si>
  <si>
    <t>A calculator of conservation and allele frequency for variant pathogenic prediction.</t>
  </si>
  <si>
    <t>José Luis Cabrera Alarcón &lt;jlcabreraa@cnic.es&gt;</t>
  </si>
  <si>
    <t>bioconda_recipes/ncbi-fcs-gx/cmd/0.5.0</t>
  </si>
  <si>
    <t>ncbi-fcs-gx</t>
  </si>
  <si>
    <t>The NCBI Foreign Contamination Screen. Genomic cross-species aligner, for contamination detection.</t>
  </si>
  <si>
    <t>NCBI-PD</t>
  </si>
  <si>
    <t>different</t>
  </si>
  <si>
    <t>Different authors</t>
  </si>
  <si>
    <t>banner/cmd</t>
  </si>
  <si>
    <t>sourceforge/banner/None/None</t>
  </si>
  <si>
    <t>banner</t>
  </si>
  <si>
    <t>BANNER is a named entity recognition system intended primarily for biomedical text. It uses conditional random fields as the primary recognition engine and includes a wide survey of the best techniques described in recent literature.</t>
  </si>
  <si>
    <t>bioconda_recipes/banner/cmd/0.0.2</t>
  </si>
  <si>
    <t>BANNER is a tool that lives inside HULK and aims to make sense of hulk histosketches.</t>
  </si>
  <si>
    <t>Different licenses, different descriptions and domain</t>
  </si>
  <si>
    <t>escher/lib</t>
  </si>
  <si>
    <t>bioconda_recipes/escher/lib/1.7.3</t>
  </si>
  <si>
    <t>escher</t>
  </si>
  <si>
    <t>Escher: A Web Application for Building, Sharing, and Embedding Data-Rich Visualizations of Metabolic Pathways.</t>
  </si>
  <si>
    <t>bioconductor/escher/lib/1.7.0</t>
  </si>
  <si>
    <t>The creation of effective visualizations is a fundamental component of data analysis. In biomedical research, new challenges are emerging to visualize multi-dimensional data in a 2D space, but current data visualization tools have limited capabilities. To address this problem, we leverage Gestalt principles to improve the design and interpretability of multi-dimensional data in 2D data visualizations, layering aesthetics to display multiple variables. The proposed visualization can be applied to spatially-resolved transcriptomics data, but also broadly to data visualized in 2D space, such as embedding visualizations. We provide this open source R package escheR, which is built off of the state-of-the-art ggplot2 visualization framework and can be seamlessly integrated into genomics toolboxes and workflows.</t>
  </si>
  <si>
    <t>https://git.bioconductor.org/packages/escheR
https://github.com/boyiguo1/escheR</t>
  </si>
  <si>
    <t>Boyi Guo &lt;boyi.guo.work@gmail.com&gt;
Stephanie C. Hicks &lt;shicks19@jhu.edu&gt;
Erik D. Nelson &lt;erik.nelson116@gmail.com&gt;</t>
  </si>
  <si>
    <t>Different github repos. Similar but different functionality. Different authors</t>
  </si>
  <si>
    <t>roddy/cmd</t>
  </si>
  <si>
    <t>biotools/roddy/workbench/unreleased</t>
  </si>
  <si>
    <t>roddy</t>
  </si>
  <si>
    <t>workbench</t>
  </si>
  <si>
    <t>Framework aiding scientists and developers to write portable and standardized workflows. It has support for different cluster backends and is designed to be as lightweight as possible. It features XML based multi-level configuration files, support for various workflow and scripting languages and gives them detailed information to reproduce workflow runs.</t>
  </si>
  <si>
    <t>German Cancer Research Center (DKFZ)
EilsLabs
hdhub
Michael Heinold &lt;m.heinold@dkfz-heidelberg.de&gt;</t>
  </si>
  <si>
    <t>biotools/roddy/cmd/3+_versions</t>
  </si>
  <si>
    <t>Roddy is a workflow management system for large scale NGS processing pipelines on Petabyte scale. It is used for Pan-Cancer Analysis of Whole Genomes (PCAWG) project and has a focus on high-throughput computing infrastructures.</t>
  </si>
  <si>
    <t>German Cancer Research Center (DKFZ)
Philip R. Kensche &lt;p.kensche@dkfz.de&gt;</t>
  </si>
  <si>
    <t>Similar description and institution. Authors appear in one github.</t>
  </si>
  <si>
    <t>gplas/cmd</t>
  </si>
  <si>
    <t>bioconda_recipes/gplas/cmd/0.7.0</t>
  </si>
  <si>
    <t>gplas</t>
  </si>
  <si>
    <t>Gplas is a tool to bin plasmid-predicted contigs based on sequence composition, coverage and assembly graph information. It extends the possibility of accurately binning predicted plasmid contigs into several discrete plasmid components.</t>
  </si>
  <si>
    <t>biotools/gplas/cmd/None</t>
  </si>
  <si>
    <t>A comprehensive tool for plasmid analysis using short-read graphs.
gplas: Binning plasmid-predicted contigs using short-read graphs.</t>
  </si>
  <si>
    <t>nebulosa/lib</t>
  </si>
  <si>
    <t>biotools/nebulosa/lib/None</t>
  </si>
  <si>
    <t>nebulosa</t>
  </si>
  <si>
    <t>Nebulosa recovers single cell gene expression signals by kernel density estimation.
Due to the sparsity observed in single-cell data (e.g. RNA-seq, ATAC-seq), the visualization of cell features (e.g. gene, peak) is frequently affected and unclear, especially when it is overlaid with clustering to annotate cell types. Nebulosa is an R package to visualize data from single cells based on kernel density estimation. It aims to recover the signal from dropped-out features by incorporating the similarity between cells allowing a “convolution” of the cell features.</t>
  </si>
  <si>
    <t>Joseph E. Powell &lt;j.powell@garvan.org.au&gt;</t>
  </si>
  <si>
    <t>bioconductor/nebulosa/lib/1.17.0</t>
  </si>
  <si>
    <t>This package provides a enhanced visualization of single-cell data based on gene-weighted density estimation. Nebulosa recovers the signal from dropped-out features and allows the inspection of the joint expression from multiple features (e.g. genes). Seurat and SingleCellExperiment objects can be used within Nebulosa.</t>
  </si>
  <si>
    <t>https://git.bioconductor.org/packages/Nebulosa
https://github.com/powellgenomicslab/Nebulosa</t>
  </si>
  <si>
    <t>Jose Alquicira-Hernandez &lt;alquicirajose@gmail.com&gt;</t>
  </si>
  <si>
    <t>Same github repository</t>
  </si>
  <si>
    <t>crossicc/lib</t>
  </si>
  <si>
    <t>biotools/crossicc/lib/None</t>
  </si>
  <si>
    <t>crossicc</t>
  </si>
  <si>
    <t>CrossICC is a R package for iterative consensus clustering of cross-platform gene expression data without adjusting batch effect. CrossICC utilizes an iterative strategy to derive the optimal gene set and cluster number from consensus similarity matrix generated by consensus clustering and it is able to deal with multiple cross platform datasets so that requires no between-dataset normalizations. This package also provides abundant functions for visualization and identifying subtypes of cancer. Specially, many cancer-related analysis methods are embedded to facilitate the clinical translation of the identified cancer subtypes.</t>
  </si>
  <si>
    <t>Ze-Xian Liu &lt;liuzx@sysucc.org.cn&gt;
Jian Ren &lt;renjian@sysucc.org.cn&gt;
Zhixiang Zuo &lt;zuozhx@sysucc.org.cn&gt;</t>
  </si>
  <si>
    <t>bioconductor/crossicc/lib/1.7.0</t>
  </si>
  <si>
    <t>CrossICC utilizes an iterative strategy to derive the optimal gene set and cluster number from consensus similarity matrix generated by consensus clustering and it is able to deal with multiple cross platform datasets so that requires no between-dataset normalizations. This package also provides abundant functions for visualization and identifying subtypes of cancer. Specially, many cancer-related analysis methods are embedded to facilitate the clinical translation of the identified cancer subtypes.</t>
  </si>
  <si>
    <t>Yu Sun &lt;suny226@mail2.sysu.edu.cn&gt;
Qi Zhao &lt;zhaoqi@sysucc.org.cn&gt;</t>
  </si>
  <si>
    <t>Similar descriptions and same authors.</t>
  </si>
  <si>
    <t>instrain/*</t>
  </si>
  <si>
    <t>biotools/instrain/undefined/None</t>
  </si>
  <si>
    <t>instrain</t>
  </si>
  <si>
    <t>InStrain is a tool for analysis of co-occurring genome populations from metagenomes that allows highly accurate genome comparisons, analysis of coverage, microdiversity, and linkage, and sensitive SNP detection with gene localization and synonymous non-synonymous identification.</t>
  </si>
  <si>
    <t>github/inStrain/None/v1.3.1</t>
  </si>
  <si>
    <t>inStrain</t>
  </si>
  <si>
    <t>Bioinformatics program inStrain.</t>
  </si>
  <si>
    <t>Same repository (found in readthedocs)</t>
  </si>
  <si>
    <t>pydockweb/web</t>
  </si>
  <si>
    <t>biotools/pydockweb/web/1</t>
  </si>
  <si>
    <t>pydockweb</t>
  </si>
  <si>
    <t>web</t>
  </si>
  <si>
    <t>Web server for the structural prediction of protein-protein interactions. Given the 3D coordinates of two interacting proteins, it returns the best rigid-body docking orientations generated by FTDock (Gabb HA. et al. J Mol Biol 1997;272:106-120) and evaluated by pyDock scoring function (Cheng et al. 2007 Proteins 68, 503-515), which includes electrostatics, desolvation energy and limited van der Waals contribution.</t>
  </si>
  <si>
    <t>Brian Jiménez-Garcí­a
Barcelona Supercomputing Center
bsc.es
 &lt;bjimenez@bsc.es&gt;</t>
  </si>
  <si>
    <t>biotools/pydockweb/web/3.5.1</t>
  </si>
  <si>
    <t>Brian Jiménez-Garcí­a &lt;b.jimenezgarcia@uu.nl&gt;
Barcelona Supercomputing Center
 &lt;pydock.services@gmail.com&gt;
Luis Ángel Rodriguez Lumbreras &lt;luis.rodriguez@bsc.es&gt;</t>
  </si>
  <si>
    <t>Same description, publication and appearance.</t>
  </si>
  <si>
    <t>bioconductor-mixomics/lib</t>
  </si>
  <si>
    <t>biotools/mixomics/lib/None</t>
  </si>
  <si>
    <t>mixomics</t>
  </si>
  <si>
    <t>The tool offers a wide range of multivariate methods for the exploration and integration of biological datasets with a particular focus on variable selection.</t>
  </si>
  <si>
    <t>unimelb.edu.au
Australia &lt;mixomics@math.univ-toulouse.fr&gt;</t>
  </si>
  <si>
    <t>bioconda_recipes/bioconductor-mixomics/lib/6.26.0</t>
  </si>
  <si>
    <t>bioconductor-mixomics</t>
  </si>
  <si>
    <t>Multivariate methods are well suited to large omics data sets where the number of variables (e.g. genes, proteins, metabolites) is much larger than the number of samples (patients, cells, mice). They have the appealing properties of reducing the dimension of the data by using instrumental variables (components), which are defined as combinations of all variables. Those components are then used to produce useful graphical outputs that enable better understanding of the relationships and correlation structures between the different data sets that are integrated. mixOmics offers a wide range of multivariate methods for the exploration and integration of biological datasets with a particular focus on variable selection. The package proposes several sparse multivariate models we have developed to identify the key variables that are highly correlated, and/or explain the biological outcome of interest. The data that can be analysed with mixOmics may come from high throughput sequencing technologies, such as omics data (transcriptomics, metabolomics, proteomics, metagenomics etc) but also beyond the realm of omics (e.g. spectral imaging). The methods implemented in mixOmics can also handle missing values without having to delete entire rows with missing data. A non exhaustive list of methods include variants of generalised Canonical Correlation Analysis, sparse Partial Least Squares and sparse Discriminant Analysis. Recently we implemented integrative methods to combine multiple data sets: N-integration with variants of Generalised Canonical Correlation Analysis and P-integration with variants of multi-group Partial Least Squares.</t>
  </si>
  <si>
    <t>GPL-2.0-or-later</t>
  </si>
  <si>
    <t>Same repository (found in bioconductor webpage)</t>
  </si>
  <si>
    <t>mustang/cmd</t>
  </si>
  <si>
    <t>bioconda_recipes/mustang/cmd/3.2.3</t>
  </si>
  <si>
    <t>mustang</t>
  </si>
  <si>
    <t>Mustang is a program that implements an algorithm for structural alignment of multiple protein structures.</t>
  </si>
  <si>
    <t>biotools/mustang/cmd/None</t>
  </si>
  <si>
    <t>Softwear for the alignment of multiple protein structures.</t>
  </si>
  <si>
    <t>Arun Konagurthu &lt;arun.konagurthu@monash.edu&gt;</t>
  </si>
  <si>
    <t>URL not accessible</t>
  </si>
  <si>
    <t>consent/cmd</t>
  </si>
  <si>
    <t>biotools/consent/cmd/None</t>
  </si>
  <si>
    <t>consent</t>
  </si>
  <si>
    <t>Ligand-based virtual screening with consensus queries.</t>
  </si>
  <si>
    <t>Francois Berenger &lt;berenger@bioreg.kyushu-u.ac.jp&gt;</t>
  </si>
  <si>
    <t>bioconda_recipes/consent/cmd/2.2.2</t>
  </si>
  <si>
    <t>Scalable long read self-correction and assembly polishing with multiple sequence alignment.</t>
  </si>
  <si>
    <t>AGPL-3.0</t>
  </si>
  <si>
    <t>Diferent description and repositories.</t>
  </si>
  <si>
    <t>mendelscan/*</t>
  </si>
  <si>
    <t>sourceforge/mendelscan/None/None</t>
  </si>
  <si>
    <t>mendelscan</t>
  </si>
  <si>
    <t>MendelScan is a tool for prioritizing candidate variants in family-based studies of inherited disease.</t>
  </si>
  <si>
    <t>github/mendelscan/None/1.2.2</t>
  </si>
  <si>
    <t>Analyze exome data for Mendelian disorders. Still in alpha-testing.</t>
  </si>
  <si>
    <t>Common author and purpose. Same programming language.</t>
  </si>
  <si>
    <t>snakemake/cmd</t>
  </si>
  <si>
    <t>biotools/snakemake/cmd/None</t>
  </si>
  <si>
    <t>snakemake</t>
  </si>
  <si>
    <t>Workflow engine and language. It aims to reduce the complexity of creating workflows by providing a fast and comfortable execution environment, together with a clean and modern domain specific specification language (DSL) in python style.</t>
  </si>
  <si>
    <t xml:space="preserve">
</t>
  </si>
  <si>
    <t>bioconda_recipes/snakemake/cmd/8.5.3</t>
  </si>
  <si>
    <t>Snakemake is a workflow management system that aims to reduce the complexity of creating 
workflows by providing a fast and comfortable execution environment, together with a clean 
and modern specification language in python style. Snakemake workflows are essentially Python 
scripts extended by declarative code to define rules. Rules describe how to create output 
files from input files.</t>
  </si>
  <si>
    <t>Same readthedocs and description</t>
  </si>
  <si>
    <t>sina/*</t>
  </si>
  <si>
    <t>biotools/sina/web/1.3.1</t>
  </si>
  <si>
    <t>sina</t>
  </si>
  <si>
    <t>Aligns and optionally taxonomically classifies your rRNA gene sequences.
Reference based multiple sequence alignment.</t>
  </si>
  <si>
    <t xml:space="preserve"> &lt;contact@arb-silva.de&gt;</t>
  </si>
  <si>
    <t>bioconda_recipes/sina/cmd/1.7.2</t>
  </si>
  <si>
    <t>SINA allows incorporating additional sequences into an existing
multiple sequence alignment (MSA) without modifying the original
alignment. While adding sequences to an MSA with SINA is usually
faster than re-computing the entire MSA from an augmented set of
unaligned sequences, the primary benefit lies in protecting
investments made into the original MSA such as manual curation of the
alignment, compute intensive phylogenetic tree reconstruction and
taxonomic annotation of the resulting phylogeny.
Additionally, SINA includes a homology search which uses the
previously computed alignment to determine the most similar
sequences. Based on the search results, a LCA based classification of
the query sequence can be computed using taxonomic classifications
assigned to the sequences comprising the reference MSA.
SINA is used to compute the small and large subunit ribosomal RNA
alignments provided by the SILVA_ project and is able to use the ARB_
format reference databases released by the project.</t>
  </si>
  <si>
    <t>Same purpose and publication</t>
  </si>
  <si>
    <t>metabuli/cmd</t>
  </si>
  <si>
    <t>biotools/metabuli/cmd/None</t>
  </si>
  <si>
    <t>metabuli</t>
  </si>
  <si>
    <t>Metabuli: specific and sensitive metagenomic classification via joint analysis of DNA and amino acid.</t>
  </si>
  <si>
    <t>bioconda_recipes/metabuli/cmd/1.0.3</t>
  </si>
  <si>
    <t>Webpage of 1 redirects to repository of 2</t>
  </si>
  <si>
    <t>bamtools/suite</t>
  </si>
  <si>
    <t>galaxy/bamtools/cmd/2.4.0</t>
  </si>
  <si>
    <t>bamtools</t>
  </si>
  <si>
    <t>BAM datasets and perform other transformations.</t>
  </si>
  <si>
    <t>biotools/bamtools/suite/None</t>
  </si>
  <si>
    <t>suite</t>
  </si>
  <si>
    <t>BamTools provides a fast, flexible C++ API &amp; toolkit for reading, writing, and managing BAM files.</t>
  </si>
  <si>
    <t>Derek Barnett &lt;derekwbarnett@gmail.com&gt;</t>
  </si>
  <si>
    <t>Same description, wiki, authors</t>
  </si>
  <si>
    <t>mea/cmd</t>
  </si>
  <si>
    <t>bioconda_recipes/mea/cmd/0.6.4</t>
  </si>
  <si>
    <t>mea</t>
  </si>
  <si>
    <t>Mea was developed as part of the lab class "Bioinformatik von RNA- und Proteinstrukturen (Praktikum, Modul 10-202-2208)". The package predicts maximum expected accuracy (MEA) RNA secondary structures from dot plots of RNAs while correcting the score in dependence of base pair span. Furthermore, it provides tools to evaluate predictions and optimize parameters.</t>
  </si>
  <si>
    <t>biotools/mea/cmd/1.0</t>
  </si>
  <si>
    <t>A Methylomic and Epigenomic Allele-specific analysis pipeline.</t>
  </si>
  <si>
    <t>Different purposes, publications and authors</t>
  </si>
  <si>
    <t>plink/cmd</t>
  </si>
  <si>
    <t>bioconda_recipes/plink/cmd/1.90b6.21</t>
  </si>
  <si>
    <t>plink</t>
  </si>
  <si>
    <t>Whole genome association analysis toolset, designed to perform a range of basic, large-scale analyses in a computationally efficient manner.</t>
  </si>
  <si>
    <t>GPL</t>
  </si>
  <si>
    <t>biotools/plink/cmd/none</t>
  </si>
  <si>
    <t>Free, open-source whole genome association analysis toolset, designed to perform a range of basic, large-scale analyses in a computationally efficient manner.</t>
  </si>
  <si>
    <t>Reference of one in the other. Similar description</t>
  </si>
  <si>
    <t>masurca/cmd</t>
  </si>
  <si>
    <t>biotools/masurca/cmd/None</t>
  </si>
  <si>
    <t>masurca</t>
  </si>
  <si>
    <t>Whole genome assembly software. It combines the efficiency of the de Bruijn graph and Overlap-Layout-Consensus (OLC) approaches. MaSuRCA can assemble data sets containing only short reads from Illumina sequencing or a mixture of short reads and long reads (Sanger, 454).</t>
  </si>
  <si>
    <t>Aleksey Zimin &lt;alekseyz@ipst.umd.edu&gt;
Guillaume Marçais &lt;gmarcais@umd.edu&gt;</t>
  </si>
  <si>
    <t>bioconda_recipes/masurca/cmd/4.1.1</t>
  </si>
  <si>
    <t>MaSuRCA (Maryland Super-Read Celera Assembler) genome assembly software. MaSuRCA requires Illumina data, and supports third-generation PacBio/Nanopore MinION reads for hybrid assembly.</t>
  </si>
  <si>
    <t>msaboot/cmd</t>
  </si>
  <si>
    <t>galaxy/msaboot/cmd/0.1.2</t>
  </si>
  <si>
    <t>msaboot</t>
  </si>
  <si>
    <t>Output PHYLIP file with bootstrapped multiple sequence alignment data.</t>
  </si>
  <si>
    <t>bioconda_recipes/msaboot/cmd/0.1.2</t>
  </si>
  <si>
    <t>Generate bootstrapping replicates for multiple sequence alignment data.</t>
  </si>
  <si>
    <t>galaxy points to the same github repository</t>
  </si>
  <si>
    <t>morpheus/cmd</t>
  </si>
  <si>
    <t>galaxy/morpheus/cmd/2.255.0</t>
  </si>
  <si>
    <t>morpheus</t>
  </si>
  <si>
    <t>Database search algorithm for high-resolution tandem mass spectra.</t>
  </si>
  <si>
    <t>bioconda_recipes/morpheus/cmd/287</t>
  </si>
  <si>
    <t>Mass spectrometry–based proteomics database search algorithm.</t>
  </si>
  <si>
    <t>Same purpose, similar descriptions and common author</t>
  </si>
  <si>
    <t>lra/*</t>
  </si>
  <si>
    <t>sourceforge/lra/None/None</t>
  </si>
  <si>
    <t>lra</t>
  </si>
  <si>
    <t>Latronix Regnum Arts - Open Source Faction is an open source and freeware developer for all sorts of goodies. Be it games or applications. This is the home for the Drug Turfs Game (A Drug Wars like game) and the Drug Turfs Library.</t>
  </si>
  <si>
    <t>github/LRA/None/v1.3.7.1</t>
  </si>
  <si>
    <t>LRA</t>
  </si>
  <si>
    <t>Long read aligner.</t>
  </si>
  <si>
    <t xml:space="preserve">Different purposes </t>
  </si>
  <si>
    <t>longstitch/cmd</t>
  </si>
  <si>
    <t>biotools/longstitch/cmd/None</t>
  </si>
  <si>
    <t>longstitch</t>
  </si>
  <si>
    <t>A genome assembly correction and scaffolding pipeline using long reads.</t>
  </si>
  <si>
    <t>Lauren Coombe &lt;lcoombe@bcgsc.ca&gt;
Inanc Birol
Janet X Li
Theodora Lo
Johnathan Wong
Vladimir Nikolic
René L Warren</t>
  </si>
  <si>
    <t>bioconda_recipes/longstitch/cmd/1.0.5</t>
  </si>
  <si>
    <t>mash/cmd</t>
  </si>
  <si>
    <t>biotools/mash/cmd/None</t>
  </si>
  <si>
    <t>mash</t>
  </si>
  <si>
    <t>Fast genome and metagenome distance estimation using MinHash.</t>
  </si>
  <si>
    <t>Adam M. Phillippy &lt;adam.phillippy@nih.gov&gt;</t>
  </si>
  <si>
    <t>bioconda_recipes/mash/cmd/2.3</t>
  </si>
  <si>
    <t>Fast sequence distance estimator that uses MinHash.</t>
  </si>
  <si>
    <t>https://github.com/marbl/Mash/blob/master/.txt</t>
  </si>
  <si>
    <t>unitas/cmd</t>
  </si>
  <si>
    <t>bioconda_recipes/unitas/cmd/1.6.1</t>
  </si>
  <si>
    <t>unitas</t>
  </si>
  <si>
    <t>Unitas is a convenient tool for efficient annotation of small non-coding RNA sequence datasets produced by Next Generation Sequencing.</t>
  </si>
  <si>
    <t>CC-BY-NC-2.0</t>
  </si>
  <si>
    <t>biotools/unitas/cmd/None</t>
  </si>
  <si>
    <t>Complete annotation of small RNA datasets from NGS.</t>
  </si>
  <si>
    <t>Daniel Gebert &lt;dgebert@students.uni-mainz.de&gt;</t>
  </si>
  <si>
    <t>Same website (found in sourceforge)</t>
  </si>
  <si>
    <t>xxmotif/cmd</t>
  </si>
  <si>
    <t>biotools/xxmotif/cmd/None</t>
  </si>
  <si>
    <t>xxmotif</t>
  </si>
  <si>
    <t>Web server that can discover motifs that are enriched in sets of nucleotide sequences provided by the user. It uses a new approach for finding enriched motifs: It directly optimizes the statistical significance of enrichment for PWMs. It can also score conservation and positional clustering of motifs. In several benchmarks on yeast and metazoan sequences, the underlying XXmotif method showed better sensitivity and produced PWMs of higher quality than state-of-the-art tools.</t>
  </si>
  <si>
    <t xml:space="preserve"> &lt;xxmotif@genzentrum.lmu.de&gt;</t>
  </si>
  <si>
    <t>bioconda_recipes/xxmotif/cmd/1.6</t>
  </si>
  <si>
    <t>EXhaustive, weight matriX-based motif discovery in nucleotide sequences.</t>
  </si>
  <si>
    <t>Belongs to the same lab and has same purpose</t>
  </si>
  <si>
    <t>oncocnv/cmd</t>
  </si>
  <si>
    <t>biotools/oncocnv/cmd/None</t>
  </si>
  <si>
    <t>oncocnv</t>
  </si>
  <si>
    <t>Package to detect copy number changes in Deep Sequencing data developed by OncoDNA.</t>
  </si>
  <si>
    <t xml:space="preserve"> &lt;infos@oncodna.com&gt;
Valentina Boeva &lt;valentina.boeva@curie.fr&gt;</t>
  </si>
  <si>
    <t>bioconda_recipes/oncocnv/cmd/7.0</t>
  </si>
  <si>
    <t>A package to detect copy number changes in Deep Sequencing data.</t>
  </si>
  <si>
    <t>Same lab and purpose</t>
  </si>
  <si>
    <t>ccat/cmd</t>
  </si>
  <si>
    <t>bioconda_recipes/ccat/cmd/3.0</t>
  </si>
  <si>
    <t>ccat</t>
  </si>
  <si>
    <t>CCAT is a software package for the analysis of ChIP-seq data with negative control.</t>
  </si>
  <si>
    <t>unknown</t>
  </si>
  <si>
    <t>biotools/ccat/cmd/none</t>
  </si>
  <si>
    <t>A software package for the analysis of ChIP-seq data with negative control.</t>
  </si>
  <si>
    <t>URL not accessible. Not enough data.</t>
  </si>
  <si>
    <t>diseasemeth/*</t>
  </si>
  <si>
    <t>biotools/diseasemeth/db/None</t>
  </si>
  <si>
    <t>diseasemeth</t>
  </si>
  <si>
    <t>db</t>
  </si>
  <si>
    <t>A web based resource focused on the aberrant methylomes of human diseases.</t>
  </si>
  <si>
    <t>Lv Jie &lt;lvjielvjie@yahoo.com.cn&gt;</t>
  </si>
  <si>
    <t>biotools/diseasemeth/db/3.0</t>
  </si>
  <si>
    <t>The Human Disease Methylation Database Version 3.0 is a web-based resource that focuses on the abnormal methylome of human diseases.</t>
  </si>
  <si>
    <t>Yan Zhang &lt;zhangtyo@hit.edu.cn&gt;
Jie Lv
Yue Gu</t>
  </si>
  <si>
    <t xml:space="preserve">Same description and one common author. But websites are inaccessible. </t>
  </si>
  <si>
    <t>tiaas/*</t>
  </si>
  <si>
    <t>biotools/tiaas/undefined/None</t>
  </si>
  <si>
    <t>tiaas</t>
  </si>
  <si>
    <t>Training Infrastructure as a Service.</t>
  </si>
  <si>
    <t>Helena Rasche &lt;helena.rasche@gmail.com&gt;</t>
  </si>
  <si>
    <t>biotools/tiaas/undefined/2.1.0</t>
  </si>
  <si>
    <t>Originally developed by Galaxy Europe and the Gallantries project, together with the Galaxy community we have created "Training Infrastructure-as-a-Service" (TIaaS), aimed at providing user-friendly training infrastructure to the global training community. TIaaS provides dedicated training resources for Galaxy-based courses and events. Event organisers register their course, after which trainees are transparently placed in a private queue on the compute infrastructure, which ensures jobs complete quickly, even when the main queue is experiencing high wait times. A built-in dashboard allows instructors to monitor student progress.
Training Infrastructure as a Service (TIaaS) has been in development since 21 June 2018, and three days later became a production service at Galaxy Europe on 24 June. As of June 7th, 2023 is has supported 504 training events with over 24000 learners have used this infrastructure for Galaxy training.</t>
  </si>
  <si>
    <t>Helena Rasche &lt;helena.rasche@gmail.com&gt;
Bundesministerium für Bildung und Forschung
National Human Genome Research Institute
Cameron Hyde
John Davis
Simon Gladman
Nate Coraor
Anthony Bretaudeau
Gianmauro Cuccuru
Wendi Bacon
Beatriz García-Jiménez
Jennifer Hillman-Jackson
Saskia Hiltemann
Miaomiao Zhou
Björn Grüning
Andrew Stubbs
Erasmus+ Programme</t>
  </si>
  <si>
    <t>Same purpose and main author</t>
  </si>
  <si>
    <t>kaptive/cmd</t>
  </si>
  <si>
    <t>biotools/kaptive/cmd/None</t>
  </si>
  <si>
    <t>kaptive</t>
  </si>
  <si>
    <t>Identification of Acinetobacter baumannii loci for capsular polysaccharide (KL) and lipooligosaccharide outer core (OCL) synthesis in genome assemblies using curated reference databases compatible with Kaptive.
Kaptive reports information about surface polysaccharide loci for Klebsiella and Acinetobacter baumannii genome assemblies. You can also run a graphical version of Kaptive via this web interface (source code).
Given a novel genome and a database of known loci (K, O or OC), Kaptive will help a user to decide whether their sample has a known or novel locus. It carries out the following for each input assembly:.
Kaptive is a tool for bacterial surface polysaccharide locus typing and variant evaluation. It takes one or more pre-assembled genomes and for each finds the best matching locus from a reference database. References for Klebsiella pneumoniae species complex and Acinetobacter baumannii are available in Kaptive's web interface.</t>
  </si>
  <si>
    <t>bioconda_recipes/kaptive/cmd/2.0.6</t>
  </si>
  <si>
    <t>Reports information about surface polysaccharide loci for Klebsiella and Acinetobacter baumannii genome assemblies.</t>
  </si>
  <si>
    <t>Same repository found in website</t>
  </si>
  <si>
    <t>sap/cmd</t>
  </si>
  <si>
    <t>biotools/sap/undefined/None</t>
  </si>
  <si>
    <t>sap</t>
  </si>
  <si>
    <t>Enhancing protein backbone angle prediction by using simpler models of deep neural networks.
This project provides the programs and related files of the Simple Angle Predictor (SAP) that predicts protein backbone angles phi, psi, theta, and tau.</t>
  </si>
  <si>
    <t>Fereshteh Mataeimoghadam &lt;fereshteh.mataeimoghadam@griffithuni.edu.au&gt;
M. A. Hakim Newton &lt;mahakim.newton@griffith.edu.au&gt;</t>
  </si>
  <si>
    <t>bioconda_recipes/sap/cmd/1.1.3</t>
  </si>
  <si>
    <t>Pairwise structure alignment via double dynamic programming.</t>
  </si>
  <si>
    <t>Different  repositories and authors. Domain is the same, but not purpose.</t>
  </si>
  <si>
    <t>fusioncatcher/cmd</t>
  </si>
  <si>
    <t>sourceforge/fusioncatcher/None/None</t>
  </si>
  <si>
    <t>fusioncatcher</t>
  </si>
  <si>
    <t>FusionCatcher searches for novel/known somatic fusion genes, translocations, and chimeras in RNA-seq data (paired-end reads from Illumina NGS platforms like Solexa and HiSeq) from diseased samples.
The aims of FusionCatcher are:
- very good detection rate for finding candidate fusion genes,
- very easy to use (i.e. no a priori knowledge of databases and bioinformatics is needed in order to run FusionCatcher),
- very good detection of challenging fusion genes, like for example IGH fusions, CIC fusions, DUX4 fusions, CRLF2 fusions, TCF3 fusions, etc.
- to be as automatic as possible (i.e. the FusionCatcher will choose automatically the best parameters in order to find candidate fusion genes, e.g. finding automatically the adapters, building the exon-exon junctions automatically based on the length of the input reads, etc.) while providing the best possible detection rate for finding fusion genes.</t>
  </si>
  <si>
    <t>bioconda_recipes/fusioncatcher/cmd/1.33</t>
  </si>
  <si>
    <t>Finder of Somatic Fusion Genes in RNA-seq data.</t>
  </si>
  <si>
    <t>Similar description. Authors with same name and initial. Readme and webpage mention common articles.</t>
  </si>
  <si>
    <t>binning/*</t>
  </si>
  <si>
    <t>biotools/binning/undefined/None</t>
  </si>
  <si>
    <t>binning</t>
  </si>
  <si>
    <t>Scripts required to calculate tetramer frequencies and create input files for ESOM.</t>
  </si>
  <si>
    <t>Gregory J. Dick, &lt;gdick@umich.edu&gt;
Sunit Jain &lt;sunitj@umich.edu&gt;</t>
  </si>
  <si>
    <t>github/binning/None/None</t>
  </si>
  <si>
    <t>Interval binning for Go.</t>
  </si>
  <si>
    <t>Different repositories and purposes.</t>
  </si>
  <si>
    <t>mir-prefer/cmd</t>
  </si>
  <si>
    <t>biotools/mir-prefer/cmd/None</t>
  </si>
  <si>
    <t>mir-prefer</t>
  </si>
  <si>
    <t>Uses expression patterns of miRNA and follows the criteria for plant microRNA annotation to accurately predict plant miRNAs from one or more small RNA-Seq data samples of the same species.</t>
  </si>
  <si>
    <t xml:space="preserve"> &lt;hangelwen@gmail.com&gt;</t>
  </si>
  <si>
    <t>bioconda_recipes/mir-prefer/cmd/0.24</t>
  </si>
  <si>
    <t>MicroRNA PREdiction From small RNA-seq data.</t>
  </si>
  <si>
    <t>Similar purpose and apparently same author.</t>
  </si>
  <si>
    <t>fraggenescan/cmd</t>
  </si>
  <si>
    <t>galaxy/fraggenescan/cmd/1.30.0</t>
  </si>
  <si>
    <t>fraggenescan</t>
  </si>
  <si>
    <t>For finding (fragmented) genes in short reads.</t>
  </si>
  <si>
    <t>bioconda_recipes/fraggenescan/cmd/1.31</t>
  </si>
  <si>
    <t>FragGeneScan is an application for finding (fragmented) genes in short
reads. It can also be applied to predict prokaryotic genes in incomplete
assemblies or complete genomes.</t>
  </si>
  <si>
    <t>BSD</t>
  </si>
  <si>
    <t>Same description. But very little information.</t>
  </si>
  <si>
    <t>ale/cmd</t>
  </si>
  <si>
    <t>biotools/ale/cmd/None</t>
  </si>
  <si>
    <t>ale</t>
  </si>
  <si>
    <t>Automated label extraction from GEO metadata.</t>
  </si>
  <si>
    <t>Jonathan D. Wren &lt;jonathan-wren@omrf.org&gt;
Jonathan D. Wren &lt;jdwren@gmail.com&gt;</t>
  </si>
  <si>
    <t>bioconda_recipes/ale/cmd/20180904</t>
  </si>
  <si>
    <t>ALE: Assembly Likelihood Estimator.</t>
  </si>
  <si>
    <t>NCSA</t>
  </si>
  <si>
    <t>Different purposes, repos and authors</t>
  </si>
  <si>
    <t>pilon/cmd</t>
  </si>
  <si>
    <t>galaxy/pilon/cmd/1.20.1</t>
  </si>
  <si>
    <t>pilon</t>
  </si>
  <si>
    <t>An automated genome assembly improvement and variant detection tool.</t>
  </si>
  <si>
    <t>bioconda_recipes/pilon/cmd/1.24</t>
  </si>
  <si>
    <t>Pilon is an automated genome assembly improvement and variant detection tool.</t>
  </si>
  <si>
    <t>Same desription and citation</t>
  </si>
  <si>
    <t>piranha/cmd</t>
  </si>
  <si>
    <t>galaxy/piranha/cmd/0.1.0</t>
  </si>
  <si>
    <t>piranha</t>
  </si>
  <si>
    <t>Peak-caller for CLIP- and RIP-Seq data.</t>
  </si>
  <si>
    <t>bioconda_recipes/piranha/cmd/1.2.1</t>
  </si>
  <si>
    <t>Piranha is a peak-caller for CLIP- and RIP-Seq data.</t>
  </si>
  <si>
    <t>mango/cmd</t>
  </si>
  <si>
    <t>bioconda_recipes/mango/cmd/0.0.5</t>
  </si>
  <si>
    <t>mango</t>
  </si>
  <si>
    <t>A scalable genomic visualization tool.</t>
  </si>
  <si>
    <t>biotools/mango/cmd/None</t>
  </si>
  <si>
    <t>Complete ChIA-PET (Chromatin Interaction Analysis by Paired-End Tag sequencing) data analysis pipeline that provides statistical confidence estimates for interactions and corrects for major sources of bias including differential peak enrichment and genomic proximity.</t>
  </si>
  <si>
    <t>PHANSTIEL LAB &lt;dphansti@email.unc.edu&gt;</t>
  </si>
  <si>
    <t>Different purposes. But little info, since one repo was removed.</t>
  </si>
  <si>
    <t>bamhash/cmd</t>
  </si>
  <si>
    <t>galaxy/bamhash/cmd/1.1</t>
  </si>
  <si>
    <t>bamhash</t>
  </si>
  <si>
    <t>Hash BAM and FASTQ files to verify data integrity.</t>
  </si>
  <si>
    <t>biotools/bamhash/cmd/None</t>
  </si>
  <si>
    <t>Checksum program for verifying the integrity of sequence data.</t>
  </si>
  <si>
    <t xml:space="preserve"> &lt;pmelsted@hi.is&gt;</t>
  </si>
  <si>
    <t>Similar description. Little data</t>
  </si>
  <si>
    <t>transtermhp/cmd</t>
  </si>
  <si>
    <t>galaxy/transtermhp/cmd/2.09.1</t>
  </si>
  <si>
    <t>transtermhp</t>
  </si>
  <si>
    <t>Finds rho-independent transcription terminators in bacterial genomes.</t>
  </si>
  <si>
    <t>bioconda_recipes/transtermhp/cmd/2.09</t>
  </si>
  <si>
    <t>TransTermHP finds rho-independent transcription terminators in bacterial genomes.</t>
  </si>
  <si>
    <t xml:space="preserve">Same purpose and description and citation. </t>
  </si>
  <si>
    <t>modle/cmd</t>
  </si>
  <si>
    <t>bioconda_recipes/modle/cmd/1.1.0</t>
  </si>
  <si>
    <t>modle</t>
  </si>
  <si>
    <t>High-performance stochastic modeling of DNA loop extrusion interactions.</t>
  </si>
  <si>
    <t>biotools/modle/cmd/None</t>
  </si>
  <si>
    <t>MoDLE is a computational tool for fast, stochastic modeling of molecular contacts from DNA loop extrusion capable of simulating realistic contact patterns genome wide in a few minutes.</t>
  </si>
  <si>
    <t>Jonas Paulsen &lt;jonas.paulsen@ibv.uio.no&gt;
Torbjørn Rognes
Anthony Mathelier
Vipin Kumar
Roberto Rossini</t>
  </si>
  <si>
    <t>Same description and repository</t>
  </si>
  <si>
    <t>mapsplice/cmd</t>
  </si>
  <si>
    <t>bioconda_recipes/mapsplice/cmd/2.2.1</t>
  </si>
  <si>
    <t>mapsplice</t>
  </si>
  <si>
    <t>MapSplice is a software for mapping RNA-seq data to reference genome for splice junction discovery that depends only on reference genome, and not on any further annotations.</t>
  </si>
  <si>
    <t>Custom</t>
  </si>
  <si>
    <t>biotools/mapsplice/cmd/None</t>
  </si>
  <si>
    <t>Highly sensitive and specific tool in the detection of splices as well as CPU and memory efficiency. It can be applied to both short (&lt;75 bp) and long reads (&gt;=75 bp) and it is not dependent on splice site features or intron length, consequently it can detect novel canonical as well as non-canonical splices. The tool leverages the quality and diversity of read alignments of a given splice to increase accuracy.</t>
  </si>
  <si>
    <t>Support &lt;mapsplice@netlab.uky.edu&gt;</t>
  </si>
  <si>
    <t>Same purpose and lab. URLs not accessible.</t>
  </si>
  <si>
    <t>razers3/cmd</t>
  </si>
  <si>
    <t>bioconda_recipes/razers3/cmd/3.5.8</t>
  </si>
  <si>
    <t>razers3</t>
  </si>
  <si>
    <t>RazerS 3 - Faster, fully sensitive read mapping.</t>
  </si>
  <si>
    <t>biotools/razers3/cmd/None</t>
  </si>
  <si>
    <t>RazerS 3 is a tool for mapping millions of short genomic reads onto a
reference genome. It was designed with focus on mapping next-generation
sequencing reads onto whole DNA genomes. RazerS 3 searches for matches of
reads with a percent identity above a given threshold (-i X), whereby it
detects alignments with mismatches as well as gaps.</t>
  </si>
  <si>
    <t>Same purpose and repositories (found inside webpage)</t>
  </si>
  <si>
    <t>edena/cmd</t>
  </si>
  <si>
    <t>bioconda_recipes/edena/cmd/3.131028</t>
  </si>
  <si>
    <t>edena</t>
  </si>
  <si>
    <t>De novo short reads assembler.</t>
  </si>
  <si>
    <t>biotools/edena/cmd/3</t>
  </si>
  <si>
    <t>A program for assembling de novo bacterial genomes from short reads produced by Illumina sequencing platform.</t>
  </si>
  <si>
    <t>Dr David HERNANDEZ &lt;david.hernandez@genomic.ch&gt;</t>
  </si>
  <si>
    <t>Same description and web, but inaccessible.</t>
  </si>
  <si>
    <t>sortmerna/*</t>
  </si>
  <si>
    <t>bioconda_recipes/sortmerna/cmd/4.3.6</t>
  </si>
  <si>
    <t>sortmerna</t>
  </si>
  <si>
    <t>SortMeRNA is a biological sequence analysis tool for filtering, mapping and OTU-picking NGS reads.</t>
  </si>
  <si>
    <t>LGPL</t>
  </si>
  <si>
    <t>biotools/sortmerna/cmd/None</t>
  </si>
  <si>
    <t>Sequence analysis tool for filtering, mapping and OTU-picking NGS reads.</t>
  </si>
  <si>
    <t>Same description and one common inaccessible webpage</t>
  </si>
  <si>
    <t>gffread/cmd</t>
  </si>
  <si>
    <t>galaxy/gffread/cmd/2.2.1.1</t>
  </si>
  <si>
    <t>gffread</t>
  </si>
  <si>
    <t>Filters and/or converts GFF3/GTF2 records.</t>
  </si>
  <si>
    <t>bioconda_recipes/gffread/cmd/0.12.7</t>
  </si>
  <si>
    <t>GFF/GTF utility providing format conversions, region filtering, FASTA sequence extraction and more.</t>
  </si>
  <si>
    <t>Different citation and authors</t>
  </si>
  <si>
    <t>agotool/soap</t>
  </si>
  <si>
    <t>biotools/agotool/soap/0.1</t>
  </si>
  <si>
    <t>agotool</t>
  </si>
  <si>
    <t>soap</t>
  </si>
  <si>
    <t>A Gene Ontology enrichment tool, specifically designed for the abundance bias in Mass Spectrometry (MS) based proteomics data. This site can be used for functional annotation enrichment for proteomics data. It contains tools for abundance corrected GO-term, UniProt-keyword, and KEGG-pathway enrichment.</t>
  </si>
  <si>
    <t>David Lyon &lt;david.lyon@cpr.ku.dk&gt;</t>
  </si>
  <si>
    <t>biotools/agotool/soap/0.2</t>
  </si>
  <si>
    <t>A Gene Ontology enrichment tool, specifically designed for the abundance bias in Mass Spectrometry (MS) based proteomics data. This site can be used for functional annotation enrichment for proteomics data. It contains tools for abundance corrected functional enrichment and supports the following categories: GO-terms, UniProt-keywords, KEGG-pathways, Reactome, WikiPathways, InterPro, Pfam, PubMed Publications, Diseaeses, Tissues, and Compartments.</t>
  </si>
  <si>
    <t>David Lyon &lt;dblyon@gmail.com&gt;</t>
  </si>
  <si>
    <t xml:space="preserve">Same description, type and author. </t>
  </si>
  <si>
    <t>stringtie/cmd</t>
  </si>
  <si>
    <t>galaxy/stringtie/cmd/1.3.3.1</t>
  </si>
  <si>
    <t>stringtie</t>
  </si>
  <si>
    <t>Transcript assembly and quantification.</t>
  </si>
  <si>
    <t>bioconda_recipes/stringtie/cmd/2.2.1</t>
  </si>
  <si>
    <t>StringTie is a fast and highly efficient assembler of RNA-Seq alignments into potential transcripts.</t>
  </si>
  <si>
    <t>Common publication. Same documentation refered in galaxy text in readme</t>
  </si>
  <si>
    <t>xtandem/cmd</t>
  </si>
  <si>
    <t>bioconda_recipes/xtandem/cmd/15.12.15.2</t>
  </si>
  <si>
    <t>xtandem</t>
  </si>
  <si>
    <t>X! Tandem open source is software that can match tandem mass spectra with peptide sequences, in a process that has come to be known as protein identification.</t>
  </si>
  <si>
    <t>Artistic License</t>
  </si>
  <si>
    <t>biotools/xtandem/cmd/None</t>
  </si>
  <si>
    <t>Matches tandem mass spectra with peptide sequences.</t>
  </si>
  <si>
    <t>contact@thegpm.org &lt;contact@thegpm.org&gt;
 &lt;contact@thegpm.org&gt;</t>
  </si>
  <si>
    <t>Same description and webpage</t>
  </si>
  <si>
    <t>hisat2/cmd</t>
  </si>
  <si>
    <t>galaxy/hisat2/cmd/2.1.0</t>
  </si>
  <si>
    <t>hisat2</t>
  </si>
  <si>
    <t>A fast and sensitive alignment program.</t>
  </si>
  <si>
    <t>bioconda_recipes/hisat2/cmd/2.2.1</t>
  </si>
  <si>
    <t>HISAT2 is a fast and sensitive alignment program for mapping next-generation sequencing reads (both DNA and RNA) to a population of human genomes as well as to a single reference genome.</t>
  </si>
  <si>
    <t xml:space="preserve">Same description and authors. But one implementation seems posterior. However, the versions are the same </t>
  </si>
  <si>
    <t>export2graphlan/cmd</t>
  </si>
  <si>
    <t>bioconda_recipes/export2graphlan/cmd/0.22</t>
  </si>
  <si>
    <t>export2graphlan</t>
  </si>
  <si>
    <t>Export2graphlan is a conversion software tool for producing both annotation and tree file for GraPhlAn.
It automatically generate the input tree and the annotation file for GraPhlAn, starting from the
input/output of MetaPhlAn, LEfSe, and HUMAnN. It supports also the biom file format. The annotation file
will highlight specific sub-trees/clades automatically inferred from input file(s) provided. The two output
file of export2graphlan should then be used with GraPhlAn.</t>
  </si>
  <si>
    <t>galaxy/export2graphlan/cmd/0.19</t>
  </si>
  <si>
    <t>Same description and publication</t>
  </si>
  <si>
    <t>pfp/cmd</t>
  </si>
  <si>
    <t>biotools/pfp/cmd/None</t>
  </si>
  <si>
    <t>pfp</t>
  </si>
  <si>
    <t>Web-based tool for extracting and displaying continuous electrostatic positive patches on protein surfaces.</t>
  </si>
  <si>
    <t>Inbal Paz &lt;inbalos@tx.technion.ac.il&gt;</t>
  </si>
  <si>
    <t>bioconda_recipes/pfp/cmd/0.3.9</t>
  </si>
  <si>
    <t>Prefix Free Parsing.</t>
  </si>
  <si>
    <t>Different purpose.</t>
  </si>
  <si>
    <t>hardklor/cmd</t>
  </si>
  <si>
    <t>galaxy/hardklor/cmd/2.30.1</t>
  </si>
  <si>
    <t>hardklor</t>
  </si>
  <si>
    <t>Identification of features from mass spectra.</t>
  </si>
  <si>
    <t>bioconda_recipes/hardklor/cmd/2.3.2</t>
  </si>
  <si>
    <t>Analyze mass spectra.</t>
  </si>
  <si>
    <t>Same purpose, but little info.</t>
  </si>
  <si>
    <t>bioconductor-deseq2/lib</t>
  </si>
  <si>
    <t>galaxy/deseq2/cmd/2.11.40.2</t>
  </si>
  <si>
    <t>deseq2</t>
  </si>
  <si>
    <t>Determines differentially expressed features from count tables.</t>
  </si>
  <si>
    <t>bioconda_recipes/bioconductor-deseq2/lib/1.42.0</t>
  </si>
  <si>
    <t>bioconductor-deseq2</t>
  </si>
  <si>
    <t>Estimate variance-mean dependence in count data from high-throughput sequencing assays and test for differential expression based on a model using the negative binomial distribution.</t>
  </si>
  <si>
    <t>LGPL-3.0-or-later</t>
  </si>
  <si>
    <t>Same citation</t>
  </si>
  <si>
    <t>preseq/cmd</t>
  </si>
  <si>
    <t>biotools/preseq/cmd/None</t>
  </si>
  <si>
    <t>preseq</t>
  </si>
  <si>
    <t>This package is aimed at predicting and number of distinct reads and how many will be expected from additional sequencing using an initial sequencing experiment. The estimates can then be used to examine the utility of further sequencing, optimize the sequencing depth, or to screen multiple libraries to avoid low complexity samples.</t>
  </si>
  <si>
    <t>bioconda_recipes/preseq/cmd/3.2.0</t>
  </si>
  <si>
    <t>Predicting library complexity and genome coverage in high-throughput sequencing.</t>
  </si>
  <si>
    <t>GPL-3.0-or-later</t>
  </si>
  <si>
    <t>Common author and description.</t>
  </si>
  <si>
    <t>mumer4/cmd</t>
  </si>
  <si>
    <t>sourceforge/crass/None/None</t>
  </si>
  <si>
    <t>crass</t>
  </si>
  <si>
    <t>biotools/mumer4/cmd/None</t>
  </si>
  <si>
    <t>mumer4</t>
  </si>
  <si>
    <t>System for rapidly aligning large DNA sequences to one another.</t>
  </si>
  <si>
    <t>Guillaume Marçais &lt;gmarcais@cs.cmu.edu&gt;
Aleksey Zimin &lt;alekseyz@ipst.umd.edu&gt;</t>
  </si>
  <si>
    <t>Different purpose, authors, etc</t>
  </si>
  <si>
    <t>orientagraph/cmd</t>
  </si>
  <si>
    <t>biotools/orientagraph/cmd/None</t>
  </si>
  <si>
    <t>orientagraph</t>
  </si>
  <si>
    <t>Advancing admixture graph estimation via maximum likelihood network orientation.
OrientAGraph enables Maximum Likelihood Network Orientation (MNLO) to be utilized as a search heuristic within TreeMix, a popular package for estimating admixture graphs. We found that MLNO improved (or else did not impact) the accuracy of the original TreeMix method in an experimental study.</t>
  </si>
  <si>
    <t>Erin K. Molloy &lt;ekmolloy@cs.ucla.edu&gt;</t>
  </si>
  <si>
    <t>bioconda_recipes/orientagraph/cmd/1.1</t>
  </si>
  <si>
    <t>OrientAGraph enables Maximum Likelihood Network Orientation (MNLO), as a standalone routine or as a search heuristic within TreeMix, a popular package for estimating admixture graphs from f-statistics (or related quantities).</t>
  </si>
  <si>
    <t>Similar description and repository of 1 redirects to repository of 2.</t>
  </si>
  <si>
    <t>biotransformer/*</t>
  </si>
  <si>
    <t>bioconda_recipes/biotransformer/cmd/3.0.20230403</t>
  </si>
  <si>
    <t>biotransformer</t>
  </si>
  <si>
    <t>BioTransformer is a software tool that predicts small molecule metabolism in mammals, their gut microbiota,
as well as the soil/aquatic microbiota. BioTransformer also assists scientists in metabolite identification,
based on the metabolism prediction.</t>
  </si>
  <si>
    <t>biotools/biotransformer/app/3.1.0</t>
  </si>
  <si>
    <t>app</t>
  </si>
  <si>
    <t>BioTransformer is a freely available web server that supports accurate, rapid and comprehensive in silico metabolism prediction.</t>
  </si>
  <si>
    <t>David S Wishart &lt;david.wishart@ualberta.ca&gt;
Thomas O Metz</t>
  </si>
  <si>
    <t>Same purpose, common citation and repository of 2 found in webpage of 1</t>
  </si>
  <si>
    <t>odamnet/cmd</t>
  </si>
  <si>
    <t>biotools/odamnet/cmd/None</t>
  </si>
  <si>
    <t>odamnet</t>
  </si>
  <si>
    <t>A Python package to study molecular relationship between environmental factors and rare diseases.</t>
  </si>
  <si>
    <t>Morgane Térézol &lt;morgane.terezol@univ-amu.fr&gt;
Anaïs Baudot
Ozan Ozisik</t>
  </si>
  <si>
    <t>bioconda_recipes/odamnet/cmd/1.1.0</t>
  </si>
  <si>
    <t>Study molecular relationships between chemicals and rare diseases.</t>
  </si>
  <si>
    <t>Same PyPI page and repository (found in webpage for 1)</t>
  </si>
  <si>
    <t>metacoag/cmd</t>
  </si>
  <si>
    <t>biotools/metacoag/cmd/None</t>
  </si>
  <si>
    <t>metacoag</t>
  </si>
  <si>
    <t>MetaCoAG is a metagenomic contig binning tool that makes use of the connectivity information found in assembly graphs, apart from the composition and coverage information. MetaCoAG makes use of single-copy marker genes along with a graph matching technique and a label propagation technique to bin contigs. MetaCoAG is tested on contigs obtained from next-generation sequencing (NGS) data. Currently MetaCoAG supports contigs assembled using metaSPAdes and MEGAHIT.</t>
  </si>
  <si>
    <t>Vijini Mallawaarachchi
Yu Lin</t>
  </si>
  <si>
    <t>bioconda_recipes/metacoag/cmd/1.1.4</t>
  </si>
  <si>
    <t>MetaCoAG is a metagenomic contig binning tool that makes use of the connectivity information found in assembly graphs.</t>
  </si>
  <si>
    <t>pegs/cmd</t>
  </si>
  <si>
    <t>biotools/pegs/cmd/None</t>
  </si>
  <si>
    <t>pegs</t>
  </si>
  <si>
    <t>PEGS (Peak-set Enrichment of Gene-Sets) is a Python bioinformatics utility for calculating enrichments of gene cluster enrichments from peak data at different genomic distances.</t>
  </si>
  <si>
    <t>Mudassar Iqbal &lt;mudassar.iqbal@manchester.ac.uk&gt;
A. Louise Hunter
Shen-hsi Yang
Andrew D. Sharrocks
Peter Briggs</t>
  </si>
  <si>
    <t>bioconda_recipes/pegs/cmd/0.6.6</t>
  </si>
  <si>
    <t>Peak-set Enrichment of Gene-Sets (PEGS).</t>
  </si>
  <si>
    <t>BSD-3-Clause</t>
  </si>
  <si>
    <t>Same purpose and common author. Webpage of 1 found in repository of 2.</t>
  </si>
  <si>
    <t>cmfinder/cmd</t>
  </si>
  <si>
    <t>galaxy/cmfinder/cmd/0.3</t>
  </si>
  <si>
    <t>cmfinder</t>
  </si>
  <si>
    <t>bioconda_recipes/cmfinder/cmd/0.4.1.9</t>
  </si>
  <si>
    <t>CMfinder - A Covariance Model Based RNA Motif Finding Algorithm.</t>
  </si>
  <si>
    <t>Purposes are similar and there is one shared author.</t>
  </si>
  <si>
    <t>drawcell/lib</t>
  </si>
  <si>
    <t>biotools/drawcell/lib/1.0.1</t>
  </si>
  <si>
    <t>drawcell</t>
  </si>
  <si>
    <t>Plots a filled bacteria cell with a given length, width, position, angle, and color specified.</t>
  </si>
  <si>
    <t>Andrew Woodward</t>
  </si>
  <si>
    <t>bioconductor/drawcell/lib/0.99.0</t>
  </si>
  <si>
    <t>The package drawCell allows the user the fast generation of cell images with highlighted subcellular components. It works by providing as input the taxonomy id of an organism, and one or multiple SL (Subcellular IDs). It retrieves this data from the SwissBioPics API. An internet connection is required to use drawCell.</t>
  </si>
  <si>
    <t>Alvaro Sanchez-Villalba &lt;sanchezvillalba.alvaro@gmail.com&gt;
Greg Yannes &lt;greg.yannes@gmail.com&gt;</t>
  </si>
  <si>
    <t>Different description and different authors.</t>
  </si>
  <si>
    <t>ucsc-twobittofa/cmd</t>
  </si>
  <si>
    <t>galaxy/ucsc-twobittofa/cmd/357</t>
  </si>
  <si>
    <t>ucsc-twobittofa</t>
  </si>
  <si>
    <t>Convert all or part of .2bit file to FASTA.</t>
  </si>
  <si>
    <t>bioconda_recipes/ucsc-twobittofa/cmd/455</t>
  </si>
  <si>
    <t>Convert all or part of .2bit file to fasta.</t>
  </si>
  <si>
    <t>varies; see http://genome.ucsc.edu/license</t>
  </si>
  <si>
    <t>Same purpose and both are ucsc tools</t>
  </si>
  <si>
    <t>emmtyper/cmd</t>
  </si>
  <si>
    <t>toolshed/emmtyper/cmd/0.1.0</t>
  </si>
  <si>
    <t>toolshed</t>
  </si>
  <si>
    <t>emmtyper</t>
  </si>
  <si>
    <t>bioconda_recipes/emmtyper/cmd/0.2.0</t>
  </si>
  <si>
    <t>Streptococcus pyogenes in silico EMM typer.</t>
  </si>
  <si>
    <t>Repo of 1 does not exist anymore but it is very similar to repository in 2</t>
  </si>
  <si>
    <t>spades/cmd</t>
  </si>
  <si>
    <t>galaxy/spades/cmd/3.11.1</t>
  </si>
  <si>
    <t>spades</t>
  </si>
  <si>
    <t>Genome assembler for regular and single-cell projects.</t>
  </si>
  <si>
    <t>bioconda_recipes/spades/cmd/3.15.5</t>
  </si>
  <si>
    <t>SPAdes (St. Petersburg genome assembler) is a genome assembly algorithm which was designed for
single cell and multi-cells bacterial data sets. However, it might not be suitable for large
genomes projects.
SPAdes works with Ion Torrent, PacBio, Oxford Nanopore, and Illumina paired-end, mate-pairs and
single reads.</t>
  </si>
  <si>
    <t>Same description and repository in 2 found in webpage of 1</t>
  </si>
  <si>
    <t>minimap/cmd</t>
  </si>
  <si>
    <t>galaxy/minimap2/cmd/2.5</t>
  </si>
  <si>
    <t>minimap2</t>
  </si>
  <si>
    <t>A fast pairwise aligner for genomic and spliced nucleotide sequences.</t>
  </si>
  <si>
    <t>bioconda_recipes/minimap/cmd/0.2_r124</t>
  </si>
  <si>
    <t>minimap</t>
  </si>
  <si>
    <t>Experimental tool to find approximate mapping positions between long sequences.</t>
  </si>
  <si>
    <t>Different repositories. One is the successor of the other, but view by authors as different software.</t>
  </si>
  <si>
    <t>ectyper/cmd</t>
  </si>
  <si>
    <t>biotools/ectyper/cmd/None</t>
  </si>
  <si>
    <t>ectyper</t>
  </si>
  <si>
    <t>Ectyper is a standalone serotyping module for Escherichia coli. It supports fasta and fastq file formats. (Galaxy Version 1.0.0).</t>
  </si>
  <si>
    <t>Kyrylo Bessonov &lt;kyrylo.bessonov@canada.ca&gt;
Chad Laing
James Robertson</t>
  </si>
  <si>
    <t>bioconda_recipes/ectyper/cmd/1.0.0</t>
  </si>
  <si>
    <t>ECtyper is a python program for serotyping E. coli genomes.</t>
  </si>
  <si>
    <t>Same purpose. Repository of 2 in webapge of 1.</t>
  </si>
  <si>
    <t>bioconductor-mygene/lib</t>
  </si>
  <si>
    <t>bioconda_recipes/mygene/lib/3.2.2</t>
  </si>
  <si>
    <t>mygene</t>
  </si>
  <si>
    <t>Python Client for MyGene.Info services.</t>
  </si>
  <si>
    <t>BSD License</t>
  </si>
  <si>
    <t>bioconda_recipes/bioconductor-mygene/lib/1.38.0</t>
  </si>
  <si>
    <t>bioconductor-mygene</t>
  </si>
  <si>
    <t>MyGene.Info_ provides simple-to-use REST web services to query/retrieve gene annotation data. It's designed with simplicity and performance emphasized. *mygene*, is an easy-to-use R wrapper to access MyGene.Info_ services.</t>
  </si>
  <si>
    <t>Artistic-2.0</t>
  </si>
  <si>
    <t>Same purposes but one is written in R and the other in R. Both access the same service.</t>
  </si>
  <si>
    <t>pyrpipe/cmd</t>
  </si>
  <si>
    <t>biotools/pyrpipe/undefined/None</t>
  </si>
  <si>
    <t>pyrpipe</t>
  </si>
  <si>
    <t>A python package for RNA-Seq workflows.
pyrpipe: python rna-seq pipeliner.
Example to identify orphan transcripts in maize by pyrpipe.
A python package for RNA-Seq workflows — pyrpipe 0.0.1 documentation.
pyrpipe (Pronounced as "pyre-pipe") is a python package to easily develop bioinformatic or any other computational pipelines in pure python. pyrpipe provides an easy-to-use framework for importing any UNIX command in python. pyrpipe comes with specialized classes and functions to easily code RNA-Seq processing workflows.
pyrpipe (Pronounced as "pyre-pipe") is a python package to easily develop RNA-Seq analyses workflow by integrating popular RNA-Seq analysis programs in an object oriented manner. pyrpipe can be used on local computers or on HPC environments to manage analysis of RNA-Seq data.</t>
  </si>
  <si>
    <t>Urminder Singh &lt;usingh@iastate.edu&gt;
Eve Syrkin Wurtele &lt;mash@iastate.edu&gt;</t>
  </si>
  <si>
    <t>bioconda_recipes/pyrpipe/cmd/0.0.5</t>
  </si>
  <si>
    <t>Pyrpipe is a lightweight python package for RNA-Seq workflows.</t>
  </si>
  <si>
    <t>Same purpose, simliar descriptions and repository of 2 found in webpage of 1.</t>
  </si>
  <si>
    <t>bioconductor-atsnp/lib</t>
  </si>
  <si>
    <t>biotools/atsnp/lib/None</t>
  </si>
  <si>
    <t>atsnp</t>
  </si>
  <si>
    <t>Affinity Test for regulatory SNP detection package is a bioinformatics tool for computing and testing large-scale motif-SNP interactions.</t>
  </si>
  <si>
    <t>Chandler Zu</t>
  </si>
  <si>
    <t>bioconda_recipes/bioconductor-atsnp/lib/1.18.0</t>
  </si>
  <si>
    <t>bioconductor-atsnp</t>
  </si>
  <si>
    <t>AtSNP performs affinity tests of motif matches with the SNP or the reference genomes and SNP-led changes in motif matches.</t>
  </si>
  <si>
    <t>Similar purpose, same author and publication</t>
  </si>
  <si>
    <t>expressionview/lib</t>
  </si>
  <si>
    <t>biotools/expressionview/lib/1.26.0</t>
  </si>
  <si>
    <t>expressionview</t>
  </si>
  <si>
    <t>R package that provides an interactive environment to explore biclusters identified in gene expression data. A sophisticated ordering algorithm is used to present the biclusters in a visually appealing layout. From this overview, the user can select individual biclusters and access all the biologically relevant data associated with it. The package is aimed to facilitate the collaboration between bioinformaticians and life scientists who are not familiar with the R language.</t>
  </si>
  <si>
    <t>Gabor Csardi &lt;csardi.gabor@gmail.com&gt;</t>
  </si>
  <si>
    <t>bioconductor/expressionview/lib/1.45.0</t>
  </si>
  <si>
    <t>ExpressionView visualizes possibly overlapping biclusters in a gene expression matrix. It can use the result of the ISA method (eisa package) or the algorithms in the biclust package or others. The viewer itself was developed using Adobe Flex and runs in a flash-enabled web browser.</t>
  </si>
  <si>
    <t>Same purpose, programming language, maintainer and reference to biocoductor in 1.</t>
  </si>
  <si>
    <t>cryfa/cmd</t>
  </si>
  <si>
    <t>biotools/cryfa/cmd/None</t>
  </si>
  <si>
    <t>cryfa</t>
  </si>
  <si>
    <t>Secure encryption tool for genomic data, namely in Fasta, Fastq, VCF, SAM and BAM formats, which is also capable of reducing the storage size of Fasta and Fastq files.</t>
  </si>
  <si>
    <t>Morteza Hosseini &lt;seyedmorteza@ua.pt&gt;</t>
  </si>
  <si>
    <t>bioconda_recipes/cryfa/cmd/20.04</t>
  </si>
  <si>
    <t>A secure encryption tool for genomic data.</t>
  </si>
  <si>
    <t>One repository a fork of the other.</t>
  </si>
  <si>
    <t>gffcompare/cmd</t>
  </si>
  <si>
    <t>galaxy/gffcompare/cmd/0.9.8</t>
  </si>
  <si>
    <t>gffcompare</t>
  </si>
  <si>
    <t>Compare assembled transcripts to a reference annotation.</t>
  </si>
  <si>
    <t>bioconda_recipes/gffcompare/cmd/0.12.6</t>
  </si>
  <si>
    <t>GffCompare by Geo Pertea.</t>
  </si>
  <si>
    <t>One common author and same purpose, but different publications.</t>
  </si>
  <si>
    <t>kmc/cmd</t>
  </si>
  <si>
    <t>bioconda_recipes/kmc/cmd/3.2.1</t>
  </si>
  <si>
    <t>kmc</t>
  </si>
  <si>
    <t>KMC is a utility designed for counting k-mers (sequences
of consecutive k symbols) in a set of DNA sequences. KMC tools allow performing various operations on k-mers sets.</t>
  </si>
  <si>
    <t>biotools/kmc/cmd/None</t>
  </si>
  <si>
    <t>KMC is a utility designed for counting k-mers (sequences of consecutive k symbols) in a set of reads from genome sequencing projects.</t>
  </si>
  <si>
    <t xml:space="preserve"> &lt;sebastian.deorowicz@polsl.pl&gt;</t>
  </si>
  <si>
    <t>Same description. Repository of 2 appers in website 1.</t>
  </si>
  <si>
    <t>esco/lib</t>
  </si>
  <si>
    <t>biotools/esco/lib/None</t>
  </si>
  <si>
    <t>esco</t>
  </si>
  <si>
    <t>ESCO is an R package for the simulation of single-cell RNA sequencing data with special consideration of gene co-expression.</t>
  </si>
  <si>
    <t>Kathryn Roeder &lt;roeder@andrew.cmu.edu&gt;</t>
  </si>
  <si>
    <t>bioconductor/esco/lib/0.99.12</t>
  </si>
  <si>
    <t>This package borrowed the infrastructure from package splatter, which is a package for the simulation of single-cell RNA sequencing count data. This new pacakge allows users to simulate single cell data with any given correlations among genes, while allowing discrete / tree-structured cell groups and smooth trajectories. It provides a simple interface for creating complex simulations that are reproducible and well-documented. Most parameters can be estimated from real data and functions are provided for comparing and visualizing real and simulated datasets.</t>
  </si>
  <si>
    <t>Jinjin Tian &lt;jinjint@andrew.cmu.edu&gt;</t>
  </si>
  <si>
    <t>GPL-3</t>
  </si>
  <si>
    <t xml:space="preserve">Similar purpose, same programming language. Author in 1 first author of publication of 2. </t>
  </si>
  <si>
    <t>a5/cmd</t>
  </si>
  <si>
    <t>bioconda_recipes/a5-miseq/cmd/20160825</t>
  </si>
  <si>
    <t>a5-miseq</t>
  </si>
  <si>
    <t>A5-miseq is a pipeline for assembling DNA sequence data generated on the Illumina sequencing platform. This README will take you through the steps necessary for running _A5-miseq_.</t>
  </si>
  <si>
    <t>biotools/a5/cmd/None</t>
  </si>
  <si>
    <t>a5</t>
  </si>
  <si>
    <t>A5 is an integrative pipeline for genome assembly that automates sequence data cleaning, error correction, assembly, and quality control by chaining a number of programs together with additional custom algorithms.</t>
  </si>
  <si>
    <t>Aaron E. Darling &lt;aarondarling@ucdavis.edu&gt;</t>
  </si>
  <si>
    <t>Name of 1 included in website of 2. Same purpose</t>
  </si>
  <si>
    <t>rcorrector/cmd</t>
  </si>
  <si>
    <t>toolshed/rcorrector/cmd/1.0.3+galaxy1</t>
  </si>
  <si>
    <t>rcorrector</t>
  </si>
  <si>
    <t>A kmer-based error correction method for RNA-seq data.</t>
  </si>
  <si>
    <t>bioconda_recipes/rcorrector/cmd/1.0.6</t>
  </si>
  <si>
    <t>Rcorrector (RNA-seq error CORRECTOR) is a kmer-based error correction method for RNA-seq data. Rcorrector can also be applied to other type of sequencing data where the read coverage is non-uniform, such as single-cell sequencing.</t>
  </si>
  <si>
    <t>Different repository and code. One seems a wrapper of the other.</t>
  </si>
  <si>
    <t>bioconductor-multiwgcna/lib</t>
  </si>
  <si>
    <t>biotools/multiwgcna/lib/None</t>
  </si>
  <si>
    <t>multiwgcna</t>
  </si>
  <si>
    <t>R package for deep mining gene co-expression networks in multi-trait expression data.</t>
  </si>
  <si>
    <t>Brent L. Fogel &lt;bfogel@ucla.edu&gt;
Dario Tommasini</t>
  </si>
  <si>
    <t>bioconda_recipes/bioconductor-multiwgcna/lib/1.0.0</t>
  </si>
  <si>
    <t>bioconductor-multiwgcna</t>
  </si>
  <si>
    <t>An R package for deeping mining gene co-expression networks in multi-trait expression data. Provides functions for analyzing, comparing, and visualizing WGCNA networks across conditions. multiWGCNA was designed to handle the common case where there are multiple biologically meaningful sample traits, such as disease vs wildtype across development or anatomical region.</t>
  </si>
  <si>
    <t>Same purpose, simliar description, same citation and 1 refers to being in bioconductor (2)</t>
  </si>
  <si>
    <t>bioconductor-dune/lib</t>
  </si>
  <si>
    <t>biotools/dune/lib/None</t>
  </si>
  <si>
    <t>dune</t>
  </si>
  <si>
    <t>Dune is an R Package that provides a parameter-free method for optimizing the trade-off between the resolutionof the clusters and their replicability across datasets. Dune method takes as input a set of clustering results on a dataset, and iteratively merges clusters within those clusterings in order to maximize their concordance.</t>
  </si>
  <si>
    <t>Sandrine Dudoit &lt;sandrine@stat.berkeley.edu&gt;</t>
  </si>
  <si>
    <t>bioconda_recipes/bioconductor-dune/lib/1.14.0</t>
  </si>
  <si>
    <t>bioconductor-dune</t>
  </si>
  <si>
    <t>Given a set of clustering labels, Dune merges pairs of clusters to increase mean ARI between labels, improving replicability.</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</si>
</sst>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color theme="1"/>
      <name val="Calibri"/>
      <scheme val="minor"/>
    </font>
    <font>
      <sz val="11.0"/>
      <color theme="1"/>
      <name val="Calibri"/>
    </font>
    <font>
      <b/>
      <sz val="11.0"/>
      <color theme="1"/>
      <name val="Calibri"/>
    </font>
    <font>
      <u/>
      <sz val="11.0"/>
      <color theme="1"/>
      <name val="Calibri"/>
    </font>
    <font>
      <u/>
      <sz val="11.0"/>
      <color theme="1"/>
      <name val="Calibri"/>
    </font>
    <font>
      <color theme="1"/>
      <name val="Calibri"/>
      <scheme val="minor"/>
    </font>
  </fonts>
  <fills count="5">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3F3F3"/>
        <bgColor rgb="FFF3F3F3"/>
      </patternFill>
    </fill>
  </fills>
  <borders count="11">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ck">
        <color rgb="FF000000"/>
      </right>
      <top style="thin">
        <color rgb="FF000000"/>
      </top>
      <bottom style="medium">
        <color rgb="FF000000"/>
      </bottom>
    </border>
    <border>
      <left style="medium">
        <color rgb="FF000000"/>
      </left>
    </border>
    <border>
      <right style="medium">
        <color rgb="FF000000"/>
      </right>
    </border>
    <border>
      <right style="thin">
        <color rgb="FF000000"/>
      </right>
    </border>
    <border>
      <right style="thick">
        <color rgb="FF000000"/>
      </right>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2" fillId="2" fontId="1" numFmtId="0" xfId="0" applyAlignment="1" applyBorder="1" applyFont="1">
      <alignment shrinkToFit="0" vertical="top" wrapText="1"/>
    </xf>
    <xf borderId="3" fillId="2" fontId="1" numFmtId="0" xfId="0" applyAlignment="1" applyBorder="1" applyFont="1">
      <alignment shrinkToFit="0" vertical="top" wrapText="1"/>
    </xf>
    <xf borderId="4" fillId="2" fontId="1" numFmtId="0" xfId="0" applyAlignment="1" applyBorder="1" applyFont="1">
      <alignment shrinkToFit="0" vertical="top" wrapText="1"/>
    </xf>
    <xf borderId="5" fillId="2" fontId="1" numFmtId="0" xfId="0" applyAlignment="1" applyBorder="1" applyFont="1">
      <alignment readingOrder="0" shrinkToFit="0" vertical="top" wrapText="1"/>
    </xf>
    <xf borderId="6" fillId="2" fontId="1" numFmtId="0" xfId="0" applyAlignment="1" applyBorder="1" applyFont="1">
      <alignment shrinkToFit="0" vertical="top" wrapText="1"/>
    </xf>
    <xf borderId="5" fillId="3" fontId="1" numFmtId="0" xfId="0" applyAlignment="1" applyBorder="1" applyFill="1" applyFont="1">
      <alignment shrinkToFit="0" vertical="top" wrapText="1"/>
    </xf>
    <xf borderId="1" fillId="3" fontId="1" numFmtId="0" xfId="0" applyAlignment="1" applyBorder="1" applyFont="1">
      <alignmen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7" fillId="4" fontId="2" numFmtId="0" xfId="0" applyAlignment="1" applyBorder="1" applyFill="1" applyFont="1">
      <alignment shrinkToFit="0" vertical="top" wrapText="1"/>
    </xf>
    <xf borderId="0" fillId="4" fontId="3" numFmtId="0" xfId="0" applyAlignment="1" applyFont="1">
      <alignment shrinkToFit="0" vertical="top" wrapText="1"/>
    </xf>
    <xf borderId="0" fillId="4" fontId="2" numFmtId="0" xfId="0" applyAlignment="1" applyFont="1">
      <alignment shrinkToFit="0" vertical="top" wrapText="1"/>
    </xf>
    <xf borderId="0" fillId="4" fontId="5" numFmtId="0" xfId="0" applyAlignment="1" applyFont="1">
      <alignment shrinkToFit="0" vertical="top" wrapText="1"/>
    </xf>
    <xf borderId="8" fillId="4" fontId="2" numFmtId="0" xfId="0" applyAlignment="1" applyBorder="1" applyFont="1">
      <alignment shrinkToFit="0" vertical="top" wrapText="1"/>
    </xf>
    <xf borderId="0" fillId="0" fontId="2" numFmtId="0" xfId="0" applyAlignment="1" applyFont="1">
      <alignment readingOrder="0" shrinkToFit="0" vertical="top" wrapText="1"/>
    </xf>
    <xf borderId="9" fillId="0" fontId="2" numFmtId="0" xfId="0" applyAlignment="1" applyBorder="1" applyFont="1">
      <alignment readingOrder="0" shrinkToFit="0" vertical="top" wrapText="1"/>
    </xf>
    <xf borderId="10" fillId="0" fontId="6" numFmtId="0" xfId="0" applyAlignment="1" applyBorder="1" applyFont="1">
      <alignment readingOrder="0" vertical="top"/>
    </xf>
    <xf borderId="0" fillId="3" fontId="2" numFmtId="0" xfId="0" applyAlignment="1" applyFont="1">
      <alignment shrinkToFit="0" vertical="top" wrapText="1"/>
    </xf>
    <xf borderId="0" fillId="0" fontId="1" numFmtId="0" xfId="0" applyFont="1"/>
    <xf borderId="7" fillId="4" fontId="6" numFmtId="0" xfId="0" applyBorder="1" applyFont="1"/>
    <xf borderId="0" fillId="4" fontId="1" numFmtId="0" xfId="0" applyFont="1"/>
    <xf borderId="0" fillId="4" fontId="6" numFmtId="0" xfId="0" applyFont="1"/>
    <xf borderId="8" fillId="4" fontId="6" numFmtId="0" xfId="0" applyBorder="1" applyFont="1"/>
    <xf borderId="9" fillId="0" fontId="6" numFmtId="0" xfId="0" applyBorder="1" applyFont="1"/>
    <xf borderId="10" fillId="0" fontId="6" numFmtId="0" xfId="0" applyAlignment="1" applyBorder="1" applyFont="1">
      <alignment vertical="top"/>
    </xf>
    <xf borderId="0" fillId="3" fontId="6" numFmtId="0" xfId="0" applyFont="1"/>
    <xf borderId="1" fillId="2" fontId="1" numFmtId="0" xfId="0" applyAlignment="1" applyBorder="1" applyFont="1">
      <alignment readingOrder="0" shrinkToFit="0" vertical="top" wrapText="1"/>
    </xf>
    <xf borderId="8" fillId="0" fontId="2" numFmtId="0" xfId="0" applyAlignment="1" applyBorder="1" applyFont="1">
      <alignment readingOrder="0" shrinkToFit="0" vertical="top" wrapText="1"/>
    </xf>
    <xf borderId="0" fillId="0" fontId="6" numFmtId="0" xfId="0" applyAlignment="1" applyFont="1">
      <alignment readingOrder="0"/>
    </xf>
    <xf borderId="8"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0.86"/>
    <col customWidth="1" min="2" max="2" width="25.29"/>
    <col customWidth="1" min="3" max="3" width="16.0"/>
    <col customWidth="1" min="4" max="4" width="15.57"/>
    <col customWidth="1" min="5" max="5" width="11.29"/>
    <col customWidth="1" min="6" max="6" width="55.14"/>
    <col customWidth="1" min="7" max="7" width="37.29"/>
    <col customWidth="1" min="8" max="8" width="37.14"/>
    <col customWidth="1" min="9" max="9" width="31.57"/>
    <col customWidth="1" min="10" max="10" width="11.43"/>
    <col customWidth="1" min="11" max="11" width="14.86"/>
    <col customWidth="1" min="12" max="12" width="35.14"/>
    <col customWidth="1" min="13" max="13" width="18.43"/>
    <col customWidth="1" min="14" max="14" width="19.0"/>
    <col customWidth="1" min="15" max="15" width="13.14"/>
    <col customWidth="1" min="16" max="16" width="56.57"/>
    <col customWidth="1" min="17" max="17" width="35.29"/>
    <col customWidth="1" min="18" max="18" width="47.29"/>
    <col customWidth="1" min="19" max="19" width="33.57"/>
    <col customWidth="1" min="20" max="20" width="20.86"/>
    <col customWidth="1" min="21" max="21" width="15.14"/>
    <col customWidth="1" min="22" max="22" width="14.29"/>
    <col customWidth="1" min="23" max="23" width="17.57"/>
    <col customWidth="1" min="24" max="24" width="23.43"/>
    <col customWidth="1" min="25" max="25" width="12.14"/>
    <col customWidth="1" min="26" max="26" width="15.43"/>
    <col customWidth="1" min="27" max="27" width="17.57"/>
    <col customWidth="1" min="28" max="28" width="14.29"/>
  </cols>
  <sheetData>
    <row r="1">
      <c r="A1" s="1" t="s">
        <v>0</v>
      </c>
      <c r="B1" s="1" t="s">
        <v>1</v>
      </c>
      <c r="C1" s="1" t="s">
        <v>2</v>
      </c>
      <c r="D1" s="1" t="s">
        <v>3</v>
      </c>
      <c r="E1" s="1" t="s">
        <v>4</v>
      </c>
      <c r="F1" s="1" t="s">
        <v>5</v>
      </c>
      <c r="G1" s="1" t="s">
        <v>6</v>
      </c>
      <c r="H1" s="1" t="s">
        <v>7</v>
      </c>
      <c r="I1" s="1" t="s">
        <v>8</v>
      </c>
      <c r="J1" s="1" t="s">
        <v>9</v>
      </c>
      <c r="K1" s="1" t="s">
        <v>10</v>
      </c>
      <c r="L1" s="2" t="s">
        <v>11</v>
      </c>
      <c r="M1" s="3" t="s">
        <v>12</v>
      </c>
      <c r="N1" s="1" t="s">
        <v>13</v>
      </c>
      <c r="O1" s="1" t="s">
        <v>14</v>
      </c>
      <c r="P1" s="1" t="s">
        <v>15</v>
      </c>
      <c r="Q1" s="1" t="s">
        <v>16</v>
      </c>
      <c r="R1" s="1" t="s">
        <v>17</v>
      </c>
      <c r="S1" s="1" t="s">
        <v>18</v>
      </c>
      <c r="T1" s="1" t="s">
        <v>19</v>
      </c>
      <c r="U1" s="4" t="s">
        <v>20</v>
      </c>
      <c r="V1" s="5" t="s">
        <v>21</v>
      </c>
      <c r="W1" s="1" t="s">
        <v>22</v>
      </c>
      <c r="X1" s="1" t="s">
        <v>23</v>
      </c>
      <c r="Y1" s="6" t="s">
        <v>24</v>
      </c>
      <c r="Z1" s="7"/>
      <c r="AA1" s="8"/>
      <c r="AB1" s="8"/>
    </row>
    <row r="2">
      <c r="A2" s="9" t="s">
        <v>25</v>
      </c>
      <c r="B2" s="9" t="s">
        <v>26</v>
      </c>
      <c r="C2" s="9" t="s">
        <v>27</v>
      </c>
      <c r="D2" s="10" t="s">
        <v>28</v>
      </c>
      <c r="E2" s="9"/>
      <c r="F2" s="9" t="s">
        <v>29</v>
      </c>
      <c r="G2" s="11" t="str">
        <f>HYPERLINK("https://sourceforge.net/projects/slimfastq","https://sourceforge.net/projects/slimfastq")</f>
        <v>https://sourceforge.net/projects/slimfastq</v>
      </c>
      <c r="H2" s="11" t="str">
        <f>HYPERLINK("https://slimfastq.sourceforge.io/","https://slimfastq.sourceforge.io/")</f>
        <v>https://slimfastq.sourceforge.io/</v>
      </c>
      <c r="I2" s="9"/>
      <c r="J2" s="9"/>
      <c r="K2" s="9"/>
      <c r="L2" s="9" t="s">
        <v>30</v>
      </c>
      <c r="M2" s="12" t="s">
        <v>31</v>
      </c>
      <c r="N2" s="13" t="s">
        <v>28</v>
      </c>
      <c r="O2" s="14"/>
      <c r="P2" s="14" t="s">
        <v>32</v>
      </c>
      <c r="Q2" s="15" t="str">
        <f>HYPERLINK("https://github.com/Infinidat/slimfastq","https://github.com/Infinidat/slimfastq")</f>
        <v>https://github.com/Infinidat/slimfastq</v>
      </c>
      <c r="R2" s="15" t="str">
        <f>HYPERLINK("https://sf.net/p/slimfastq/","https://sf.net/p/slimfastq/")</f>
        <v>https://sf.net/p/slimfastq/</v>
      </c>
      <c r="S2" s="14"/>
      <c r="T2" s="14"/>
      <c r="U2" s="16"/>
      <c r="V2" s="17" t="s">
        <v>33</v>
      </c>
      <c r="W2" s="17" t="s">
        <v>34</v>
      </c>
      <c r="X2" s="18" t="s">
        <v>35</v>
      </c>
      <c r="Y2" s="19" t="b">
        <v>0</v>
      </c>
      <c r="Z2" s="20"/>
      <c r="AA2" s="20"/>
      <c r="AB2" s="20"/>
    </row>
    <row r="3">
      <c r="A3" s="9" t="s">
        <v>36</v>
      </c>
      <c r="B3" s="9" t="s">
        <v>37</v>
      </c>
      <c r="C3" s="9" t="s">
        <v>38</v>
      </c>
      <c r="D3" s="10" t="s">
        <v>39</v>
      </c>
      <c r="E3" s="9" t="s">
        <v>40</v>
      </c>
      <c r="F3" s="9" t="s">
        <v>41</v>
      </c>
      <c r="G3" s="9"/>
      <c r="H3" s="11" t="str">
        <f>HYPERLINK("https://pypi.org/project/pyfastx","https://pypi.org/project/pyfastx")</f>
        <v>https://pypi.org/project/pyfastx</v>
      </c>
      <c r="I3" s="9" t="s">
        <v>42</v>
      </c>
      <c r="J3" s="9"/>
      <c r="K3" s="9"/>
      <c r="L3" s="9" t="s">
        <v>43</v>
      </c>
      <c r="M3" s="12" t="s">
        <v>31</v>
      </c>
      <c r="N3" s="13" t="s">
        <v>39</v>
      </c>
      <c r="O3" s="14"/>
      <c r="P3" s="14" t="s">
        <v>44</v>
      </c>
      <c r="Q3" s="15" t="str">
        <f>HYPERLINK("https://github.com/lmdu/pyfastx","https://github.com/lmdu/pyfastx")</f>
        <v>https://github.com/lmdu/pyfastx</v>
      </c>
      <c r="R3" s="15" t="str">
        <f>HYPERLINK("https://pyfastx.readthedocs.io/","https://pyfastx.readthedocs.io/")</f>
        <v>https://pyfastx.readthedocs.io/</v>
      </c>
      <c r="S3" s="14"/>
      <c r="T3" s="14"/>
      <c r="U3" s="16"/>
      <c r="V3" s="17" t="s">
        <v>33</v>
      </c>
      <c r="W3" s="17" t="s">
        <v>34</v>
      </c>
      <c r="X3" s="18" t="s">
        <v>45</v>
      </c>
      <c r="Y3" s="19" t="b">
        <v>0</v>
      </c>
      <c r="Z3" s="20"/>
      <c r="AA3" s="20"/>
      <c r="AB3" s="20"/>
    </row>
    <row r="4">
      <c r="A4" s="9" t="s">
        <v>46</v>
      </c>
      <c r="B4" s="9" t="s">
        <v>47</v>
      </c>
      <c r="C4" s="9" t="s">
        <v>48</v>
      </c>
      <c r="D4" s="10" t="s">
        <v>49</v>
      </c>
      <c r="E4" s="9" t="s">
        <v>50</v>
      </c>
      <c r="F4" s="9" t="s">
        <v>51</v>
      </c>
      <c r="G4" s="9"/>
      <c r="H4" s="11" t="str">
        <f>HYPERLINK("https://galaxy.bi.uni-freiburg.de/tool_runner?tool_id=toolshed.g2.bx.psu.edu%2Frepos%2Fiuc%2Fprinseq%2Fprinseq%2F0.20.4","https://galaxy.bi.uni-freiburg.de/tool_runner?tool_id=toolshed.g2.bx.psu.edu%2Frepos%2Fiuc%2Fprinseq%2Fprinseq%2F0.20.4")</f>
        <v>https://galaxy.bi.uni-freiburg.de/tool_runner?tool_id=toolshed.g2.bx.psu.edu%2Frepos%2Fiuc%2Fprinseq%2Fprinseq%2F0.20.4</v>
      </c>
      <c r="I4" s="9"/>
      <c r="J4" s="9"/>
      <c r="K4" s="9"/>
      <c r="L4" s="9" t="s">
        <v>52</v>
      </c>
      <c r="M4" s="12" t="s">
        <v>53</v>
      </c>
      <c r="N4" s="13" t="s">
        <v>49</v>
      </c>
      <c r="O4" s="14" t="s">
        <v>50</v>
      </c>
      <c r="P4" s="14" t="s">
        <v>54</v>
      </c>
      <c r="Q4" s="14"/>
      <c r="R4" s="15" t="str">
        <f>HYPERLINK("http://prinseq.sourceforge.net/","http://prinseq.sourceforge.net/")</f>
        <v>http://prinseq.sourceforge.net/</v>
      </c>
      <c r="S4" s="14"/>
      <c r="T4" s="14"/>
      <c r="U4" s="16" t="s">
        <v>55</v>
      </c>
      <c r="V4" s="17" t="s">
        <v>33</v>
      </c>
      <c r="W4" s="17" t="s">
        <v>56</v>
      </c>
      <c r="X4" s="18" t="s">
        <v>57</v>
      </c>
      <c r="Y4" s="19" t="b">
        <v>0</v>
      </c>
      <c r="Z4" s="20"/>
      <c r="AA4" s="20"/>
      <c r="AB4" s="20"/>
    </row>
    <row r="5">
      <c r="A5" s="9" t="s">
        <v>58</v>
      </c>
      <c r="B5" s="9" t="s">
        <v>59</v>
      </c>
      <c r="C5" s="9" t="s">
        <v>38</v>
      </c>
      <c r="D5" s="10" t="s">
        <v>60</v>
      </c>
      <c r="E5" s="9" t="s">
        <v>61</v>
      </c>
      <c r="F5" s="9" t="s">
        <v>62</v>
      </c>
      <c r="G5" s="9"/>
      <c r="H5" s="11" t="str">
        <f>HYPERLINK("https://www.lipidr.org/","https://www.lipidr.org/")</f>
        <v>https://www.lipidr.org/</v>
      </c>
      <c r="J5" s="9"/>
      <c r="K5" s="9"/>
      <c r="L5" s="9" t="s">
        <v>63</v>
      </c>
      <c r="M5" s="12" t="s">
        <v>53</v>
      </c>
      <c r="N5" s="13" t="s">
        <v>64</v>
      </c>
      <c r="O5" s="14" t="s">
        <v>61</v>
      </c>
      <c r="P5" s="14" t="s">
        <v>65</v>
      </c>
      <c r="Q5" s="14"/>
      <c r="R5" s="15" t="str">
        <f>HYPERLINK("https://bioconductor.org/packages/3.18/bioc/html/lipidr.html","https://bioconductor.org/packages/3.18/bioc/html/lipidr.html")</f>
        <v>https://bioconductor.org/packages/3.18/bioc/html/lipidr.html</v>
      </c>
      <c r="S5" s="14"/>
      <c r="T5" s="14"/>
      <c r="U5" s="16" t="s">
        <v>66</v>
      </c>
      <c r="V5" s="17" t="s">
        <v>33</v>
      </c>
      <c r="W5" s="17" t="s">
        <v>34</v>
      </c>
      <c r="X5" s="18" t="s">
        <v>67</v>
      </c>
      <c r="Y5" s="19" t="b">
        <v>0</v>
      </c>
      <c r="Z5" s="20"/>
      <c r="AA5" s="20"/>
      <c r="AB5" s="20"/>
    </row>
    <row r="6">
      <c r="A6" s="9" t="s">
        <v>68</v>
      </c>
      <c r="B6" s="9" t="s">
        <v>69</v>
      </c>
      <c r="C6" s="9" t="s">
        <v>38</v>
      </c>
      <c r="D6" s="10" t="s">
        <v>70</v>
      </c>
      <c r="E6" s="9" t="s">
        <v>50</v>
      </c>
      <c r="F6" s="9" t="s">
        <v>71</v>
      </c>
      <c r="G6" s="9"/>
      <c r="H6" s="11" t="str">
        <f>HYPERLINK("https://urgi.versailles.inra.fr/Tools/REPET","https://urgi.versailles.inra.fr/Tools/REPET")</f>
        <v>https://urgi.versailles.inra.fr/Tools/REPET</v>
      </c>
      <c r="I6" s="9" t="s">
        <v>72</v>
      </c>
      <c r="J6" s="9"/>
      <c r="K6" s="9"/>
      <c r="L6" s="9" t="s">
        <v>73</v>
      </c>
      <c r="M6" s="12" t="s">
        <v>38</v>
      </c>
      <c r="N6" s="13" t="s">
        <v>70</v>
      </c>
      <c r="O6" s="14" t="s">
        <v>50</v>
      </c>
      <c r="P6" s="14" t="s">
        <v>74</v>
      </c>
      <c r="Q6" s="14"/>
      <c r="R6" s="15" t="str">
        <f>HYPERLINK("https://urgi.versailles.inrae.fr/Tools/REPET","https://urgi.versailles.inrae.fr/Tools/REPET")</f>
        <v>https://urgi.versailles.inrae.fr/Tools/REPET</v>
      </c>
      <c r="S6" s="14" t="s">
        <v>75</v>
      </c>
      <c r="T6" s="14"/>
      <c r="U6" s="16"/>
      <c r="V6" s="17" t="s">
        <v>33</v>
      </c>
      <c r="W6" s="17" t="s">
        <v>34</v>
      </c>
      <c r="X6" s="18" t="s">
        <v>76</v>
      </c>
      <c r="Y6" s="19" t="b">
        <v>0</v>
      </c>
      <c r="Z6" s="20"/>
      <c r="AA6" s="20"/>
      <c r="AB6" s="20"/>
    </row>
    <row r="7">
      <c r="A7" s="9" t="s">
        <v>77</v>
      </c>
      <c r="B7" s="9" t="s">
        <v>78</v>
      </c>
      <c r="C7" s="9" t="s">
        <v>38</v>
      </c>
      <c r="D7" s="10" t="s">
        <v>79</v>
      </c>
      <c r="E7" s="9" t="s">
        <v>50</v>
      </c>
      <c r="F7" s="9" t="s">
        <v>80</v>
      </c>
      <c r="G7" s="9"/>
      <c r="H7" s="11" t="str">
        <f>HYPERLINK("https://research.pasteur.fr/en/software/bmge-block-mapping-and-gathering-with-entropy/","https://research.pasteur.fr/en/software/bmge-block-mapping-and-gathering-with-entropy/")</f>
        <v>https://research.pasteur.fr/en/software/bmge-block-mapping-and-gathering-with-entropy/</v>
      </c>
      <c r="I7" s="9" t="s">
        <v>81</v>
      </c>
      <c r="J7" s="9"/>
      <c r="K7" s="9"/>
      <c r="L7" s="9" t="s">
        <v>82</v>
      </c>
      <c r="M7" s="12" t="s">
        <v>53</v>
      </c>
      <c r="N7" s="13" t="s">
        <v>79</v>
      </c>
      <c r="O7" s="14" t="s">
        <v>50</v>
      </c>
      <c r="P7" s="14" t="s">
        <v>83</v>
      </c>
      <c r="Q7" s="14"/>
      <c r="R7" s="15" t="str">
        <f>HYPERLINK("https://bioweb.pasteur.fr/packages/pack@BMGE@1.12","https://bioweb.pasteur.fr/packages/pack@BMGE@1.12")</f>
        <v>https://bioweb.pasteur.fr/packages/pack@BMGE@1.12</v>
      </c>
      <c r="S7" s="14"/>
      <c r="T7" s="14"/>
      <c r="U7" s="16" t="s">
        <v>84</v>
      </c>
      <c r="V7" s="17" t="s">
        <v>33</v>
      </c>
      <c r="W7" s="17" t="s">
        <v>56</v>
      </c>
      <c r="X7" s="18" t="s">
        <v>85</v>
      </c>
      <c r="Y7" s="19" t="b">
        <v>0</v>
      </c>
      <c r="Z7" s="20"/>
      <c r="AA7" s="20"/>
      <c r="AB7" s="20"/>
    </row>
    <row r="8">
      <c r="A8" s="9" t="s">
        <v>86</v>
      </c>
      <c r="B8" s="9" t="s">
        <v>87</v>
      </c>
      <c r="C8" s="9" t="s">
        <v>38</v>
      </c>
      <c r="D8" s="10" t="s">
        <v>88</v>
      </c>
      <c r="E8" s="9" t="s">
        <v>50</v>
      </c>
      <c r="F8" s="9" t="s">
        <v>89</v>
      </c>
      <c r="G8" s="9"/>
      <c r="H8" s="11" t="str">
        <f>HYPERLINK("https://sites.google.com/site/rfmixlocalancestryinference/","https://sites.google.com/site/rfmixlocalancestryinference/")</f>
        <v>https://sites.google.com/site/rfmixlocalancestryinference/</v>
      </c>
      <c r="I8" s="9" t="s">
        <v>90</v>
      </c>
      <c r="J8" s="9"/>
      <c r="K8" s="9"/>
      <c r="L8" s="9" t="s">
        <v>91</v>
      </c>
      <c r="M8" s="12" t="s">
        <v>53</v>
      </c>
      <c r="N8" s="13" t="s">
        <v>88</v>
      </c>
      <c r="O8" s="14" t="s">
        <v>50</v>
      </c>
      <c r="P8" s="14" t="s">
        <v>92</v>
      </c>
      <c r="Q8" s="15" t="str">
        <f t="shared" ref="Q8:R8" si="1">HYPERLINK("https://github.com/slowkoni/rfmix","https://github.com/slowkoni/rfmix")</f>
        <v>https://github.com/slowkoni/rfmix</v>
      </c>
      <c r="R8" s="15" t="str">
        <f t="shared" si="1"/>
        <v>https://github.com/slowkoni/rfmix</v>
      </c>
      <c r="S8" s="14"/>
      <c r="T8" s="14"/>
      <c r="U8" s="16" t="s">
        <v>93</v>
      </c>
      <c r="V8" s="17" t="s">
        <v>94</v>
      </c>
      <c r="W8" s="9"/>
      <c r="X8" s="18" t="s">
        <v>95</v>
      </c>
      <c r="Y8" s="19" t="b">
        <v>1</v>
      </c>
      <c r="Z8" s="20"/>
      <c r="AA8" s="20"/>
      <c r="AB8" s="20"/>
    </row>
    <row r="9">
      <c r="A9" s="9" t="s">
        <v>96</v>
      </c>
      <c r="B9" s="9" t="s">
        <v>97</v>
      </c>
      <c r="C9" s="9" t="s">
        <v>48</v>
      </c>
      <c r="D9" s="10" t="s">
        <v>98</v>
      </c>
      <c r="E9" s="9" t="s">
        <v>50</v>
      </c>
      <c r="F9" s="9" t="s">
        <v>99</v>
      </c>
      <c r="G9" s="9"/>
      <c r="H9" s="11" t="str">
        <f>HYPERLINK("https://galaxy.bi.uni-freiburg.de/tool_runner?tool_id=toolshed.g2.bx.psu.edu%2Frepos%2Frnateam%2Fmetilene%2Fmetilene%2F0.2.6.1","https://galaxy.bi.uni-freiburg.de/tool_runner?tool_id=toolshed.g2.bx.psu.edu%2Frepos%2Frnateam%2Fmetilene%2Fmetilene%2F0.2.6.1")</f>
        <v>https://galaxy.bi.uni-freiburg.de/tool_runner?tool_id=toolshed.g2.bx.psu.edu%2Frepos%2Frnateam%2Fmetilene%2Fmetilene%2F0.2.6.1</v>
      </c>
      <c r="I9" s="9"/>
      <c r="J9" s="9"/>
      <c r="K9" s="9"/>
      <c r="L9" s="9" t="s">
        <v>100</v>
      </c>
      <c r="M9" s="12" t="s">
        <v>53</v>
      </c>
      <c r="N9" s="13" t="s">
        <v>98</v>
      </c>
      <c r="O9" s="14" t="s">
        <v>50</v>
      </c>
      <c r="P9" s="14" t="s">
        <v>101</v>
      </c>
      <c r="Q9" s="14"/>
      <c r="R9" s="15" t="str">
        <f>HYPERLINK("http://www.bioinf.uni-leipzig.de/Software/metilene/","http://www.bioinf.uni-leipzig.de/Software/metilene/")</f>
        <v>http://www.bioinf.uni-leipzig.de/Software/metilene/</v>
      </c>
      <c r="S9" s="14"/>
      <c r="T9" s="14"/>
      <c r="U9" s="16" t="s">
        <v>84</v>
      </c>
      <c r="V9" s="17" t="s">
        <v>33</v>
      </c>
      <c r="W9" s="17" t="s">
        <v>56</v>
      </c>
      <c r="X9" s="18" t="s">
        <v>102</v>
      </c>
      <c r="Y9" s="19" t="b">
        <v>0</v>
      </c>
      <c r="Z9" s="20"/>
      <c r="AA9" s="20"/>
      <c r="AB9" s="20"/>
    </row>
    <row r="10">
      <c r="A10" s="9" t="s">
        <v>103</v>
      </c>
      <c r="B10" s="9" t="s">
        <v>104</v>
      </c>
      <c r="C10" s="9" t="s">
        <v>27</v>
      </c>
      <c r="D10" s="10" t="s">
        <v>105</v>
      </c>
      <c r="E10" s="9"/>
      <c r="F10" s="9" t="s">
        <v>106</v>
      </c>
      <c r="G10" s="11" t="str">
        <f>HYPERLINK("https://sourceforge.net/projects/hyphy","https://sourceforge.net/projects/hyphy")</f>
        <v>https://sourceforge.net/projects/hyphy</v>
      </c>
      <c r="H10" s="11" t="str">
        <f>HYPERLINK("https://hyphy.sourceforge.io/","https://hyphy.sourceforge.io/")</f>
        <v>https://hyphy.sourceforge.io/</v>
      </c>
      <c r="I10" s="9"/>
      <c r="J10" s="9"/>
      <c r="K10" s="9"/>
      <c r="L10" s="9" t="s">
        <v>107</v>
      </c>
      <c r="M10" s="12" t="s">
        <v>31</v>
      </c>
      <c r="N10" s="13" t="s">
        <v>105</v>
      </c>
      <c r="O10" s="14"/>
      <c r="P10" s="14" t="s">
        <v>108</v>
      </c>
      <c r="Q10" s="15" t="str">
        <f>HYPERLINK("https://github.com/veg/hyphy","https://github.com/veg/hyphy")</f>
        <v>https://github.com/veg/hyphy</v>
      </c>
      <c r="R10" s="15" t="str">
        <f>HYPERLINK("http://www.hyphy.org/","http://www.hyphy.org/")</f>
        <v>http://www.hyphy.org/</v>
      </c>
      <c r="S10" s="14"/>
      <c r="T10" s="14"/>
      <c r="U10" s="16"/>
      <c r="V10" s="17" t="s">
        <v>33</v>
      </c>
      <c r="W10" s="17" t="s">
        <v>109</v>
      </c>
      <c r="X10" s="18" t="s">
        <v>110</v>
      </c>
      <c r="Y10" s="19" t="b">
        <v>1</v>
      </c>
      <c r="Z10" s="20"/>
      <c r="AA10" s="20"/>
      <c r="AB10" s="20"/>
    </row>
    <row r="11">
      <c r="A11" s="9" t="s">
        <v>111</v>
      </c>
      <c r="B11" s="9" t="s">
        <v>112</v>
      </c>
      <c r="C11" s="9" t="s">
        <v>38</v>
      </c>
      <c r="D11" s="10" t="s">
        <v>113</v>
      </c>
      <c r="E11" s="9" t="s">
        <v>61</v>
      </c>
      <c r="F11" s="9" t="s">
        <v>114</v>
      </c>
      <c r="G11" s="9"/>
      <c r="H11" s="11" t="str">
        <f>HYPERLINK("https://www.ncbi.nlm.nih.gov/pubmed/?term=35298919","https://www.ncbi.nlm.nih.gov/pubmed/?term=35298919")</f>
        <v>https://www.ncbi.nlm.nih.gov/pubmed/?term=35298919</v>
      </c>
      <c r="I11" s="9" t="s">
        <v>115</v>
      </c>
      <c r="J11" s="9"/>
      <c r="K11" s="9"/>
      <c r="L11" s="9" t="s">
        <v>116</v>
      </c>
      <c r="M11" s="12" t="s">
        <v>117</v>
      </c>
      <c r="N11" s="13" t="s">
        <v>113</v>
      </c>
      <c r="O11" s="14" t="s">
        <v>61</v>
      </c>
      <c r="P11" s="14" t="s">
        <v>118</v>
      </c>
      <c r="Q11" s="14" t="s">
        <v>119</v>
      </c>
      <c r="R11" s="15" t="str">
        <f>HYPERLINK("https://github.com/meganmichelle/RAREsim","https://github.com/meganmichelle/RAREsim")</f>
        <v>https://github.com/meganmichelle/RAREsim</v>
      </c>
      <c r="S11" s="14" t="s">
        <v>120</v>
      </c>
      <c r="T11" s="14"/>
      <c r="U11" s="16" t="s">
        <v>55</v>
      </c>
      <c r="V11" s="17" t="s">
        <v>33</v>
      </c>
      <c r="W11" s="17" t="s">
        <v>34</v>
      </c>
      <c r="X11" s="18" t="s">
        <v>121</v>
      </c>
      <c r="Y11" s="19" t="b">
        <v>0</v>
      </c>
      <c r="Z11" s="20"/>
      <c r="AA11" s="20"/>
      <c r="AB11" s="20"/>
    </row>
    <row r="12">
      <c r="A12" s="9" t="s">
        <v>122</v>
      </c>
      <c r="B12" s="9" t="s">
        <v>123</v>
      </c>
      <c r="C12" s="9" t="s">
        <v>53</v>
      </c>
      <c r="D12" s="10" t="s">
        <v>124</v>
      </c>
      <c r="E12" s="9" t="s">
        <v>50</v>
      </c>
      <c r="F12" s="9" t="s">
        <v>125</v>
      </c>
      <c r="G12" s="11" t="str">
        <f t="shared" ref="G12:H12" si="2">HYPERLINK("https://bitbucket.org/genomicepidemiology/kma","https://bitbucket.org/genomicepidemiology/kma")</f>
        <v>https://bitbucket.org/genomicepidemiology/kma</v>
      </c>
      <c r="H12" s="11" t="str">
        <f t="shared" si="2"/>
        <v>https://bitbucket.org/genomicepidemiology/kma</v>
      </c>
      <c r="I12" s="9"/>
      <c r="J12" s="9"/>
      <c r="K12" s="9" t="s">
        <v>126</v>
      </c>
      <c r="L12" s="9" t="s">
        <v>127</v>
      </c>
      <c r="M12" s="12" t="s">
        <v>38</v>
      </c>
      <c r="N12" s="13" t="s">
        <v>124</v>
      </c>
      <c r="O12" s="14" t="s">
        <v>50</v>
      </c>
      <c r="P12" s="14" t="s">
        <v>125</v>
      </c>
      <c r="Q12" s="14"/>
      <c r="R12" s="15" t="str">
        <f>HYPERLINK("https://bitbucket.org/genomicepidemiology/kma/src/master/","https://bitbucket.org/genomicepidemiology/kma/src/master/")</f>
        <v>https://bitbucket.org/genomicepidemiology/kma/src/master/</v>
      </c>
      <c r="S12" s="14"/>
      <c r="T12" s="14"/>
      <c r="U12" s="16"/>
      <c r="V12" s="17" t="s">
        <v>33</v>
      </c>
      <c r="W12" s="17" t="s">
        <v>34</v>
      </c>
      <c r="X12" s="18" t="s">
        <v>128</v>
      </c>
      <c r="Y12" s="19" t="b">
        <v>0</v>
      </c>
      <c r="Z12" s="20"/>
      <c r="AA12" s="20"/>
      <c r="AB12" s="20"/>
    </row>
    <row r="13">
      <c r="A13" s="9" t="s">
        <v>129</v>
      </c>
      <c r="B13" s="9" t="s">
        <v>130</v>
      </c>
      <c r="C13" s="9" t="s">
        <v>38</v>
      </c>
      <c r="D13" s="10" t="s">
        <v>131</v>
      </c>
      <c r="E13" s="9" t="s">
        <v>50</v>
      </c>
      <c r="F13" s="9" t="s">
        <v>132</v>
      </c>
      <c r="G13" s="9"/>
      <c r="H13" s="11" t="str">
        <f>HYPERLINK("https://sourceforge.net/projects/transcriptomeassembly/files/","https://sourceforge.net/projects/transcriptomeassembly/files/")</f>
        <v>https://sourceforge.net/projects/transcriptomeassembly/files/</v>
      </c>
      <c r="I13" s="9"/>
      <c r="J13" s="9"/>
      <c r="K13" s="9"/>
      <c r="L13" s="9" t="s">
        <v>133</v>
      </c>
      <c r="M13" s="12" t="s">
        <v>53</v>
      </c>
      <c r="N13" s="13" t="s">
        <v>131</v>
      </c>
      <c r="O13" s="14" t="s">
        <v>50</v>
      </c>
      <c r="P13" s="14" t="s">
        <v>134</v>
      </c>
      <c r="Q13" s="14"/>
      <c r="R13" s="15" t="str">
        <f>HYPERLINK("https://sourceforge.net/projects/transcriptomeassembly/","https://sourceforge.net/projects/transcriptomeassembly/")</f>
        <v>https://sourceforge.net/projects/transcriptomeassembly/</v>
      </c>
      <c r="S13" s="14"/>
      <c r="T13" s="14"/>
      <c r="U13" s="16" t="s">
        <v>55</v>
      </c>
      <c r="V13" s="17" t="s">
        <v>33</v>
      </c>
      <c r="W13" s="17" t="s">
        <v>34</v>
      </c>
      <c r="X13" s="18" t="s">
        <v>135</v>
      </c>
      <c r="Y13" s="19" t="b">
        <v>0</v>
      </c>
      <c r="Z13" s="20"/>
      <c r="AA13" s="20"/>
      <c r="AB13" s="20"/>
    </row>
    <row r="14">
      <c r="A14" s="9" t="s">
        <v>136</v>
      </c>
      <c r="B14" s="9" t="s">
        <v>137</v>
      </c>
      <c r="C14" s="9" t="s">
        <v>38</v>
      </c>
      <c r="D14" s="10" t="s">
        <v>138</v>
      </c>
      <c r="E14" s="9" t="s">
        <v>40</v>
      </c>
      <c r="F14" s="9" t="s">
        <v>139</v>
      </c>
      <c r="G14" s="9"/>
      <c r="H14" s="11" t="str">
        <f>HYPERLINK("https://github.com/isovic/racon","https://github.com/isovic/racon")</f>
        <v>https://github.com/isovic/racon</v>
      </c>
      <c r="I14" s="9" t="s">
        <v>140</v>
      </c>
      <c r="J14" s="9"/>
      <c r="K14" s="9"/>
      <c r="L14" s="9" t="s">
        <v>141</v>
      </c>
      <c r="M14" s="12" t="s">
        <v>31</v>
      </c>
      <c r="N14" s="13" t="s">
        <v>138</v>
      </c>
      <c r="O14" s="14"/>
      <c r="P14" s="14" t="s">
        <v>142</v>
      </c>
      <c r="Q14" s="15" t="str">
        <f>HYPERLINK("https://github.com/lbcb-sci/racon","https://github.com/lbcb-sci/racon")</f>
        <v>https://github.com/lbcb-sci/racon</v>
      </c>
      <c r="R14" s="14"/>
      <c r="S14" s="14"/>
      <c r="T14" s="14"/>
      <c r="U14" s="16"/>
      <c r="V14" s="17" t="s">
        <v>33</v>
      </c>
      <c r="W14" s="17" t="s">
        <v>56</v>
      </c>
      <c r="X14" s="18" t="s">
        <v>143</v>
      </c>
      <c r="Y14" s="19" t="b">
        <v>0</v>
      </c>
      <c r="Z14" s="20"/>
      <c r="AA14" s="20"/>
      <c r="AB14" s="20"/>
    </row>
    <row r="15">
      <c r="A15" s="9" t="s">
        <v>144</v>
      </c>
      <c r="B15" s="9" t="s">
        <v>145</v>
      </c>
      <c r="C15" s="9" t="s">
        <v>48</v>
      </c>
      <c r="D15" s="10" t="s">
        <v>146</v>
      </c>
      <c r="E15" s="9" t="s">
        <v>50</v>
      </c>
      <c r="F15" s="9" t="s">
        <v>147</v>
      </c>
      <c r="G15" s="9"/>
      <c r="H15" s="11" t="str">
        <f>HYPERLINK("https://galaxy.bi.uni-freiburg.de/tool_runner?tool_id=toolshed.g2.bx.psu.edu%2Frepos%2Fiuc%2Fpizzly%2Fpizzly%2F0.37.3.1","https://galaxy.bi.uni-freiburg.de/tool_runner?tool_id=toolshed.g2.bx.psu.edu%2Frepos%2Fiuc%2Fpizzly%2Fpizzly%2F0.37.3.1")</f>
        <v>https://galaxy.bi.uni-freiburg.de/tool_runner?tool_id=toolshed.g2.bx.psu.edu%2Frepos%2Fiuc%2Fpizzly%2Fpizzly%2F0.37.3.1</v>
      </c>
      <c r="I15" s="9"/>
      <c r="J15" s="9"/>
      <c r="K15" s="9"/>
      <c r="L15" s="9" t="s">
        <v>148</v>
      </c>
      <c r="M15" s="12" t="s">
        <v>53</v>
      </c>
      <c r="N15" s="13" t="s">
        <v>146</v>
      </c>
      <c r="O15" s="14" t="s">
        <v>50</v>
      </c>
      <c r="P15" s="14" t="s">
        <v>149</v>
      </c>
      <c r="Q15" s="15" t="str">
        <f t="shared" ref="Q15:R15" si="3">HYPERLINK("https://github.com/pmelsted/pizzly","https://github.com/pmelsted/pizzly")</f>
        <v>https://github.com/pmelsted/pizzly</v>
      </c>
      <c r="R15" s="15" t="str">
        <f t="shared" si="3"/>
        <v>https://github.com/pmelsted/pizzly</v>
      </c>
      <c r="S15" s="14"/>
      <c r="T15" s="14"/>
      <c r="U15" s="16" t="s">
        <v>150</v>
      </c>
      <c r="V15" s="17" t="s">
        <v>33</v>
      </c>
      <c r="W15" s="17" t="s">
        <v>34</v>
      </c>
      <c r="X15" s="18" t="s">
        <v>151</v>
      </c>
      <c r="Y15" s="19" t="b">
        <v>0</v>
      </c>
      <c r="Z15" s="20"/>
      <c r="AA15" s="20"/>
      <c r="AB15" s="20"/>
    </row>
    <row r="16">
      <c r="A16" s="9" t="s">
        <v>152</v>
      </c>
      <c r="B16" s="9" t="s">
        <v>153</v>
      </c>
      <c r="C16" s="9" t="s">
        <v>38</v>
      </c>
      <c r="D16" s="10" t="s">
        <v>154</v>
      </c>
      <c r="E16" s="9" t="s">
        <v>61</v>
      </c>
      <c r="F16" s="9" t="s">
        <v>155</v>
      </c>
      <c r="G16" s="9"/>
      <c r="H16" s="11" t="str">
        <f>HYPERLINK("http://huttenhower.sph.harvard.edu/sparsedossa2","http://huttenhower.sph.harvard.edu/sparsedossa2")</f>
        <v>http://huttenhower.sph.harvard.edu/sparsedossa2</v>
      </c>
      <c r="I16" s="9" t="s">
        <v>156</v>
      </c>
      <c r="J16" s="9"/>
      <c r="K16" s="9"/>
      <c r="L16" s="9" t="s">
        <v>157</v>
      </c>
      <c r="M16" s="12" t="s">
        <v>117</v>
      </c>
      <c r="N16" s="13" t="s">
        <v>154</v>
      </c>
      <c r="O16" s="14" t="s">
        <v>61</v>
      </c>
      <c r="P16" s="14" t="s">
        <v>158</v>
      </c>
      <c r="Q16" s="15" t="str">
        <f>HYPERLINK("https://git.bioconductor.org/packages/SparseDOSSA2","https://git.bioconductor.org/packages/SparseDOSSA2")</f>
        <v>https://git.bioconductor.org/packages/SparseDOSSA2</v>
      </c>
      <c r="R16" s="15" t="str">
        <f>HYPERLINK("https://bioconductor.org/packages/SparseDOSSA2","https://bioconductor.org/packages/SparseDOSSA2")</f>
        <v>https://bioconductor.org/packages/SparseDOSSA2</v>
      </c>
      <c r="S16" s="14" t="s">
        <v>159</v>
      </c>
      <c r="T16" s="14"/>
      <c r="U16" s="16" t="s">
        <v>66</v>
      </c>
      <c r="V16" s="17" t="s">
        <v>33</v>
      </c>
      <c r="W16" s="17" t="s">
        <v>109</v>
      </c>
      <c r="X16" s="18" t="s">
        <v>160</v>
      </c>
      <c r="Y16" s="19" t="b">
        <v>1</v>
      </c>
      <c r="Z16" s="20"/>
      <c r="AA16" s="20"/>
      <c r="AB16" s="20"/>
    </row>
    <row r="17">
      <c r="A17" s="9" t="s">
        <v>161</v>
      </c>
      <c r="B17" s="9" t="s">
        <v>162</v>
      </c>
      <c r="C17" s="9" t="s">
        <v>38</v>
      </c>
      <c r="D17" s="10" t="s">
        <v>163</v>
      </c>
      <c r="E17" s="9" t="s">
        <v>61</v>
      </c>
      <c r="F17" s="9" t="s">
        <v>164</v>
      </c>
      <c r="G17" s="9"/>
      <c r="H17" s="11" t="str">
        <f>HYPERLINK("https://github.com/crisprVerse","https://github.com/crisprVerse")</f>
        <v>https://github.com/crisprVerse</v>
      </c>
      <c r="I17" s="9" t="s">
        <v>165</v>
      </c>
      <c r="J17" s="9"/>
      <c r="K17" s="9"/>
      <c r="L17" s="9" t="s">
        <v>166</v>
      </c>
      <c r="M17" s="12" t="s">
        <v>53</v>
      </c>
      <c r="N17" s="13" t="s">
        <v>167</v>
      </c>
      <c r="O17" s="14" t="s">
        <v>61</v>
      </c>
      <c r="P17" s="14" t="s">
        <v>168</v>
      </c>
      <c r="Q17" s="14"/>
      <c r="R17" s="15" t="str">
        <f>HYPERLINK("https://bioconductor.org/packages/3.18/bioc/html/crisprVerse.html","https://bioconductor.org/packages/3.18/bioc/html/crisprVerse.html")</f>
        <v>https://bioconductor.org/packages/3.18/bioc/html/crisprVerse.html</v>
      </c>
      <c r="S17" s="14"/>
      <c r="T17" s="14"/>
      <c r="U17" s="16" t="s">
        <v>66</v>
      </c>
      <c r="V17" s="17" t="s">
        <v>33</v>
      </c>
      <c r="W17" s="17" t="s">
        <v>109</v>
      </c>
      <c r="X17" s="18" t="s">
        <v>169</v>
      </c>
      <c r="Y17" s="19" t="b">
        <v>1</v>
      </c>
      <c r="Z17" s="20"/>
      <c r="AA17" s="20"/>
      <c r="AB17" s="20"/>
    </row>
    <row r="18">
      <c r="A18" s="9" t="s">
        <v>170</v>
      </c>
      <c r="B18" s="9" t="s">
        <v>171</v>
      </c>
      <c r="C18" s="9" t="s">
        <v>38</v>
      </c>
      <c r="D18" s="10" t="s">
        <v>172</v>
      </c>
      <c r="E18" s="9" t="s">
        <v>50</v>
      </c>
      <c r="F18" s="9" t="s">
        <v>173</v>
      </c>
      <c r="G18" s="9"/>
      <c r="H18" s="11" t="str">
        <f>HYPERLINK("http://noble.gs.washington.edu/proj/percolator/","http://noble.gs.washington.edu/proj/percolator/")</f>
        <v>http://noble.gs.washington.edu/proj/percolator/</v>
      </c>
      <c r="I18" s="9" t="s">
        <v>174</v>
      </c>
      <c r="J18" s="9"/>
      <c r="K18" s="9"/>
      <c r="L18" s="9" t="s">
        <v>175</v>
      </c>
      <c r="M18" s="12" t="s">
        <v>53</v>
      </c>
      <c r="N18" s="13" t="s">
        <v>172</v>
      </c>
      <c r="O18" s="14" t="s">
        <v>50</v>
      </c>
      <c r="P18" s="14" t="s">
        <v>176</v>
      </c>
      <c r="Q18" s="15" t="str">
        <f t="shared" ref="Q18:R18" si="4">HYPERLINK("https://github.com/percolator/percolator","https://github.com/percolator/percolator")</f>
        <v>https://github.com/percolator/percolator</v>
      </c>
      <c r="R18" s="15" t="str">
        <f t="shared" si="4"/>
        <v>https://github.com/percolator/percolator</v>
      </c>
      <c r="S18" s="14"/>
      <c r="T18" s="14"/>
      <c r="U18" s="16" t="s">
        <v>126</v>
      </c>
      <c r="V18" s="17" t="s">
        <v>33</v>
      </c>
      <c r="W18" s="17" t="s">
        <v>109</v>
      </c>
      <c r="X18" s="18" t="s">
        <v>177</v>
      </c>
      <c r="Y18" s="19" t="b">
        <v>1</v>
      </c>
      <c r="Z18" s="20"/>
      <c r="AA18" s="20"/>
      <c r="AB18" s="20"/>
    </row>
    <row r="19">
      <c r="A19" s="9" t="s">
        <v>178</v>
      </c>
      <c r="B19" s="9" t="s">
        <v>179</v>
      </c>
      <c r="C19" s="9" t="s">
        <v>38</v>
      </c>
      <c r="D19" s="10" t="s">
        <v>180</v>
      </c>
      <c r="E19" s="9" t="s">
        <v>40</v>
      </c>
      <c r="F19" s="9" t="s">
        <v>181</v>
      </c>
      <c r="G19" s="9"/>
      <c r="H19" s="11" t="str">
        <f>HYPERLINK("http://bioinfo.cnic.es/FCS","http://bioinfo.cnic.es/FCS")</f>
        <v>http://bioinfo.cnic.es/FCS</v>
      </c>
      <c r="I19" s="9" t="s">
        <v>182</v>
      </c>
      <c r="J19" s="9"/>
      <c r="K19" s="9"/>
      <c r="L19" s="9" t="s">
        <v>183</v>
      </c>
      <c r="M19" s="12" t="s">
        <v>53</v>
      </c>
      <c r="N19" s="13" t="s">
        <v>184</v>
      </c>
      <c r="O19" s="14" t="s">
        <v>50</v>
      </c>
      <c r="P19" s="14" t="s">
        <v>185</v>
      </c>
      <c r="Q19" s="15" t="str">
        <f t="shared" ref="Q19:R19" si="5">HYPERLINK("https://github.com/ncbi/fcs","https://github.com/ncbi/fcs")</f>
        <v>https://github.com/ncbi/fcs</v>
      </c>
      <c r="R19" s="15" t="str">
        <f t="shared" si="5"/>
        <v>https://github.com/ncbi/fcs</v>
      </c>
      <c r="S19" s="14"/>
      <c r="T19" s="14"/>
      <c r="U19" s="16" t="s">
        <v>186</v>
      </c>
      <c r="V19" s="17" t="s">
        <v>187</v>
      </c>
      <c r="W19" s="17" t="s">
        <v>56</v>
      </c>
      <c r="X19" s="18" t="s">
        <v>188</v>
      </c>
      <c r="Y19" s="19" t="b">
        <v>0</v>
      </c>
      <c r="Z19" s="20"/>
      <c r="AA19" s="20"/>
      <c r="AB19" s="20"/>
    </row>
    <row r="20">
      <c r="A20" s="9" t="s">
        <v>189</v>
      </c>
      <c r="B20" s="9" t="s">
        <v>190</v>
      </c>
      <c r="C20" s="9" t="s">
        <v>27</v>
      </c>
      <c r="D20" s="10" t="s">
        <v>191</v>
      </c>
      <c r="E20" s="9"/>
      <c r="F20" s="9" t="s">
        <v>192</v>
      </c>
      <c r="G20" s="11" t="str">
        <f>HYPERLINK("https://sourceforge.net/projects/banner","https://sourceforge.net/projects/banner")</f>
        <v>https://sourceforge.net/projects/banner</v>
      </c>
      <c r="H20" s="11" t="str">
        <f>HYPERLINK("http://banner.sourceforge.net/","http://banner.sourceforge.net/")</f>
        <v>http://banner.sourceforge.net/</v>
      </c>
      <c r="I20" s="9"/>
      <c r="J20" s="9"/>
      <c r="K20" s="9"/>
      <c r="L20" s="9" t="s">
        <v>193</v>
      </c>
      <c r="M20" s="12" t="s">
        <v>53</v>
      </c>
      <c r="N20" s="13" t="s">
        <v>191</v>
      </c>
      <c r="O20" s="14" t="s">
        <v>50</v>
      </c>
      <c r="P20" s="14" t="s">
        <v>194</v>
      </c>
      <c r="Q20" s="15" t="str">
        <f>HYPERLINK("https://github.com/will-rowe/banner","https://github.com/will-rowe/banner")</f>
        <v>https://github.com/will-rowe/banner</v>
      </c>
      <c r="R20" s="15" t="str">
        <f>HYPERLINK("https://www.github.com/will-rowe/banner","https://www.github.com/will-rowe/banner")</f>
        <v>https://www.github.com/will-rowe/banner</v>
      </c>
      <c r="S20" s="14"/>
      <c r="T20" s="14"/>
      <c r="U20" s="16" t="s">
        <v>66</v>
      </c>
      <c r="V20" s="17" t="s">
        <v>187</v>
      </c>
      <c r="W20" s="17" t="s">
        <v>34</v>
      </c>
      <c r="X20" s="18" t="s">
        <v>195</v>
      </c>
      <c r="Y20" s="19" t="b">
        <v>0</v>
      </c>
      <c r="Z20" s="20"/>
      <c r="AA20" s="20"/>
      <c r="AB20" s="20"/>
    </row>
    <row r="21" ht="15.75" customHeight="1">
      <c r="A21" s="9" t="s">
        <v>196</v>
      </c>
      <c r="B21" s="9" t="s">
        <v>197</v>
      </c>
      <c r="C21" s="9" t="s">
        <v>53</v>
      </c>
      <c r="D21" s="10" t="s">
        <v>198</v>
      </c>
      <c r="E21" s="9" t="s">
        <v>61</v>
      </c>
      <c r="F21" s="9" t="s">
        <v>199</v>
      </c>
      <c r="G21" s="9"/>
      <c r="H21" s="11" t="str">
        <f>HYPERLINK("https://escher.github.io/","https://escher.github.io/")</f>
        <v>https://escher.github.io/</v>
      </c>
      <c r="I21" s="9"/>
      <c r="J21" s="9"/>
      <c r="K21" s="9" t="s">
        <v>66</v>
      </c>
      <c r="L21" s="9" t="s">
        <v>200</v>
      </c>
      <c r="M21" s="12" t="s">
        <v>117</v>
      </c>
      <c r="N21" s="13" t="s">
        <v>198</v>
      </c>
      <c r="O21" s="14" t="s">
        <v>61</v>
      </c>
      <c r="P21" s="14" t="s">
        <v>201</v>
      </c>
      <c r="Q21" s="14" t="s">
        <v>202</v>
      </c>
      <c r="R21" s="15" t="str">
        <f>HYPERLINK("https://github.com/boyiguo1/escheR","https://github.com/boyiguo1/escheR")</f>
        <v>https://github.com/boyiguo1/escheR</v>
      </c>
      <c r="S21" s="14" t="s">
        <v>203</v>
      </c>
      <c r="T21" s="14"/>
      <c r="U21" s="16" t="s">
        <v>66</v>
      </c>
      <c r="V21" s="17" t="s">
        <v>187</v>
      </c>
      <c r="W21" s="17" t="s">
        <v>34</v>
      </c>
      <c r="X21" s="18" t="s">
        <v>204</v>
      </c>
      <c r="Y21" s="19" t="b">
        <v>0</v>
      </c>
      <c r="Z21" s="20"/>
      <c r="AA21" s="20"/>
      <c r="AB21" s="20"/>
    </row>
    <row r="22" ht="15.75" customHeight="1">
      <c r="A22" s="9" t="s">
        <v>205</v>
      </c>
      <c r="B22" s="9" t="s">
        <v>206</v>
      </c>
      <c r="C22" s="9" t="s">
        <v>38</v>
      </c>
      <c r="D22" s="10" t="s">
        <v>207</v>
      </c>
      <c r="E22" s="9" t="s">
        <v>208</v>
      </c>
      <c r="F22" s="9" t="s">
        <v>209</v>
      </c>
      <c r="G22" s="9"/>
      <c r="H22" s="11" t="str">
        <f>HYPERLINK("http://ibios.dkfz.de/tbi/index.php/computational-oncology","http://ibios.dkfz.de/tbi/index.php/computational-oncology")</f>
        <v>http://ibios.dkfz.de/tbi/index.php/computational-oncology</v>
      </c>
      <c r="I22" s="9" t="s">
        <v>210</v>
      </c>
      <c r="J22" s="9"/>
      <c r="K22" s="9"/>
      <c r="L22" s="9" t="s">
        <v>211</v>
      </c>
      <c r="M22" s="12" t="s">
        <v>38</v>
      </c>
      <c r="N22" s="13" t="s">
        <v>207</v>
      </c>
      <c r="O22" s="14" t="s">
        <v>50</v>
      </c>
      <c r="P22" s="14" t="s">
        <v>212</v>
      </c>
      <c r="Q22" s="15" t="str">
        <f t="shared" ref="Q22:R22" si="6">HYPERLINK("https://github.com/TheRoddyWMS/Roddy","https://github.com/TheRoddyWMS/Roddy")</f>
        <v>https://github.com/TheRoddyWMS/Roddy</v>
      </c>
      <c r="R22" s="15" t="str">
        <f t="shared" si="6"/>
        <v>https://github.com/TheRoddyWMS/Roddy</v>
      </c>
      <c r="S22" s="14" t="s">
        <v>213</v>
      </c>
      <c r="T22" s="14"/>
      <c r="U22" s="16"/>
      <c r="V22" s="17" t="s">
        <v>33</v>
      </c>
      <c r="W22" s="17" t="s">
        <v>109</v>
      </c>
      <c r="X22" s="18" t="s">
        <v>214</v>
      </c>
      <c r="Y22" s="19" t="b">
        <v>1</v>
      </c>
      <c r="Z22" s="20"/>
      <c r="AA22" s="20"/>
      <c r="AB22" s="20"/>
    </row>
    <row r="23" ht="15.75" customHeight="1">
      <c r="A23" s="9" t="s">
        <v>215</v>
      </c>
      <c r="B23" s="9" t="s">
        <v>216</v>
      </c>
      <c r="C23" s="9" t="s">
        <v>53</v>
      </c>
      <c r="D23" s="10" t="s">
        <v>217</v>
      </c>
      <c r="E23" s="9" t="s">
        <v>50</v>
      </c>
      <c r="F23" s="9" t="s">
        <v>218</v>
      </c>
      <c r="G23" s="11" t="str">
        <f t="shared" ref="G23:H23" si="7">HYPERLINK("https://gitlab.com/sirarredondo/gplas","https://gitlab.com/sirarredondo/gplas")</f>
        <v>https://gitlab.com/sirarredondo/gplas</v>
      </c>
      <c r="H23" s="11" t="str">
        <f t="shared" si="7"/>
        <v>https://gitlab.com/sirarredondo/gplas</v>
      </c>
      <c r="I23" s="9"/>
      <c r="J23" s="9"/>
      <c r="K23" s="9" t="s">
        <v>55</v>
      </c>
      <c r="L23" s="9" t="s">
        <v>219</v>
      </c>
      <c r="M23" s="12" t="s">
        <v>38</v>
      </c>
      <c r="N23" s="13" t="s">
        <v>217</v>
      </c>
      <c r="O23" s="14" t="s">
        <v>50</v>
      </c>
      <c r="P23" s="14" t="s">
        <v>220</v>
      </c>
      <c r="Q23" s="14"/>
      <c r="R23" s="15" t="str">
        <f>HYPERLINK("https://gitlab.com/sirarredondo/gplas.git","https://gitlab.com/sirarredondo/gplas.git")</f>
        <v>https://gitlab.com/sirarredondo/gplas.git</v>
      </c>
      <c r="S23" s="14"/>
      <c r="T23" s="14"/>
      <c r="U23" s="16"/>
      <c r="V23" s="17" t="s">
        <v>33</v>
      </c>
      <c r="W23" s="17" t="s">
        <v>34</v>
      </c>
      <c r="X23" s="18" t="s">
        <v>128</v>
      </c>
      <c r="Y23" s="19" t="b">
        <v>0</v>
      </c>
      <c r="Z23" s="20"/>
      <c r="AA23" s="20"/>
      <c r="AB23" s="20"/>
    </row>
    <row r="24" ht="15.75" customHeight="1">
      <c r="A24" s="9" t="s">
        <v>221</v>
      </c>
      <c r="B24" s="9" t="s">
        <v>222</v>
      </c>
      <c r="C24" s="9" t="s">
        <v>38</v>
      </c>
      <c r="D24" s="10" t="s">
        <v>223</v>
      </c>
      <c r="E24" s="9" t="s">
        <v>61</v>
      </c>
      <c r="F24" s="9" t="s">
        <v>224</v>
      </c>
      <c r="G24" s="9"/>
      <c r="H24" s="11" t="str">
        <f>HYPERLINK("http://www.github.com/powellgenomicslab/Nebulosa","http://www.github.com/powellgenomicslab/Nebulosa")</f>
        <v>http://www.github.com/powellgenomicslab/Nebulosa</v>
      </c>
      <c r="I24" s="9" t="s">
        <v>225</v>
      </c>
      <c r="J24" s="9"/>
      <c r="K24" s="9"/>
      <c r="L24" s="9" t="s">
        <v>226</v>
      </c>
      <c r="M24" s="12" t="s">
        <v>117</v>
      </c>
      <c r="N24" s="13" t="s">
        <v>223</v>
      </c>
      <c r="O24" s="14" t="s">
        <v>61</v>
      </c>
      <c r="P24" s="14" t="s">
        <v>227</v>
      </c>
      <c r="Q24" s="14" t="s">
        <v>228</v>
      </c>
      <c r="R24" s="15" t="str">
        <f>HYPERLINK("https://github.com/powellgenomicslab/Nebulosa","https://github.com/powellgenomicslab/Nebulosa")</f>
        <v>https://github.com/powellgenomicslab/Nebulosa</v>
      </c>
      <c r="S24" s="14" t="s">
        <v>229</v>
      </c>
      <c r="T24" s="14"/>
      <c r="U24" s="16" t="s">
        <v>55</v>
      </c>
      <c r="V24" s="17" t="s">
        <v>33</v>
      </c>
      <c r="W24" s="17" t="s">
        <v>34</v>
      </c>
      <c r="X24" s="18" t="s">
        <v>230</v>
      </c>
      <c r="Y24" s="19" t="b">
        <v>0</v>
      </c>
      <c r="Z24" s="20"/>
      <c r="AA24" s="20"/>
      <c r="AB24" s="20"/>
    </row>
    <row r="25" ht="15.75" customHeight="1">
      <c r="A25" s="9" t="s">
        <v>231</v>
      </c>
      <c r="B25" s="9" t="s">
        <v>232</v>
      </c>
      <c r="C25" s="9" t="s">
        <v>38</v>
      </c>
      <c r="D25" s="10" t="s">
        <v>233</v>
      </c>
      <c r="E25" s="9" t="s">
        <v>61</v>
      </c>
      <c r="F25" s="9" t="s">
        <v>234</v>
      </c>
      <c r="G25" s="9"/>
      <c r="H25" s="11" t="str">
        <f>HYPERLINK("https://github.com/bioinformatist/CrossICC","https://github.com/bioinformatist/CrossICC")</f>
        <v>https://github.com/bioinformatist/CrossICC</v>
      </c>
      <c r="I25" s="9" t="s">
        <v>235</v>
      </c>
      <c r="J25" s="9"/>
      <c r="K25" s="9"/>
      <c r="L25" s="9" t="s">
        <v>236</v>
      </c>
      <c r="M25" s="12" t="s">
        <v>117</v>
      </c>
      <c r="N25" s="13" t="s">
        <v>233</v>
      </c>
      <c r="O25" s="14" t="s">
        <v>61</v>
      </c>
      <c r="P25" s="14" t="s">
        <v>237</v>
      </c>
      <c r="Q25" s="15" t="str">
        <f>HYPERLINK("https://git.bioconductor.org/packages/CrossICC","https://git.bioconductor.org/packages/CrossICC")</f>
        <v>https://git.bioconductor.org/packages/CrossICC</v>
      </c>
      <c r="R25" s="15" t="str">
        <f>HYPERLINK("https://bioconductor.org/packages/CrossICC","https://bioconductor.org/packages/CrossICC")</f>
        <v>https://bioconductor.org/packages/CrossICC</v>
      </c>
      <c r="S25" s="14" t="s">
        <v>238</v>
      </c>
      <c r="T25" s="14"/>
      <c r="U25" s="16" t="s">
        <v>55</v>
      </c>
      <c r="V25" s="17" t="s">
        <v>33</v>
      </c>
      <c r="W25" s="17" t="s">
        <v>56</v>
      </c>
      <c r="X25" s="18" t="s">
        <v>239</v>
      </c>
      <c r="Y25" s="19" t="b">
        <v>0</v>
      </c>
      <c r="Z25" s="20"/>
      <c r="AA25" s="20"/>
      <c r="AB25" s="20"/>
    </row>
    <row r="26" ht="15.75" customHeight="1">
      <c r="A26" s="9" t="s">
        <v>240</v>
      </c>
      <c r="B26" s="9" t="s">
        <v>241</v>
      </c>
      <c r="C26" s="9" t="s">
        <v>38</v>
      </c>
      <c r="D26" s="10" t="s">
        <v>242</v>
      </c>
      <c r="E26" s="9" t="s">
        <v>40</v>
      </c>
      <c r="F26" s="9" t="s">
        <v>243</v>
      </c>
      <c r="G26" s="9"/>
      <c r="H26" s="11" t="str">
        <f>HYPERLINK("https://instrain.readthedocs.io/en/latest/#","https://instrain.readthedocs.io/en/latest/#")</f>
        <v>https://instrain.readthedocs.io/en/latest/#</v>
      </c>
      <c r="I26" s="9"/>
      <c r="J26" s="9"/>
      <c r="K26" s="9"/>
      <c r="L26" s="9" t="s">
        <v>244</v>
      </c>
      <c r="M26" s="12" t="s">
        <v>31</v>
      </c>
      <c r="N26" s="13" t="s">
        <v>245</v>
      </c>
      <c r="O26" s="14"/>
      <c r="P26" s="14" t="s">
        <v>246</v>
      </c>
      <c r="Q26" s="15" t="str">
        <f>HYPERLINK("https://github.com/MrOlm/inStrain","https://github.com/MrOlm/inStrain")</f>
        <v>https://github.com/MrOlm/inStrain</v>
      </c>
      <c r="R26" s="14"/>
      <c r="S26" s="14"/>
      <c r="T26" s="14"/>
      <c r="U26" s="16"/>
      <c r="V26" s="17" t="s">
        <v>33</v>
      </c>
      <c r="W26" s="17" t="s">
        <v>34</v>
      </c>
      <c r="X26" s="18" t="s">
        <v>247</v>
      </c>
      <c r="Y26" s="19" t="b">
        <v>0</v>
      </c>
      <c r="Z26" s="20"/>
      <c r="AA26" s="20"/>
      <c r="AB26" s="20"/>
    </row>
    <row r="27" ht="15.75" customHeight="1">
      <c r="A27" s="9" t="s">
        <v>248</v>
      </c>
      <c r="B27" s="9" t="s">
        <v>249</v>
      </c>
      <c r="C27" s="9" t="s">
        <v>38</v>
      </c>
      <c r="D27" s="10" t="s">
        <v>250</v>
      </c>
      <c r="E27" s="9" t="s">
        <v>251</v>
      </c>
      <c r="F27" s="9" t="s">
        <v>252</v>
      </c>
      <c r="G27" s="9"/>
      <c r="H27" s="11" t="str">
        <f>HYPERLINK("https://life.bsc.es/servlet/pydock/","https://life.bsc.es/servlet/pydock/")</f>
        <v>https://life.bsc.es/servlet/pydock/</v>
      </c>
      <c r="I27" s="9" t="s">
        <v>253</v>
      </c>
      <c r="J27" s="9"/>
      <c r="K27" s="9"/>
      <c r="L27" s="9" t="s">
        <v>254</v>
      </c>
      <c r="M27" s="12" t="s">
        <v>38</v>
      </c>
      <c r="N27" s="13" t="s">
        <v>250</v>
      </c>
      <c r="O27" s="14" t="s">
        <v>251</v>
      </c>
      <c r="P27" s="14" t="s">
        <v>252</v>
      </c>
      <c r="Q27" s="14"/>
      <c r="R27" s="15" t="str">
        <f>HYPERLINK("https://life.bsc.es/pid/pydockweb","https://life.bsc.es/pid/pydockweb")</f>
        <v>https://life.bsc.es/pid/pydockweb</v>
      </c>
      <c r="S27" s="14" t="s">
        <v>255</v>
      </c>
      <c r="T27" s="14"/>
      <c r="U27" s="16"/>
      <c r="V27" s="17" t="s">
        <v>33</v>
      </c>
      <c r="W27" s="17" t="s">
        <v>56</v>
      </c>
      <c r="X27" s="18" t="s">
        <v>256</v>
      </c>
      <c r="Y27" s="19" t="b">
        <v>0</v>
      </c>
      <c r="Z27" s="20"/>
      <c r="AA27" s="20"/>
      <c r="AB27" s="20"/>
    </row>
    <row r="28" ht="15.75" customHeight="1">
      <c r="A28" s="9" t="s">
        <v>257</v>
      </c>
      <c r="B28" s="9" t="s">
        <v>258</v>
      </c>
      <c r="C28" s="9" t="s">
        <v>38</v>
      </c>
      <c r="D28" s="10" t="s">
        <v>259</v>
      </c>
      <c r="E28" s="9" t="s">
        <v>61</v>
      </c>
      <c r="F28" s="9" t="s">
        <v>260</v>
      </c>
      <c r="G28" s="9"/>
      <c r="H28" s="11" t="str">
        <f>HYPERLINK("http://mixomics.org/","http://mixomics.org/")</f>
        <v>http://mixomics.org/</v>
      </c>
      <c r="I28" s="9" t="s">
        <v>261</v>
      </c>
      <c r="J28" s="9"/>
      <c r="K28" s="9"/>
      <c r="L28" s="9" t="s">
        <v>262</v>
      </c>
      <c r="M28" s="12" t="s">
        <v>53</v>
      </c>
      <c r="N28" s="13" t="s">
        <v>263</v>
      </c>
      <c r="O28" s="14" t="s">
        <v>61</v>
      </c>
      <c r="P28" s="14" t="s">
        <v>264</v>
      </c>
      <c r="Q28" s="14"/>
      <c r="R28" s="15" t="str">
        <f>HYPERLINK("https://bioconductor.org/packages/3.18/bioc/html/mixOmics.html","https://bioconductor.org/packages/3.18/bioc/html/mixOmics.html")</f>
        <v>https://bioconductor.org/packages/3.18/bioc/html/mixOmics.html</v>
      </c>
      <c r="S28" s="14"/>
      <c r="T28" s="14"/>
      <c r="U28" s="16" t="s">
        <v>265</v>
      </c>
      <c r="V28" s="17" t="s">
        <v>33</v>
      </c>
      <c r="W28" s="17" t="s">
        <v>34</v>
      </c>
      <c r="X28" s="18" t="s">
        <v>266</v>
      </c>
      <c r="Y28" s="19" t="b">
        <v>0</v>
      </c>
      <c r="Z28" s="20"/>
      <c r="AA28" s="20"/>
      <c r="AB28" s="20"/>
    </row>
    <row r="29" ht="15.75" customHeight="1">
      <c r="A29" s="9" t="s">
        <v>267</v>
      </c>
      <c r="B29" s="9" t="s">
        <v>268</v>
      </c>
      <c r="C29" s="9" t="s">
        <v>53</v>
      </c>
      <c r="D29" s="10" t="s">
        <v>269</v>
      </c>
      <c r="E29" s="9" t="s">
        <v>50</v>
      </c>
      <c r="F29" s="9" t="s">
        <v>270</v>
      </c>
      <c r="G29" s="9"/>
      <c r="H29" s="11" t="str">
        <f>HYPERLINK("http://lcb.infotech.monash.edu.au/mustang/","http://lcb.infotech.monash.edu.au/mustang/")</f>
        <v>http://lcb.infotech.monash.edu.au/mustang/</v>
      </c>
      <c r="I29" s="9"/>
      <c r="J29" s="9"/>
      <c r="K29" s="9"/>
      <c r="L29" s="9" t="s">
        <v>271</v>
      </c>
      <c r="M29" s="12" t="s">
        <v>38</v>
      </c>
      <c r="N29" s="13" t="s">
        <v>269</v>
      </c>
      <c r="O29" s="14" t="s">
        <v>50</v>
      </c>
      <c r="P29" s="14" t="s">
        <v>272</v>
      </c>
      <c r="Q29" s="14"/>
      <c r="R29" s="15" t="str">
        <f>HYPERLINK("http://www.csse.monash.edu.au/~karun/Site/mustang.html","http://www.csse.monash.edu.au/~karun/Site/mustang.html")</f>
        <v>http://www.csse.monash.edu.au/~karun/Site/mustang.html</v>
      </c>
      <c r="S29" s="14" t="s">
        <v>273</v>
      </c>
      <c r="T29" s="14"/>
      <c r="U29" s="16"/>
      <c r="V29" s="17" t="s">
        <v>94</v>
      </c>
      <c r="W29" s="9"/>
      <c r="X29" s="18" t="s">
        <v>274</v>
      </c>
      <c r="Y29" s="19" t="b">
        <v>1</v>
      </c>
      <c r="Z29" s="20"/>
      <c r="AA29" s="20"/>
      <c r="AB29" s="20"/>
    </row>
    <row r="30" ht="15.75" customHeight="1">
      <c r="A30" s="9" t="s">
        <v>275</v>
      </c>
      <c r="B30" s="9" t="s">
        <v>276</v>
      </c>
      <c r="C30" s="9" t="s">
        <v>38</v>
      </c>
      <c r="D30" s="10" t="s">
        <v>277</v>
      </c>
      <c r="E30" s="9" t="s">
        <v>50</v>
      </c>
      <c r="F30" s="9" t="s">
        <v>278</v>
      </c>
      <c r="G30" s="9"/>
      <c r="H30" s="11" t="str">
        <f>HYPERLINK("https://github.com/UnixJunkie/consent","https://github.com/UnixJunkie/consent")</f>
        <v>https://github.com/UnixJunkie/consent</v>
      </c>
      <c r="I30" s="9" t="s">
        <v>279</v>
      </c>
      <c r="J30" s="9"/>
      <c r="K30" s="9"/>
      <c r="L30" s="9" t="s">
        <v>280</v>
      </c>
      <c r="M30" s="12" t="s">
        <v>53</v>
      </c>
      <c r="N30" s="13" t="s">
        <v>277</v>
      </c>
      <c r="O30" s="14" t="s">
        <v>50</v>
      </c>
      <c r="P30" s="14" t="s">
        <v>281</v>
      </c>
      <c r="Q30" s="15" t="str">
        <f t="shared" ref="Q30:R30" si="8">HYPERLINK("https://github.com/morispi/CONSENT","https://github.com/morispi/CONSENT")</f>
        <v>https://github.com/morispi/CONSENT</v>
      </c>
      <c r="R30" s="15" t="str">
        <f t="shared" si="8"/>
        <v>https://github.com/morispi/CONSENT</v>
      </c>
      <c r="S30" s="14"/>
      <c r="T30" s="14"/>
      <c r="U30" s="16" t="s">
        <v>282</v>
      </c>
      <c r="V30" s="17" t="s">
        <v>187</v>
      </c>
      <c r="W30" s="17" t="s">
        <v>34</v>
      </c>
      <c r="X30" s="18" t="s">
        <v>283</v>
      </c>
      <c r="Y30" s="19" t="b">
        <v>0</v>
      </c>
      <c r="Z30" s="20"/>
      <c r="AA30" s="20"/>
      <c r="AB30" s="20"/>
    </row>
    <row r="31" ht="15.75" customHeight="1">
      <c r="A31" s="9" t="s">
        <v>284</v>
      </c>
      <c r="B31" s="9" t="s">
        <v>285</v>
      </c>
      <c r="C31" s="9" t="s">
        <v>27</v>
      </c>
      <c r="D31" s="10" t="s">
        <v>286</v>
      </c>
      <c r="E31" s="9"/>
      <c r="F31" s="9" t="s">
        <v>287</v>
      </c>
      <c r="G31" s="11" t="str">
        <f>HYPERLINK("https://sourceforge.net/projects/mendelscan","https://sourceforge.net/projects/mendelscan")</f>
        <v>https://sourceforge.net/projects/mendelscan</v>
      </c>
      <c r="H31" s="11" t="str">
        <f>HYPERLINK("https://mendelscan.sourceforge.io/","https://mendelscan.sourceforge.io/")</f>
        <v>https://mendelscan.sourceforge.io/</v>
      </c>
      <c r="I31" s="9"/>
      <c r="J31" s="9"/>
      <c r="K31" s="9"/>
      <c r="L31" s="9" t="s">
        <v>288</v>
      </c>
      <c r="M31" s="12" t="s">
        <v>31</v>
      </c>
      <c r="N31" s="13" t="s">
        <v>286</v>
      </c>
      <c r="O31" s="14"/>
      <c r="P31" s="14" t="s">
        <v>289</v>
      </c>
      <c r="Q31" s="15" t="str">
        <f>HYPERLINK("https://github.com/genome/mendelscan","https://github.com/genome/mendelscan")</f>
        <v>https://github.com/genome/mendelscan</v>
      </c>
      <c r="R31" s="15" t="str">
        <f>HYPERLINK("http://gmt.genome.wustl.edu/mendelscan/","http://gmt.genome.wustl.edu/mendelscan/")</f>
        <v>http://gmt.genome.wustl.edu/mendelscan/</v>
      </c>
      <c r="S31" s="14"/>
      <c r="T31" s="14"/>
      <c r="U31" s="16"/>
      <c r="V31" s="17" t="s">
        <v>33</v>
      </c>
      <c r="W31" s="17" t="s">
        <v>109</v>
      </c>
      <c r="X31" s="18" t="s">
        <v>290</v>
      </c>
      <c r="Y31" s="19" t="b">
        <v>1</v>
      </c>
      <c r="Z31" s="20"/>
      <c r="AA31" s="20"/>
      <c r="AB31" s="20"/>
    </row>
    <row r="32" ht="15.75" customHeight="1">
      <c r="A32" s="9" t="s">
        <v>291</v>
      </c>
      <c r="B32" s="9" t="s">
        <v>292</v>
      </c>
      <c r="C32" s="9" t="s">
        <v>38</v>
      </c>
      <c r="D32" s="10" t="s">
        <v>293</v>
      </c>
      <c r="E32" s="9" t="s">
        <v>50</v>
      </c>
      <c r="F32" s="9" t="s">
        <v>294</v>
      </c>
      <c r="G32" s="9"/>
      <c r="H32" s="11" t="str">
        <f>HYPERLINK("https://snakemake.readthedocs.io/en/stable/index.html","https://snakemake.readthedocs.io/en/stable/index.html")</f>
        <v>https://snakemake.readthedocs.io/en/stable/index.html</v>
      </c>
      <c r="I32" s="9" t="s">
        <v>295</v>
      </c>
      <c r="J32" s="9"/>
      <c r="K32" s="9"/>
      <c r="L32" s="9" t="s">
        <v>296</v>
      </c>
      <c r="M32" s="12" t="s">
        <v>53</v>
      </c>
      <c r="N32" s="13" t="s">
        <v>293</v>
      </c>
      <c r="O32" s="14" t="s">
        <v>50</v>
      </c>
      <c r="P32" s="14" t="s">
        <v>297</v>
      </c>
      <c r="Q32" s="14"/>
      <c r="R32" s="15" t="str">
        <f>HYPERLINK("https://snakemake.github.io/","https://snakemake.github.io/")</f>
        <v>https://snakemake.github.io/</v>
      </c>
      <c r="S32" s="14"/>
      <c r="T32" s="14"/>
      <c r="U32" s="16" t="s">
        <v>66</v>
      </c>
      <c r="V32" s="17" t="s">
        <v>33</v>
      </c>
      <c r="W32" s="17" t="s">
        <v>34</v>
      </c>
      <c r="X32" s="18" t="s">
        <v>298</v>
      </c>
      <c r="Y32" s="19" t="b">
        <v>0</v>
      </c>
      <c r="Z32" s="20"/>
      <c r="AA32" s="20"/>
      <c r="AB32" s="20"/>
    </row>
    <row r="33" ht="15.75" customHeight="1">
      <c r="A33" s="9" t="s">
        <v>299</v>
      </c>
      <c r="B33" s="9" t="s">
        <v>300</v>
      </c>
      <c r="C33" s="9" t="s">
        <v>38</v>
      </c>
      <c r="D33" s="10" t="s">
        <v>301</v>
      </c>
      <c r="E33" s="9" t="s">
        <v>251</v>
      </c>
      <c r="F33" s="9" t="s">
        <v>302</v>
      </c>
      <c r="G33" s="9"/>
      <c r="H33" s="11" t="str">
        <f>HYPERLINK("http://www.arb-silva.de/aligner","http://www.arb-silva.de/aligner")</f>
        <v>http://www.arb-silva.de/aligner</v>
      </c>
      <c r="I33" s="9" t="s">
        <v>303</v>
      </c>
      <c r="J33" s="9"/>
      <c r="K33" s="9"/>
      <c r="L33" s="9" t="s">
        <v>304</v>
      </c>
      <c r="M33" s="12" t="s">
        <v>53</v>
      </c>
      <c r="N33" s="13" t="s">
        <v>301</v>
      </c>
      <c r="O33" s="14" t="s">
        <v>50</v>
      </c>
      <c r="P33" s="14" t="s">
        <v>305</v>
      </c>
      <c r="Q33" s="15" t="str">
        <f t="shared" ref="Q33:R33" si="9">HYPERLINK("https://github.com/epruesse/SINA","https://github.com/epruesse/SINA")</f>
        <v>https://github.com/epruesse/SINA</v>
      </c>
      <c r="R33" s="15" t="str">
        <f t="shared" si="9"/>
        <v>https://github.com/epruesse/SINA</v>
      </c>
      <c r="S33" s="14"/>
      <c r="T33" s="14"/>
      <c r="U33" s="16" t="s">
        <v>55</v>
      </c>
      <c r="V33" s="17" t="s">
        <v>33</v>
      </c>
      <c r="W33" s="17" t="s">
        <v>56</v>
      </c>
      <c r="X33" s="18" t="s">
        <v>306</v>
      </c>
      <c r="Y33" s="19" t="b">
        <v>0</v>
      </c>
      <c r="Z33" s="20"/>
      <c r="AA33" s="20"/>
      <c r="AB33" s="20"/>
    </row>
    <row r="34" ht="15.75" customHeight="1">
      <c r="A34" s="9" t="s">
        <v>307</v>
      </c>
      <c r="B34" s="9" t="s">
        <v>308</v>
      </c>
      <c r="C34" s="9" t="s">
        <v>38</v>
      </c>
      <c r="D34" s="10" t="s">
        <v>309</v>
      </c>
      <c r="E34" s="9" t="s">
        <v>50</v>
      </c>
      <c r="F34" s="9" t="s">
        <v>310</v>
      </c>
      <c r="G34" s="9"/>
      <c r="H34" s="11" t="str">
        <f>HYPERLINK("https://metabuli.steineggerlab.com/","https://metabuli.steineggerlab.com/")</f>
        <v>https://metabuli.steineggerlab.com/</v>
      </c>
      <c r="I34" s="9"/>
      <c r="J34" s="9"/>
      <c r="K34" s="9"/>
      <c r="L34" s="9" t="s">
        <v>311</v>
      </c>
      <c r="M34" s="12" t="s">
        <v>53</v>
      </c>
      <c r="N34" s="13" t="s">
        <v>309</v>
      </c>
      <c r="O34" s="14" t="s">
        <v>50</v>
      </c>
      <c r="P34" s="14" t="s">
        <v>310</v>
      </c>
      <c r="Q34" s="15" t="str">
        <f t="shared" ref="Q34:R34" si="10">HYPERLINK("https://github.com/steineggerlab/Metabuli","https://github.com/steineggerlab/Metabuli")</f>
        <v>https://github.com/steineggerlab/Metabuli</v>
      </c>
      <c r="R34" s="15" t="str">
        <f t="shared" si="10"/>
        <v>https://github.com/steineggerlab/Metabuli</v>
      </c>
      <c r="S34" s="14"/>
      <c r="T34" s="14"/>
      <c r="U34" s="16" t="s">
        <v>55</v>
      </c>
      <c r="V34" s="17" t="s">
        <v>33</v>
      </c>
      <c r="W34" s="17" t="s">
        <v>34</v>
      </c>
      <c r="X34" s="18" t="s">
        <v>312</v>
      </c>
      <c r="Y34" s="19" t="b">
        <v>0</v>
      </c>
      <c r="Z34" s="20"/>
      <c r="AA34" s="20"/>
      <c r="AB34" s="20"/>
    </row>
    <row r="35" ht="15.75" customHeight="1">
      <c r="A35" s="9" t="s">
        <v>313</v>
      </c>
      <c r="B35" s="9" t="s">
        <v>314</v>
      </c>
      <c r="C35" s="9" t="s">
        <v>48</v>
      </c>
      <c r="D35" s="10" t="s">
        <v>315</v>
      </c>
      <c r="E35" s="9" t="s">
        <v>50</v>
      </c>
      <c r="F35" s="9" t="s">
        <v>316</v>
      </c>
      <c r="G35" s="9"/>
      <c r="H35" s="11" t="str">
        <f>HYPERLINK("https://galaxy.bi.uni-freiburg.de/tool_runner?tool_id=toolshed.g2.bx.psu.edu%2Frepos%2Fdevteam%2Fbamtools%2Fbamtools%2F2.4.0","https://galaxy.bi.uni-freiburg.de/tool_runner?tool_id=toolshed.g2.bx.psu.edu%2Frepos%2Fdevteam%2Fbamtools%2Fbamtools%2F2.4.0")</f>
        <v>https://galaxy.bi.uni-freiburg.de/tool_runner?tool_id=toolshed.g2.bx.psu.edu%2Frepos%2Fdevteam%2Fbamtools%2Fbamtools%2F2.4.0</v>
      </c>
      <c r="I35" s="9"/>
      <c r="J35" s="9"/>
      <c r="K35" s="9"/>
      <c r="L35" s="9" t="s">
        <v>317</v>
      </c>
      <c r="M35" s="12" t="s">
        <v>38</v>
      </c>
      <c r="N35" s="13" t="s">
        <v>315</v>
      </c>
      <c r="O35" s="14" t="s">
        <v>318</v>
      </c>
      <c r="P35" s="14" t="s">
        <v>319</v>
      </c>
      <c r="Q35" s="14"/>
      <c r="R35" s="15" t="str">
        <f>HYPERLINK("https://github.com/pezmaster31/bamtools","https://github.com/pezmaster31/bamtools")</f>
        <v>https://github.com/pezmaster31/bamtools</v>
      </c>
      <c r="S35" s="14" t="s">
        <v>320</v>
      </c>
      <c r="T35" s="14"/>
      <c r="U35" s="16"/>
      <c r="V35" s="17" t="s">
        <v>33</v>
      </c>
      <c r="W35" s="17" t="s">
        <v>34</v>
      </c>
      <c r="X35" s="18" t="s">
        <v>321</v>
      </c>
      <c r="Y35" s="19" t="b">
        <v>0</v>
      </c>
      <c r="Z35" s="20"/>
      <c r="AA35" s="20"/>
      <c r="AB35" s="20"/>
    </row>
    <row r="36" ht="15.75" customHeight="1">
      <c r="A36" s="9" t="s">
        <v>322</v>
      </c>
      <c r="B36" s="9" t="s">
        <v>323</v>
      </c>
      <c r="C36" s="9" t="s">
        <v>53</v>
      </c>
      <c r="D36" s="10" t="s">
        <v>324</v>
      </c>
      <c r="E36" s="9" t="s">
        <v>50</v>
      </c>
      <c r="F36" s="9" t="s">
        <v>325</v>
      </c>
      <c r="G36" s="9"/>
      <c r="H36" s="11" t="str">
        <f>HYPERLINK("http://www.bioinf.uni-leipzig.de/Software/mea/","http://www.bioinf.uni-leipzig.de/Software/mea/")</f>
        <v>http://www.bioinf.uni-leipzig.de/Software/mea/</v>
      </c>
      <c r="I36" s="9"/>
      <c r="J36" s="9"/>
      <c r="K36" s="9" t="s">
        <v>55</v>
      </c>
      <c r="L36" s="9" t="s">
        <v>326</v>
      </c>
      <c r="M36" s="12" t="s">
        <v>38</v>
      </c>
      <c r="N36" s="13" t="s">
        <v>324</v>
      </c>
      <c r="O36" s="14" t="s">
        <v>50</v>
      </c>
      <c r="P36" s="14" t="s">
        <v>327</v>
      </c>
      <c r="Q36" s="14"/>
      <c r="R36" s="15" t="str">
        <f>HYPERLINK("https://github.com/julienrichardalbert/MEA","https://github.com/julienrichardalbert/MEA")</f>
        <v>https://github.com/julienrichardalbert/MEA</v>
      </c>
      <c r="S36" s="14"/>
      <c r="T36" s="14"/>
      <c r="U36" s="16"/>
      <c r="V36" s="17" t="s">
        <v>187</v>
      </c>
      <c r="W36" s="17" t="s">
        <v>34</v>
      </c>
      <c r="X36" s="18" t="s">
        <v>328</v>
      </c>
      <c r="Y36" s="19" t="b">
        <v>0</v>
      </c>
      <c r="Z36" s="20"/>
      <c r="AA36" s="20"/>
      <c r="AB36" s="20"/>
    </row>
    <row r="37" ht="15.75" customHeight="1">
      <c r="A37" s="9" t="s">
        <v>329</v>
      </c>
      <c r="B37" s="9" t="s">
        <v>330</v>
      </c>
      <c r="C37" s="9" t="s">
        <v>53</v>
      </c>
      <c r="D37" s="10" t="s">
        <v>331</v>
      </c>
      <c r="E37" s="9" t="s">
        <v>50</v>
      </c>
      <c r="F37" s="9" t="s">
        <v>332</v>
      </c>
      <c r="G37" s="9"/>
      <c r="H37" s="11" t="str">
        <f>HYPERLINK("https://www.cog-genomics.org/plink2","https://www.cog-genomics.org/plink2")</f>
        <v>https://www.cog-genomics.org/plink2</v>
      </c>
      <c r="I37" s="9"/>
      <c r="J37" s="9"/>
      <c r="K37" s="9" t="s">
        <v>333</v>
      </c>
      <c r="L37" s="9" t="s">
        <v>334</v>
      </c>
      <c r="M37" s="12" t="s">
        <v>38</v>
      </c>
      <c r="N37" s="13" t="s">
        <v>331</v>
      </c>
      <c r="O37" s="14" t="s">
        <v>50</v>
      </c>
      <c r="P37" s="14" t="s">
        <v>335</v>
      </c>
      <c r="Q37" s="14"/>
      <c r="R37" s="15" t="str">
        <f>HYPERLINK("http://zzz.bwh.harvard.edu/plink/","http://zzz.bwh.harvard.edu/plink/")</f>
        <v>http://zzz.bwh.harvard.edu/plink/</v>
      </c>
      <c r="S37" s="14"/>
      <c r="T37" s="14"/>
      <c r="U37" s="16"/>
      <c r="V37" s="17" t="s">
        <v>33</v>
      </c>
      <c r="W37" s="17" t="s">
        <v>34</v>
      </c>
      <c r="X37" s="18" t="s">
        <v>336</v>
      </c>
      <c r="Y37" s="19" t="b">
        <v>0</v>
      </c>
      <c r="Z37" s="20"/>
      <c r="AA37" s="20"/>
      <c r="AB37" s="20"/>
    </row>
    <row r="38" ht="15.75" customHeight="1">
      <c r="A38" s="9" t="s">
        <v>337</v>
      </c>
      <c r="B38" s="9" t="s">
        <v>338</v>
      </c>
      <c r="C38" s="9" t="s">
        <v>38</v>
      </c>
      <c r="D38" s="10" t="s">
        <v>339</v>
      </c>
      <c r="E38" s="9" t="s">
        <v>50</v>
      </c>
      <c r="F38" s="9" t="s">
        <v>340</v>
      </c>
      <c r="G38" s="9"/>
      <c r="H38" s="11" t="str">
        <f>HYPERLINK("http://www.genome.umd.edu/masurca.html","http://www.genome.umd.edu/masurca.html")</f>
        <v>http://www.genome.umd.edu/masurca.html</v>
      </c>
      <c r="I38" s="9" t="s">
        <v>341</v>
      </c>
      <c r="J38" s="9"/>
      <c r="K38" s="9"/>
      <c r="L38" s="9" t="s">
        <v>342</v>
      </c>
      <c r="M38" s="12" t="s">
        <v>53</v>
      </c>
      <c r="N38" s="13" t="s">
        <v>339</v>
      </c>
      <c r="O38" s="14" t="s">
        <v>50</v>
      </c>
      <c r="P38" s="14" t="s">
        <v>343</v>
      </c>
      <c r="Q38" s="15" t="str">
        <f>HYPERLINK("https://github.com/alekseyzimin/masurca","https://github.com/alekseyzimin/masurca")</f>
        <v>https://github.com/alekseyzimin/masurca</v>
      </c>
      <c r="R38" s="15" t="str">
        <f>HYPERLINK("http://masurca.blogspot.co.uk/","http://masurca.blogspot.co.uk/")</f>
        <v>http://masurca.blogspot.co.uk/</v>
      </c>
      <c r="S38" s="14"/>
      <c r="T38" s="14"/>
      <c r="U38" s="16" t="s">
        <v>55</v>
      </c>
      <c r="V38" s="17" t="s">
        <v>33</v>
      </c>
      <c r="W38" s="17" t="s">
        <v>34</v>
      </c>
      <c r="X38" s="18" t="s">
        <v>230</v>
      </c>
      <c r="Y38" s="19" t="b">
        <v>0</v>
      </c>
      <c r="Z38" s="20"/>
      <c r="AA38" s="20"/>
      <c r="AB38" s="20"/>
    </row>
    <row r="39" ht="15.75" customHeight="1">
      <c r="A39" s="9" t="s">
        <v>344</v>
      </c>
      <c r="B39" s="9" t="s">
        <v>345</v>
      </c>
      <c r="C39" s="9" t="s">
        <v>48</v>
      </c>
      <c r="D39" s="10" t="s">
        <v>346</v>
      </c>
      <c r="E39" s="9" t="s">
        <v>50</v>
      </c>
      <c r="F39" s="9" t="s">
        <v>347</v>
      </c>
      <c r="G39" s="9"/>
      <c r="H39" s="11" t="str">
        <f>HYPERLINK("https://galaxy.bi.uni-freiburg.de/tool_runner?tool_id=toolshed.g2.bx.psu.edu%2Frepos%2Fiuc%2Fmsaboot%2Fmsaboot%2F0.1.2","https://galaxy.bi.uni-freiburg.de/tool_runner?tool_id=toolshed.g2.bx.psu.edu%2Frepos%2Fiuc%2Fmsaboot%2Fmsaboot%2F0.1.2")</f>
        <v>https://galaxy.bi.uni-freiburg.de/tool_runner?tool_id=toolshed.g2.bx.psu.edu%2Frepos%2Fiuc%2Fmsaboot%2Fmsaboot%2F0.1.2</v>
      </c>
      <c r="I39" s="9"/>
      <c r="J39" s="9"/>
      <c r="K39" s="9"/>
      <c r="L39" s="9" t="s">
        <v>348</v>
      </c>
      <c r="M39" s="12" t="s">
        <v>53</v>
      </c>
      <c r="N39" s="13" t="s">
        <v>346</v>
      </c>
      <c r="O39" s="14" t="s">
        <v>50</v>
      </c>
      <c r="P39" s="14" t="s">
        <v>349</v>
      </c>
      <c r="Q39" s="15" t="str">
        <f t="shared" ref="Q39:R39" si="11">HYPERLINK("https://github.com/phac-nml/msaboot","https://github.com/phac-nml/msaboot")</f>
        <v>https://github.com/phac-nml/msaboot</v>
      </c>
      <c r="R39" s="15" t="str">
        <f t="shared" si="11"/>
        <v>https://github.com/phac-nml/msaboot</v>
      </c>
      <c r="S39" s="14"/>
      <c r="T39" s="14"/>
      <c r="U39" s="16" t="s">
        <v>126</v>
      </c>
      <c r="V39" s="17" t="s">
        <v>33</v>
      </c>
      <c r="W39" s="17" t="s">
        <v>34</v>
      </c>
      <c r="X39" s="18" t="s">
        <v>350</v>
      </c>
      <c r="Y39" s="19" t="b">
        <v>0</v>
      </c>
      <c r="Z39" s="20"/>
      <c r="AA39" s="20"/>
      <c r="AB39" s="20"/>
    </row>
    <row r="40" ht="15.75" customHeight="1">
      <c r="A40" s="9" t="s">
        <v>351</v>
      </c>
      <c r="B40" s="9" t="s">
        <v>352</v>
      </c>
      <c r="C40" s="9" t="s">
        <v>48</v>
      </c>
      <c r="D40" s="10" t="s">
        <v>353</v>
      </c>
      <c r="E40" s="9" t="s">
        <v>50</v>
      </c>
      <c r="F40" s="9" t="s">
        <v>354</v>
      </c>
      <c r="G40" s="9"/>
      <c r="H40" s="11" t="str">
        <f>HYPERLINK("https://galaxy.bi.uni-freiburg.de/tool_runner?tool_id=toolshed.g2.bx.psu.edu%2Frepos%2Fgalaxyp%2Fmorpheus%2Fmorpheus%2F2.255.0","https://galaxy.bi.uni-freiburg.de/tool_runner?tool_id=toolshed.g2.bx.psu.edu%2Frepos%2Fgalaxyp%2Fmorpheus%2Fmorpheus%2F2.255.0")</f>
        <v>https://galaxy.bi.uni-freiburg.de/tool_runner?tool_id=toolshed.g2.bx.psu.edu%2Frepos%2Fgalaxyp%2Fmorpheus%2Fmorpheus%2F2.255.0</v>
      </c>
      <c r="I40" s="9"/>
      <c r="J40" s="9"/>
      <c r="K40" s="9"/>
      <c r="L40" s="9" t="s">
        <v>355</v>
      </c>
      <c r="M40" s="12" t="s">
        <v>53</v>
      </c>
      <c r="N40" s="13" t="s">
        <v>353</v>
      </c>
      <c r="O40" s="14" t="s">
        <v>50</v>
      </c>
      <c r="P40" s="14" t="s">
        <v>356</v>
      </c>
      <c r="Q40" s="15" t="str">
        <f>HYPERLINK("https://github.com/cwenger/Morpheus","https://github.com/cwenger/Morpheus")</f>
        <v>https://github.com/cwenger/Morpheus</v>
      </c>
      <c r="R40" s="15" t="str">
        <f>HYPERLINK("https://github.com/cwenger/Morpheus/","https://github.com/cwenger/Morpheus/")</f>
        <v>https://github.com/cwenger/Morpheus/</v>
      </c>
      <c r="S40" s="14"/>
      <c r="T40" s="14"/>
      <c r="U40" s="16" t="s">
        <v>66</v>
      </c>
      <c r="V40" s="17" t="s">
        <v>33</v>
      </c>
      <c r="W40" s="17" t="s">
        <v>56</v>
      </c>
      <c r="X40" s="18" t="s">
        <v>357</v>
      </c>
      <c r="Y40" s="19" t="b">
        <v>0</v>
      </c>
      <c r="Z40" s="20"/>
      <c r="AA40" s="20"/>
      <c r="AB40" s="20"/>
    </row>
    <row r="41" ht="15.75" customHeight="1">
      <c r="A41" s="9" t="s">
        <v>358</v>
      </c>
      <c r="B41" s="9" t="s">
        <v>359</v>
      </c>
      <c r="C41" s="9" t="s">
        <v>27</v>
      </c>
      <c r="D41" s="10" t="s">
        <v>360</v>
      </c>
      <c r="E41" s="9"/>
      <c r="F41" s="9" t="s">
        <v>361</v>
      </c>
      <c r="G41" s="11" t="str">
        <f>HYPERLINK("https://sourceforge.net/projects/lra","https://sourceforge.net/projects/lra")</f>
        <v>https://sourceforge.net/projects/lra</v>
      </c>
      <c r="H41" s="11" t="str">
        <f>HYPERLINK("http://lra.sourceforge.net/","http://lra.sourceforge.net/")</f>
        <v>http://lra.sourceforge.net/</v>
      </c>
      <c r="I41" s="9"/>
      <c r="J41" s="9"/>
      <c r="K41" s="9"/>
      <c r="L41" s="9" t="s">
        <v>362</v>
      </c>
      <c r="M41" s="12" t="s">
        <v>31</v>
      </c>
      <c r="N41" s="13" t="s">
        <v>363</v>
      </c>
      <c r="O41" s="14"/>
      <c r="P41" s="14" t="s">
        <v>364</v>
      </c>
      <c r="Q41" s="15" t="str">
        <f>HYPERLINK("https://github.com/ChaissonLab/LRA","https://github.com/ChaissonLab/LRA")</f>
        <v>https://github.com/ChaissonLab/LRA</v>
      </c>
      <c r="R41" s="14"/>
      <c r="S41" s="14"/>
      <c r="T41" s="14"/>
      <c r="U41" s="16"/>
      <c r="V41" s="17" t="s">
        <v>187</v>
      </c>
      <c r="W41" s="17" t="s">
        <v>56</v>
      </c>
      <c r="X41" s="18" t="s">
        <v>365</v>
      </c>
      <c r="Y41" s="19" t="b">
        <v>0</v>
      </c>
      <c r="Z41" s="20"/>
      <c r="AA41" s="20"/>
      <c r="AB41" s="20"/>
    </row>
    <row r="42" ht="15.75" customHeight="1">
      <c r="A42" s="9" t="s">
        <v>366</v>
      </c>
      <c r="B42" s="9" t="s">
        <v>367</v>
      </c>
      <c r="C42" s="9" t="s">
        <v>38</v>
      </c>
      <c r="D42" s="10" t="s">
        <v>368</v>
      </c>
      <c r="E42" s="9" t="s">
        <v>50</v>
      </c>
      <c r="F42" s="9" t="s">
        <v>369</v>
      </c>
      <c r="G42" s="9"/>
      <c r="H42" s="11" t="str">
        <f>HYPERLINK("https://github.com/bcgsc/longstitch","https://github.com/bcgsc/longstitch")</f>
        <v>https://github.com/bcgsc/longstitch</v>
      </c>
      <c r="I42" s="9" t="s">
        <v>370</v>
      </c>
      <c r="J42" s="9"/>
      <c r="K42" s="9"/>
      <c r="L42" s="9" t="s">
        <v>371</v>
      </c>
      <c r="M42" s="12" t="s">
        <v>53</v>
      </c>
      <c r="N42" s="13" t="s">
        <v>368</v>
      </c>
      <c r="O42" s="14" t="s">
        <v>50</v>
      </c>
      <c r="P42" s="14" t="s">
        <v>369</v>
      </c>
      <c r="Q42" s="15" t="str">
        <f>HYPERLINK("https://github.com/bcgsc/LongStitch","https://github.com/bcgsc/LongStitch")</f>
        <v>https://github.com/bcgsc/LongStitch</v>
      </c>
      <c r="R42" s="15" t="str">
        <f>HYPERLINK("https://bcgsc.ca/resources/software/longstitch","https://bcgsc.ca/resources/software/longstitch")</f>
        <v>https://bcgsc.ca/resources/software/longstitch</v>
      </c>
      <c r="S42" s="14"/>
      <c r="T42" s="14"/>
      <c r="U42" s="16" t="s">
        <v>55</v>
      </c>
      <c r="V42" s="17" t="s">
        <v>33</v>
      </c>
      <c r="W42" s="17" t="s">
        <v>34</v>
      </c>
      <c r="X42" s="18" t="s">
        <v>128</v>
      </c>
      <c r="Y42" s="19" t="b">
        <v>0</v>
      </c>
      <c r="Z42" s="20"/>
      <c r="AA42" s="20"/>
      <c r="AB42" s="20"/>
    </row>
    <row r="43" ht="15.75" customHeight="1">
      <c r="A43" s="9" t="s">
        <v>372</v>
      </c>
      <c r="B43" s="9" t="s">
        <v>373</v>
      </c>
      <c r="C43" s="9" t="s">
        <v>38</v>
      </c>
      <c r="D43" s="10" t="s">
        <v>374</v>
      </c>
      <c r="E43" s="9" t="s">
        <v>50</v>
      </c>
      <c r="F43" s="9" t="s">
        <v>375</v>
      </c>
      <c r="G43" s="9"/>
      <c r="H43" s="11" t="str">
        <f>HYPERLINK("https://github.com/marbl/mash","https://github.com/marbl/mash")</f>
        <v>https://github.com/marbl/mash</v>
      </c>
      <c r="I43" s="9" t="s">
        <v>376</v>
      </c>
      <c r="J43" s="9"/>
      <c r="K43" s="9"/>
      <c r="L43" s="9" t="s">
        <v>377</v>
      </c>
      <c r="M43" s="12" t="s">
        <v>53</v>
      </c>
      <c r="N43" s="13" t="s">
        <v>374</v>
      </c>
      <c r="O43" s="14" t="s">
        <v>50</v>
      </c>
      <c r="P43" s="14" t="s">
        <v>378</v>
      </c>
      <c r="Q43" s="15" t="str">
        <f t="shared" ref="Q43:R43" si="12">HYPERLINK("https://github.com/marbl/Mash","https://github.com/marbl/Mash")</f>
        <v>https://github.com/marbl/Mash</v>
      </c>
      <c r="R43" s="15" t="str">
        <f t="shared" si="12"/>
        <v>https://github.com/marbl/Mash</v>
      </c>
      <c r="S43" s="14"/>
      <c r="T43" s="14"/>
      <c r="U43" s="16" t="s">
        <v>379</v>
      </c>
      <c r="V43" s="17" t="s">
        <v>33</v>
      </c>
      <c r="W43" s="17" t="s">
        <v>34</v>
      </c>
      <c r="X43" s="18" t="s">
        <v>128</v>
      </c>
      <c r="Y43" s="19" t="b">
        <v>0</v>
      </c>
      <c r="Z43" s="20"/>
      <c r="AA43" s="20"/>
      <c r="AB43" s="20"/>
    </row>
    <row r="44" ht="15.75" customHeight="1">
      <c r="A44" s="9" t="s">
        <v>380</v>
      </c>
      <c r="B44" s="9" t="s">
        <v>381</v>
      </c>
      <c r="C44" s="9" t="s">
        <v>53</v>
      </c>
      <c r="D44" s="10" t="s">
        <v>382</v>
      </c>
      <c r="E44" s="9" t="s">
        <v>50</v>
      </c>
      <c r="F44" s="9" t="s">
        <v>383</v>
      </c>
      <c r="G44" s="9"/>
      <c r="H44" s="11" t="str">
        <f>HYPERLINK("http://www.smallrnagroup.uni-mainz.de/software.html","http://www.smallrnagroup.uni-mainz.de/software.html")</f>
        <v>http://www.smallrnagroup.uni-mainz.de/software.html</v>
      </c>
      <c r="I44" s="9"/>
      <c r="J44" s="9"/>
      <c r="K44" s="9" t="s">
        <v>384</v>
      </c>
      <c r="L44" s="9" t="s">
        <v>385</v>
      </c>
      <c r="M44" s="12" t="s">
        <v>38</v>
      </c>
      <c r="N44" s="13" t="s">
        <v>382</v>
      </c>
      <c r="O44" s="14" t="s">
        <v>50</v>
      </c>
      <c r="P44" s="14" t="s">
        <v>386</v>
      </c>
      <c r="Q44" s="14"/>
      <c r="R44" s="15" t="str">
        <f>HYPERLINK("https://sourceforge.net/projects/unitas/files/","https://sourceforge.net/projects/unitas/files/")</f>
        <v>https://sourceforge.net/projects/unitas/files/</v>
      </c>
      <c r="S44" s="14" t="s">
        <v>387</v>
      </c>
      <c r="T44" s="14"/>
      <c r="U44" s="16"/>
      <c r="V44" s="17" t="s">
        <v>33</v>
      </c>
      <c r="W44" s="17" t="s">
        <v>56</v>
      </c>
      <c r="X44" s="18" t="s">
        <v>388</v>
      </c>
      <c r="Y44" s="19" t="b">
        <v>0</v>
      </c>
      <c r="Z44" s="20"/>
      <c r="AA44" s="20"/>
      <c r="AB44" s="20"/>
    </row>
    <row r="45" ht="15.75" customHeight="1">
      <c r="A45" s="9" t="s">
        <v>389</v>
      </c>
      <c r="B45" s="9" t="s">
        <v>390</v>
      </c>
      <c r="C45" s="9" t="s">
        <v>38</v>
      </c>
      <c r="D45" s="10" t="s">
        <v>391</v>
      </c>
      <c r="E45" s="9" t="s">
        <v>50</v>
      </c>
      <c r="F45" s="9" t="s">
        <v>392</v>
      </c>
      <c r="G45" s="9"/>
      <c r="H45" s="11" t="str">
        <f>HYPERLINK("https://bammmotif.mpibpc.mpg.de/","https://bammmotif.mpibpc.mpg.de/")</f>
        <v>https://bammmotif.mpibpc.mpg.de/</v>
      </c>
      <c r="I45" s="9" t="s">
        <v>393</v>
      </c>
      <c r="J45" s="9"/>
      <c r="K45" s="9"/>
      <c r="L45" s="9" t="s">
        <v>394</v>
      </c>
      <c r="M45" s="12" t="s">
        <v>53</v>
      </c>
      <c r="N45" s="13" t="s">
        <v>391</v>
      </c>
      <c r="O45" s="14" t="s">
        <v>50</v>
      </c>
      <c r="P45" s="14" t="s">
        <v>395</v>
      </c>
      <c r="Q45" s="15" t="str">
        <f t="shared" ref="Q45:R45" si="13">HYPERLINK("https://github.com/soedinglab/xxmotif","https://github.com/soedinglab/xxmotif")</f>
        <v>https://github.com/soedinglab/xxmotif</v>
      </c>
      <c r="R45" s="15" t="str">
        <f t="shared" si="13"/>
        <v>https://github.com/soedinglab/xxmotif</v>
      </c>
      <c r="S45" s="14"/>
      <c r="T45" s="14"/>
      <c r="U45" s="16" t="s">
        <v>55</v>
      </c>
      <c r="V45" s="17" t="s">
        <v>33</v>
      </c>
      <c r="W45" s="17" t="s">
        <v>109</v>
      </c>
      <c r="X45" s="18" t="s">
        <v>396</v>
      </c>
      <c r="Y45" s="19" t="b">
        <v>1</v>
      </c>
      <c r="Z45" s="20"/>
      <c r="AA45" s="20"/>
      <c r="AB45" s="20"/>
    </row>
    <row r="46" ht="15.75" customHeight="1">
      <c r="A46" s="9" t="s">
        <v>397</v>
      </c>
      <c r="B46" s="9" t="s">
        <v>398</v>
      </c>
      <c r="C46" s="9" t="s">
        <v>38</v>
      </c>
      <c r="D46" s="10" t="s">
        <v>399</v>
      </c>
      <c r="E46" s="9" t="s">
        <v>50</v>
      </c>
      <c r="F46" s="9" t="s">
        <v>400</v>
      </c>
      <c r="G46" s="9"/>
      <c r="H46" s="11" t="str">
        <f>HYPERLINK("https://oncocnv.curie.fr/","https://oncocnv.curie.fr/")</f>
        <v>https://oncocnv.curie.fr/</v>
      </c>
      <c r="I46" s="9" t="s">
        <v>401</v>
      </c>
      <c r="J46" s="9"/>
      <c r="K46" s="9"/>
      <c r="L46" s="9" t="s">
        <v>402</v>
      </c>
      <c r="M46" s="12" t="s">
        <v>53</v>
      </c>
      <c r="N46" s="13" t="s">
        <v>399</v>
      </c>
      <c r="O46" s="14" t="s">
        <v>50</v>
      </c>
      <c r="P46" s="14" t="s">
        <v>403</v>
      </c>
      <c r="Q46" s="15" t="str">
        <f>HYPERLINK("https://github.com/BoevaLab/ONCOCNV","https://github.com/BoevaLab/ONCOCNV")</f>
        <v>https://github.com/BoevaLab/ONCOCNV</v>
      </c>
      <c r="R46" s="14"/>
      <c r="S46" s="14"/>
      <c r="T46" s="14"/>
      <c r="U46" s="16" t="s">
        <v>55</v>
      </c>
      <c r="V46" s="17" t="s">
        <v>33</v>
      </c>
      <c r="W46" s="17" t="s">
        <v>56</v>
      </c>
      <c r="X46" s="18" t="s">
        <v>404</v>
      </c>
      <c r="Y46" s="19" t="b">
        <v>0</v>
      </c>
      <c r="Z46" s="20"/>
      <c r="AA46" s="20"/>
      <c r="AB46" s="20"/>
    </row>
    <row r="47" ht="15.75" customHeight="1">
      <c r="A47" s="9" t="s">
        <v>405</v>
      </c>
      <c r="B47" s="9" t="s">
        <v>406</v>
      </c>
      <c r="C47" s="9" t="s">
        <v>53</v>
      </c>
      <c r="D47" s="10" t="s">
        <v>407</v>
      </c>
      <c r="E47" s="9" t="s">
        <v>50</v>
      </c>
      <c r="F47" s="9" t="s">
        <v>408</v>
      </c>
      <c r="G47" s="9"/>
      <c r="H47" s="11" t="str">
        <f>HYPERLINK("http://cmb.gis.a-star.edu.sg/ChIPSeq/paperCCAT.htm","http://cmb.gis.a-star.edu.sg/ChIPSeq/paperCCAT.htm")</f>
        <v>http://cmb.gis.a-star.edu.sg/ChIPSeq/paperCCAT.htm</v>
      </c>
      <c r="I47" s="9"/>
      <c r="J47" s="9"/>
      <c r="K47" s="9" t="s">
        <v>409</v>
      </c>
      <c r="L47" s="9" t="s">
        <v>410</v>
      </c>
      <c r="M47" s="12" t="s">
        <v>38</v>
      </c>
      <c r="N47" s="13" t="s">
        <v>407</v>
      </c>
      <c r="O47" s="14" t="s">
        <v>50</v>
      </c>
      <c r="P47" s="14" t="s">
        <v>411</v>
      </c>
      <c r="Q47" s="14"/>
      <c r="R47" s="15" t="str">
        <f>HYPERLINK("http://www.comp.nus.edu.sg/~bioinfo/CCAT3.0/","http://www.comp.nus.edu.sg/~bioinfo/CCAT3.0/")</f>
        <v>http://www.comp.nus.edu.sg/~bioinfo/CCAT3.0/</v>
      </c>
      <c r="S47" s="14"/>
      <c r="T47" s="14"/>
      <c r="U47" s="16"/>
      <c r="V47" s="17" t="s">
        <v>94</v>
      </c>
      <c r="W47" s="9"/>
      <c r="X47" s="18" t="s">
        <v>412</v>
      </c>
      <c r="Y47" s="19" t="b">
        <v>1</v>
      </c>
      <c r="Z47" s="20"/>
      <c r="AA47" s="20"/>
      <c r="AB47" s="20"/>
    </row>
    <row r="48" ht="15.75" customHeight="1">
      <c r="A48" s="9" t="s">
        <v>413</v>
      </c>
      <c r="B48" s="9" t="s">
        <v>414</v>
      </c>
      <c r="C48" s="9" t="s">
        <v>38</v>
      </c>
      <c r="D48" s="10" t="s">
        <v>415</v>
      </c>
      <c r="E48" s="9" t="s">
        <v>416</v>
      </c>
      <c r="F48" s="9" t="s">
        <v>417</v>
      </c>
      <c r="G48" s="9"/>
      <c r="H48" s="11" t="str">
        <f>HYPERLINK("http://bioinfo.hrbmu.edu.cn/diseasemeth","http://bioinfo.hrbmu.edu.cn/diseasemeth")</f>
        <v>http://bioinfo.hrbmu.edu.cn/diseasemeth</v>
      </c>
      <c r="I48" s="9" t="s">
        <v>418</v>
      </c>
      <c r="J48" s="9"/>
      <c r="K48" s="9"/>
      <c r="L48" s="9" t="s">
        <v>419</v>
      </c>
      <c r="M48" s="12" t="s">
        <v>38</v>
      </c>
      <c r="N48" s="13" t="s">
        <v>415</v>
      </c>
      <c r="O48" s="14" t="s">
        <v>416</v>
      </c>
      <c r="P48" s="14" t="s">
        <v>420</v>
      </c>
      <c r="Q48" s="14"/>
      <c r="R48" s="15" t="str">
        <f>HYPERLINK("http://218.8.241.243:8080/DiseaseMeth3.0/index.html","http://218.8.241.243:8080/DiseaseMeth3.0/index.html")</f>
        <v>http://218.8.241.243:8080/DiseaseMeth3.0/index.html</v>
      </c>
      <c r="S48" s="14" t="s">
        <v>421</v>
      </c>
      <c r="T48" s="14"/>
      <c r="U48" s="16"/>
      <c r="V48" s="17" t="s">
        <v>33</v>
      </c>
      <c r="W48" s="17" t="s">
        <v>56</v>
      </c>
      <c r="X48" s="18" t="s">
        <v>422</v>
      </c>
      <c r="Y48" s="19" t="b">
        <v>0</v>
      </c>
      <c r="Z48" s="20"/>
      <c r="AA48" s="20"/>
      <c r="AB48" s="20"/>
    </row>
    <row r="49" ht="15.75" customHeight="1">
      <c r="A49" s="9" t="s">
        <v>423</v>
      </c>
      <c r="B49" s="9" t="s">
        <v>424</v>
      </c>
      <c r="C49" s="9" t="s">
        <v>38</v>
      </c>
      <c r="D49" s="10" t="s">
        <v>425</v>
      </c>
      <c r="E49" s="9" t="s">
        <v>40</v>
      </c>
      <c r="F49" s="9" t="s">
        <v>426</v>
      </c>
      <c r="G49" s="9"/>
      <c r="H49" s="11" t="str">
        <f>HYPERLINK("https://galaxyproject.eu/tiaas","https://galaxyproject.eu/tiaas")</f>
        <v>https://galaxyproject.eu/tiaas</v>
      </c>
      <c r="I49" s="9" t="s">
        <v>427</v>
      </c>
      <c r="J49" s="9"/>
      <c r="K49" s="9"/>
      <c r="L49" s="9" t="s">
        <v>428</v>
      </c>
      <c r="M49" s="12" t="s">
        <v>38</v>
      </c>
      <c r="N49" s="13" t="s">
        <v>425</v>
      </c>
      <c r="O49" s="14" t="s">
        <v>40</v>
      </c>
      <c r="P49" s="14" t="s">
        <v>429</v>
      </c>
      <c r="Q49" s="14"/>
      <c r="R49" s="15" t="str">
        <f>HYPERLINK("https://github.com/galaxyproject/tiaas2","https://github.com/galaxyproject/tiaas2")</f>
        <v>https://github.com/galaxyproject/tiaas2</v>
      </c>
      <c r="S49" s="14" t="s">
        <v>430</v>
      </c>
      <c r="T49" s="14"/>
      <c r="U49" s="16"/>
      <c r="V49" s="17" t="s">
        <v>33</v>
      </c>
      <c r="W49" s="17" t="s">
        <v>109</v>
      </c>
      <c r="X49" s="18" t="s">
        <v>431</v>
      </c>
      <c r="Y49" s="19" t="b">
        <v>1</v>
      </c>
      <c r="Z49" s="20"/>
      <c r="AA49" s="20"/>
      <c r="AB49" s="20"/>
    </row>
    <row r="50" ht="15.75" customHeight="1">
      <c r="A50" s="9" t="s">
        <v>432</v>
      </c>
      <c r="B50" s="9" t="s">
        <v>433</v>
      </c>
      <c r="C50" s="9" t="s">
        <v>38</v>
      </c>
      <c r="D50" s="10" t="s">
        <v>434</v>
      </c>
      <c r="E50" s="9" t="s">
        <v>50</v>
      </c>
      <c r="F50" s="9" t="s">
        <v>435</v>
      </c>
      <c r="G50" s="9"/>
      <c r="H50" s="11" t="str">
        <f>HYPERLINK("http://kaptive.holtlab.net/","http://kaptive.holtlab.net/")</f>
        <v>http://kaptive.holtlab.net/</v>
      </c>
      <c r="I50" s="9"/>
      <c r="J50" s="9"/>
      <c r="K50" s="9"/>
      <c r="L50" s="9" t="s">
        <v>436</v>
      </c>
      <c r="M50" s="12" t="s">
        <v>53</v>
      </c>
      <c r="N50" s="13" t="s">
        <v>434</v>
      </c>
      <c r="O50" s="14" t="s">
        <v>50</v>
      </c>
      <c r="P50" s="14" t="s">
        <v>437</v>
      </c>
      <c r="Q50" s="15" t="str">
        <f t="shared" ref="Q50:R50" si="14">HYPERLINK("https://github.com/katholt/Kaptive","https://github.com/katholt/Kaptive")</f>
        <v>https://github.com/katholt/Kaptive</v>
      </c>
      <c r="R50" s="15" t="str">
        <f t="shared" si="14"/>
        <v>https://github.com/katholt/Kaptive</v>
      </c>
      <c r="S50" s="14"/>
      <c r="T50" s="14"/>
      <c r="U50" s="16" t="s">
        <v>55</v>
      </c>
      <c r="V50" s="17" t="s">
        <v>33</v>
      </c>
      <c r="W50" s="17" t="s">
        <v>34</v>
      </c>
      <c r="X50" s="18" t="s">
        <v>438</v>
      </c>
      <c r="Y50" s="19" t="b">
        <v>0</v>
      </c>
      <c r="Z50" s="20"/>
      <c r="AA50" s="20"/>
      <c r="AB50" s="20"/>
    </row>
    <row r="51" ht="15.75" customHeight="1">
      <c r="A51" s="9" t="s">
        <v>439</v>
      </c>
      <c r="B51" s="9" t="s">
        <v>440</v>
      </c>
      <c r="C51" s="9" t="s">
        <v>38</v>
      </c>
      <c r="D51" s="10" t="s">
        <v>441</v>
      </c>
      <c r="E51" s="9" t="s">
        <v>40</v>
      </c>
      <c r="F51" s="9" t="s">
        <v>442</v>
      </c>
      <c r="G51" s="9"/>
      <c r="H51" s="11" t="str">
        <f>HYPERLINK("https://gitlab.com/mahnewton/sap","https://gitlab.com/mahnewton/sap")</f>
        <v>https://gitlab.com/mahnewton/sap</v>
      </c>
      <c r="I51" s="9" t="s">
        <v>443</v>
      </c>
      <c r="J51" s="9"/>
      <c r="K51" s="9"/>
      <c r="L51" s="9" t="s">
        <v>444</v>
      </c>
      <c r="M51" s="12" t="s">
        <v>53</v>
      </c>
      <c r="N51" s="13" t="s">
        <v>441</v>
      </c>
      <c r="O51" s="14" t="s">
        <v>50</v>
      </c>
      <c r="P51" s="14" t="s">
        <v>445</v>
      </c>
      <c r="Q51" s="15" t="str">
        <f t="shared" ref="Q51:R51" si="15">HYPERLINK("https://github.com/mathbio-nimr-mrc-ac-uk/SAP","https://github.com/mathbio-nimr-mrc-ac-uk/SAP")</f>
        <v>https://github.com/mathbio-nimr-mrc-ac-uk/SAP</v>
      </c>
      <c r="R51" s="15" t="str">
        <f t="shared" si="15"/>
        <v>https://github.com/mathbio-nimr-mrc-ac-uk/SAP</v>
      </c>
      <c r="S51" s="14"/>
      <c r="T51" s="14"/>
      <c r="U51" s="16" t="s">
        <v>55</v>
      </c>
      <c r="V51" s="17" t="s">
        <v>187</v>
      </c>
      <c r="W51" s="17" t="s">
        <v>34</v>
      </c>
      <c r="X51" s="18" t="s">
        <v>446</v>
      </c>
      <c r="Y51" s="19" t="b">
        <v>0</v>
      </c>
      <c r="Z51" s="20"/>
      <c r="AA51" s="20"/>
      <c r="AB51" s="20"/>
    </row>
    <row r="52" ht="15.75" customHeight="1">
      <c r="A52" s="9" t="s">
        <v>447</v>
      </c>
      <c r="B52" s="9" t="s">
        <v>448</v>
      </c>
      <c r="C52" s="9" t="s">
        <v>27</v>
      </c>
      <c r="D52" s="10" t="s">
        <v>449</v>
      </c>
      <c r="E52" s="9"/>
      <c r="F52" s="9" t="s">
        <v>450</v>
      </c>
      <c r="G52" s="11" t="str">
        <f>HYPERLINK("https://sourceforge.net/projects/fusioncatcher","https://sourceforge.net/projects/fusioncatcher")</f>
        <v>https://sourceforge.net/projects/fusioncatcher</v>
      </c>
      <c r="H52" s="11" t="str">
        <f>HYPERLINK("https://sourceforge.net/p/fusioncatcher/wiki/Home/","https://sourceforge.net/p/fusioncatcher/wiki/Home/")</f>
        <v>https://sourceforge.net/p/fusioncatcher/wiki/Home/</v>
      </c>
      <c r="I52" s="9"/>
      <c r="J52" s="9"/>
      <c r="K52" s="9"/>
      <c r="L52" s="9" t="s">
        <v>451</v>
      </c>
      <c r="M52" s="12" t="s">
        <v>53</v>
      </c>
      <c r="N52" s="13" t="s">
        <v>449</v>
      </c>
      <c r="O52" s="14" t="s">
        <v>50</v>
      </c>
      <c r="P52" s="14" t="s">
        <v>452</v>
      </c>
      <c r="Q52" s="15" t="str">
        <f t="shared" ref="Q52:R52" si="16">HYPERLINK("https://github.com/ndaniel/fusioncatcher","https://github.com/ndaniel/fusioncatcher")</f>
        <v>https://github.com/ndaniel/fusioncatcher</v>
      </c>
      <c r="R52" s="15" t="str">
        <f t="shared" si="16"/>
        <v>https://github.com/ndaniel/fusioncatcher</v>
      </c>
      <c r="S52" s="14"/>
      <c r="T52" s="14"/>
      <c r="U52" s="16" t="s">
        <v>55</v>
      </c>
      <c r="V52" s="17" t="s">
        <v>33</v>
      </c>
      <c r="W52" s="17" t="s">
        <v>56</v>
      </c>
      <c r="X52" s="18" t="s">
        <v>453</v>
      </c>
      <c r="Y52" s="19" t="b">
        <v>0</v>
      </c>
      <c r="Z52" s="20"/>
      <c r="AA52" s="20"/>
      <c r="AB52" s="20"/>
    </row>
    <row r="53" ht="15.75" customHeight="1">
      <c r="A53" s="9" t="s">
        <v>454</v>
      </c>
      <c r="B53" s="9" t="s">
        <v>455</v>
      </c>
      <c r="C53" s="9" t="s">
        <v>38</v>
      </c>
      <c r="D53" s="10" t="s">
        <v>456</v>
      </c>
      <c r="E53" s="9" t="s">
        <v>40</v>
      </c>
      <c r="F53" s="9" t="s">
        <v>457</v>
      </c>
      <c r="G53" s="9"/>
      <c r="H53" s="11" t="str">
        <f>HYPERLINK("https://github.com/tetramerFreqs/Binning","https://github.com/tetramerFreqs/Binning")</f>
        <v>https://github.com/tetramerFreqs/Binning</v>
      </c>
      <c r="I53" s="9" t="s">
        <v>458</v>
      </c>
      <c r="J53" s="9"/>
      <c r="K53" s="9"/>
      <c r="L53" s="9" t="s">
        <v>459</v>
      </c>
      <c r="M53" s="12" t="s">
        <v>31</v>
      </c>
      <c r="N53" s="13" t="s">
        <v>456</v>
      </c>
      <c r="O53" s="14"/>
      <c r="P53" s="14" t="s">
        <v>460</v>
      </c>
      <c r="Q53" s="15" t="str">
        <f>HYPERLINK("https://github.com/martijnvermaat/binning","https://github.com/martijnvermaat/binning")</f>
        <v>https://github.com/martijnvermaat/binning</v>
      </c>
      <c r="R53" s="14"/>
      <c r="S53" s="14"/>
      <c r="T53" s="14"/>
      <c r="U53" s="16"/>
      <c r="V53" s="17" t="s">
        <v>187</v>
      </c>
      <c r="W53" s="17" t="s">
        <v>56</v>
      </c>
      <c r="X53" s="18" t="s">
        <v>461</v>
      </c>
      <c r="Y53" s="19" t="b">
        <v>0</v>
      </c>
      <c r="Z53" s="20"/>
      <c r="AA53" s="20"/>
      <c r="AB53" s="20"/>
    </row>
    <row r="54" ht="15.75" customHeight="1">
      <c r="A54" s="9" t="s">
        <v>462</v>
      </c>
      <c r="B54" s="9" t="s">
        <v>463</v>
      </c>
      <c r="C54" s="9" t="s">
        <v>38</v>
      </c>
      <c r="D54" s="10" t="s">
        <v>464</v>
      </c>
      <c r="E54" s="9" t="s">
        <v>50</v>
      </c>
      <c r="F54" s="9" t="s">
        <v>465</v>
      </c>
      <c r="G54" s="9"/>
      <c r="H54" s="11" t="str">
        <f>HYPERLINK("http://www.cse.msu.edu/~leijikai/mir-prefer/","http://www.cse.msu.edu/~leijikai/mir-prefer/")</f>
        <v>http://www.cse.msu.edu/~leijikai/mir-prefer/</v>
      </c>
      <c r="I54" s="9" t="s">
        <v>466</v>
      </c>
      <c r="J54" s="9"/>
      <c r="K54" s="9"/>
      <c r="L54" s="9" t="s">
        <v>467</v>
      </c>
      <c r="M54" s="12" t="s">
        <v>53</v>
      </c>
      <c r="N54" s="13" t="s">
        <v>464</v>
      </c>
      <c r="O54" s="14" t="s">
        <v>50</v>
      </c>
      <c r="P54" s="14" t="s">
        <v>468</v>
      </c>
      <c r="Q54" s="15" t="str">
        <f t="shared" ref="Q54:R54" si="17">HYPERLINK("https://github.com/hangelwen/miR-PREFeR","https://github.com/hangelwen/miR-PREFeR")</f>
        <v>https://github.com/hangelwen/miR-PREFeR</v>
      </c>
      <c r="R54" s="15" t="str">
        <f t="shared" si="17"/>
        <v>https://github.com/hangelwen/miR-PREFeR</v>
      </c>
      <c r="S54" s="14"/>
      <c r="T54" s="14"/>
      <c r="U54" s="16" t="s">
        <v>333</v>
      </c>
      <c r="V54" s="17" t="s">
        <v>33</v>
      </c>
      <c r="W54" s="17" t="s">
        <v>56</v>
      </c>
      <c r="X54" s="18" t="s">
        <v>469</v>
      </c>
      <c r="Y54" s="19" t="b">
        <v>0</v>
      </c>
      <c r="Z54" s="20"/>
      <c r="AA54" s="20"/>
      <c r="AB54" s="20"/>
    </row>
    <row r="55" ht="15.75" customHeight="1">
      <c r="A55" s="9" t="s">
        <v>470</v>
      </c>
      <c r="B55" s="9" t="s">
        <v>471</v>
      </c>
      <c r="C55" s="9" t="s">
        <v>48</v>
      </c>
      <c r="D55" s="10" t="s">
        <v>472</v>
      </c>
      <c r="E55" s="9" t="s">
        <v>50</v>
      </c>
      <c r="F55" s="9" t="s">
        <v>473</v>
      </c>
      <c r="G55" s="9"/>
      <c r="H55" s="11" t="str">
        <f>HYPERLINK("https://galaxy.bi.uni-freiburg.de/tool_runner?tool_id=toolshed.g2.bx.psu.edu%2Frepos%2Fiuc%2Ffraggenescan%2Ffraggenescan%2F1.30.0","https://galaxy.bi.uni-freiburg.de/tool_runner?tool_id=toolshed.g2.bx.psu.edu%2Frepos%2Fiuc%2Ffraggenescan%2Ffraggenescan%2F1.30.0")</f>
        <v>https://galaxy.bi.uni-freiburg.de/tool_runner?tool_id=toolshed.g2.bx.psu.edu%2Frepos%2Fiuc%2Ffraggenescan%2Ffraggenescan%2F1.30.0</v>
      </c>
      <c r="I55" s="9"/>
      <c r="J55" s="9"/>
      <c r="K55" s="9"/>
      <c r="L55" s="9" t="s">
        <v>474</v>
      </c>
      <c r="M55" s="12" t="s">
        <v>53</v>
      </c>
      <c r="N55" s="13" t="s">
        <v>472</v>
      </c>
      <c r="O55" s="14" t="s">
        <v>50</v>
      </c>
      <c r="P55" s="14" t="s">
        <v>475</v>
      </c>
      <c r="Q55" s="14"/>
      <c r="R55" s="15" t="str">
        <f>HYPERLINK("https://sourceforge.net/projects/fraggenescan/","https://sourceforge.net/projects/fraggenescan/")</f>
        <v>https://sourceforge.net/projects/fraggenescan/</v>
      </c>
      <c r="S55" s="14"/>
      <c r="T55" s="14"/>
      <c r="U55" s="16" t="s">
        <v>476</v>
      </c>
      <c r="V55" s="17" t="s">
        <v>33</v>
      </c>
      <c r="W55" s="17" t="s">
        <v>109</v>
      </c>
      <c r="X55" s="18" t="s">
        <v>477</v>
      </c>
      <c r="Y55" s="19" t="b">
        <v>1</v>
      </c>
      <c r="Z55" s="20"/>
      <c r="AA55" s="20"/>
      <c r="AB55" s="20"/>
    </row>
    <row r="56" ht="15.75" customHeight="1">
      <c r="A56" s="9" t="s">
        <v>478</v>
      </c>
      <c r="B56" s="9" t="s">
        <v>479</v>
      </c>
      <c r="C56" s="9" t="s">
        <v>38</v>
      </c>
      <c r="D56" s="10" t="s">
        <v>480</v>
      </c>
      <c r="E56" s="9" t="s">
        <v>50</v>
      </c>
      <c r="F56" s="9" t="s">
        <v>481</v>
      </c>
      <c r="G56" s="9"/>
      <c r="H56" s="11" t="str">
        <f>HYPERLINK("https://github.com/wrenlab/label-extraction","https://github.com/wrenlab/label-extraction")</f>
        <v>https://github.com/wrenlab/label-extraction</v>
      </c>
      <c r="I56" s="9" t="s">
        <v>482</v>
      </c>
      <c r="J56" s="9"/>
      <c r="K56" s="9"/>
      <c r="L56" s="9" t="s">
        <v>483</v>
      </c>
      <c r="M56" s="12" t="s">
        <v>53</v>
      </c>
      <c r="N56" s="13" t="s">
        <v>480</v>
      </c>
      <c r="O56" s="14" t="s">
        <v>50</v>
      </c>
      <c r="P56" s="14" t="s">
        <v>484</v>
      </c>
      <c r="Q56" s="15" t="str">
        <f t="shared" ref="Q56:R56" si="18">HYPERLINK("https://github.com/sc932/ALE","https://github.com/sc932/ALE")</f>
        <v>https://github.com/sc932/ALE</v>
      </c>
      <c r="R56" s="15" t="str">
        <f t="shared" si="18"/>
        <v>https://github.com/sc932/ALE</v>
      </c>
      <c r="S56" s="14"/>
      <c r="T56" s="14"/>
      <c r="U56" s="16" t="s">
        <v>485</v>
      </c>
      <c r="V56" s="17" t="s">
        <v>187</v>
      </c>
      <c r="W56" s="17" t="s">
        <v>34</v>
      </c>
      <c r="X56" s="18" t="s">
        <v>486</v>
      </c>
      <c r="Y56" s="19" t="b">
        <v>0</v>
      </c>
      <c r="Z56" s="20"/>
      <c r="AA56" s="20"/>
      <c r="AB56" s="20"/>
    </row>
    <row r="57" ht="15.75" customHeight="1">
      <c r="A57" s="9" t="s">
        <v>487</v>
      </c>
      <c r="B57" s="9" t="s">
        <v>488</v>
      </c>
      <c r="C57" s="9" t="s">
        <v>48</v>
      </c>
      <c r="D57" s="10" t="s">
        <v>489</v>
      </c>
      <c r="E57" s="9" t="s">
        <v>50</v>
      </c>
      <c r="F57" s="9" t="s">
        <v>490</v>
      </c>
      <c r="G57" s="9"/>
      <c r="H57" s="11" t="str">
        <f>HYPERLINK("https://galaxy.bi.uni-freiburg.de/tool_runner?tool_id=toolshed.g2.bx.psu.edu%2Frepos%2Fiuc%2Fpilon%2Fpilon%2F1.20.1","https://galaxy.bi.uni-freiburg.de/tool_runner?tool_id=toolshed.g2.bx.psu.edu%2Frepos%2Fiuc%2Fpilon%2Fpilon%2F1.20.1")</f>
        <v>https://galaxy.bi.uni-freiburg.de/tool_runner?tool_id=toolshed.g2.bx.psu.edu%2Frepos%2Fiuc%2Fpilon%2Fpilon%2F1.20.1</v>
      </c>
      <c r="I57" s="9"/>
      <c r="J57" s="9"/>
      <c r="K57" s="9"/>
      <c r="L57" s="9" t="s">
        <v>491</v>
      </c>
      <c r="M57" s="12" t="s">
        <v>53</v>
      </c>
      <c r="N57" s="13" t="s">
        <v>489</v>
      </c>
      <c r="O57" s="14" t="s">
        <v>50</v>
      </c>
      <c r="P57" s="14" t="s">
        <v>492</v>
      </c>
      <c r="Q57" s="15" t="str">
        <f>HYPERLINK("https://github.com/broadinstitute/pilon","https://github.com/broadinstitute/pilon")</f>
        <v>https://github.com/broadinstitute/pilon</v>
      </c>
      <c r="R57" s="15" t="str">
        <f>HYPERLINK("https://github.com/broadinstitute/pilon/","https://github.com/broadinstitute/pilon/")</f>
        <v>https://github.com/broadinstitute/pilon/</v>
      </c>
      <c r="S57" s="14"/>
      <c r="T57" s="14"/>
      <c r="U57" s="16" t="s">
        <v>84</v>
      </c>
      <c r="V57" s="17" t="s">
        <v>33</v>
      </c>
      <c r="W57" s="17" t="s">
        <v>34</v>
      </c>
      <c r="X57" s="18" t="s">
        <v>493</v>
      </c>
      <c r="Y57" s="19" t="b">
        <v>0</v>
      </c>
      <c r="Z57" s="20"/>
      <c r="AA57" s="20"/>
      <c r="AB57" s="20"/>
    </row>
    <row r="58" ht="15.75" customHeight="1">
      <c r="A58" s="9" t="s">
        <v>494</v>
      </c>
      <c r="B58" s="9" t="s">
        <v>495</v>
      </c>
      <c r="C58" s="9" t="s">
        <v>48</v>
      </c>
      <c r="D58" s="10" t="s">
        <v>496</v>
      </c>
      <c r="E58" s="9" t="s">
        <v>50</v>
      </c>
      <c r="F58" s="9" t="s">
        <v>497</v>
      </c>
      <c r="G58" s="9"/>
      <c r="H58" s="11" t="str">
        <f>HYPERLINK("https://galaxy.bi.uni-freiburg.de/tool_runner?tool_id=toolshed.g2.bx.psu.edu%2Frepos%2Frnateam%2Fpiranha%2Fpiranha%2F0.1.0","https://galaxy.bi.uni-freiburg.de/tool_runner?tool_id=toolshed.g2.bx.psu.edu%2Frepos%2Frnateam%2Fpiranha%2Fpiranha%2F0.1.0")</f>
        <v>https://galaxy.bi.uni-freiburg.de/tool_runner?tool_id=toolshed.g2.bx.psu.edu%2Frepos%2Frnateam%2Fpiranha%2Fpiranha%2F0.1.0</v>
      </c>
      <c r="I58" s="9"/>
      <c r="J58" s="9"/>
      <c r="K58" s="9"/>
      <c r="L58" s="9" t="s">
        <v>498</v>
      </c>
      <c r="M58" s="12" t="s">
        <v>53</v>
      </c>
      <c r="N58" s="13" t="s">
        <v>496</v>
      </c>
      <c r="O58" s="14" t="s">
        <v>50</v>
      </c>
      <c r="P58" s="14" t="s">
        <v>499</v>
      </c>
      <c r="Q58" s="14"/>
      <c r="R58" s="15" t="str">
        <f>HYPERLINK("http://smithlabresearch.org/software/piranha/","http://smithlabresearch.org/software/piranha/")</f>
        <v>http://smithlabresearch.org/software/piranha/</v>
      </c>
      <c r="S58" s="14"/>
      <c r="T58" s="14"/>
      <c r="U58" s="16" t="s">
        <v>55</v>
      </c>
      <c r="V58" s="17" t="s">
        <v>33</v>
      </c>
      <c r="W58" s="17" t="s">
        <v>109</v>
      </c>
      <c r="X58" s="18" t="s">
        <v>477</v>
      </c>
      <c r="Y58" s="19" t="b">
        <v>1</v>
      </c>
      <c r="Z58" s="20"/>
      <c r="AA58" s="20"/>
      <c r="AB58" s="20"/>
    </row>
    <row r="59" ht="15.75" customHeight="1">
      <c r="A59" s="9" t="s">
        <v>500</v>
      </c>
      <c r="B59" s="9" t="s">
        <v>501</v>
      </c>
      <c r="C59" s="9" t="s">
        <v>53</v>
      </c>
      <c r="D59" s="10" t="s">
        <v>502</v>
      </c>
      <c r="E59" s="9" t="s">
        <v>50</v>
      </c>
      <c r="F59" s="9" t="s">
        <v>503</v>
      </c>
      <c r="G59" s="11" t="str">
        <f t="shared" ref="G59:H59" si="19">HYPERLINK("https://github.com/bdgenomics/mango","https://github.com/bdgenomics/mango")</f>
        <v>https://github.com/bdgenomics/mango</v>
      </c>
      <c r="H59" s="11" t="str">
        <f t="shared" si="19"/>
        <v>https://github.com/bdgenomics/mango</v>
      </c>
      <c r="I59" s="9"/>
      <c r="J59" s="9"/>
      <c r="K59" s="9" t="s">
        <v>126</v>
      </c>
      <c r="L59" s="9" t="s">
        <v>504</v>
      </c>
      <c r="M59" s="12" t="s">
        <v>38</v>
      </c>
      <c r="N59" s="13" t="s">
        <v>502</v>
      </c>
      <c r="O59" s="14" t="s">
        <v>50</v>
      </c>
      <c r="P59" s="14" t="s">
        <v>505</v>
      </c>
      <c r="Q59" s="14"/>
      <c r="R59" s="15" t="str">
        <f>HYPERLINK("https://github.com/dphansti/mango","https://github.com/dphansti/mango")</f>
        <v>https://github.com/dphansti/mango</v>
      </c>
      <c r="S59" s="14" t="s">
        <v>506</v>
      </c>
      <c r="T59" s="14"/>
      <c r="U59" s="16"/>
      <c r="V59" s="17" t="s">
        <v>187</v>
      </c>
      <c r="W59" s="17" t="s">
        <v>109</v>
      </c>
      <c r="X59" s="18" t="s">
        <v>507</v>
      </c>
      <c r="Y59" s="19" t="b">
        <v>1</v>
      </c>
      <c r="Z59" s="20"/>
      <c r="AA59" s="20"/>
      <c r="AB59" s="20"/>
    </row>
    <row r="60" ht="15.75" customHeight="1">
      <c r="A60" s="9" t="s">
        <v>508</v>
      </c>
      <c r="B60" s="9" t="s">
        <v>509</v>
      </c>
      <c r="C60" s="9" t="s">
        <v>48</v>
      </c>
      <c r="D60" s="10" t="s">
        <v>510</v>
      </c>
      <c r="E60" s="9" t="s">
        <v>50</v>
      </c>
      <c r="F60" s="9" t="s">
        <v>511</v>
      </c>
      <c r="G60" s="9"/>
      <c r="H60" s="11" t="str">
        <f>HYPERLINK("https://galaxy.bi.uni-freiburg.de/tool_runner?tool_id=toolshed.g2.bx.psu.edu%2Frepos%2Fbgruening%2Fbamhash%2Fbamhash%2F1.1","https://galaxy.bi.uni-freiburg.de/tool_runner?tool_id=toolshed.g2.bx.psu.edu%2Frepos%2Fbgruening%2Fbamhash%2Fbamhash%2F1.1")</f>
        <v>https://galaxy.bi.uni-freiburg.de/tool_runner?tool_id=toolshed.g2.bx.psu.edu%2Frepos%2Fbgruening%2Fbamhash%2Fbamhash%2F1.1</v>
      </c>
      <c r="I60" s="9"/>
      <c r="J60" s="9"/>
      <c r="K60" s="9"/>
      <c r="L60" s="9" t="s">
        <v>512</v>
      </c>
      <c r="M60" s="12" t="s">
        <v>38</v>
      </c>
      <c r="N60" s="13" t="s">
        <v>510</v>
      </c>
      <c r="O60" s="14" t="s">
        <v>50</v>
      </c>
      <c r="P60" s="14" t="s">
        <v>513</v>
      </c>
      <c r="Q60" s="14"/>
      <c r="R60" s="15" t="str">
        <f>HYPERLINK("https://github.com/DecodeGenetics/BamHash","https://github.com/DecodeGenetics/BamHash")</f>
        <v>https://github.com/DecodeGenetics/BamHash</v>
      </c>
      <c r="S60" s="14" t="s">
        <v>514</v>
      </c>
      <c r="T60" s="14"/>
      <c r="U60" s="16"/>
      <c r="V60" s="17" t="s">
        <v>33</v>
      </c>
      <c r="W60" s="17" t="s">
        <v>109</v>
      </c>
      <c r="X60" s="18" t="s">
        <v>515</v>
      </c>
      <c r="Y60" s="19" t="b">
        <v>1</v>
      </c>
      <c r="Z60" s="20"/>
      <c r="AA60" s="20"/>
      <c r="AB60" s="20"/>
    </row>
    <row r="61" ht="15.75" customHeight="1">
      <c r="A61" s="9" t="s">
        <v>516</v>
      </c>
      <c r="B61" s="9" t="s">
        <v>517</v>
      </c>
      <c r="C61" s="9" t="s">
        <v>48</v>
      </c>
      <c r="D61" s="10" t="s">
        <v>518</v>
      </c>
      <c r="E61" s="9" t="s">
        <v>50</v>
      </c>
      <c r="F61" s="9" t="s">
        <v>519</v>
      </c>
      <c r="G61" s="9"/>
      <c r="H61" s="11" t="str">
        <f>HYPERLINK("https://galaxy.bi.uni-freiburg.de/tool_runner?tool_id=toolshed.g2.bx.psu.edu%2Frepos%2Fiuc%2Ftranstermhp%2Ftranstermhp%2F2.09.1","https://galaxy.bi.uni-freiburg.de/tool_runner?tool_id=toolshed.g2.bx.psu.edu%2Frepos%2Fiuc%2Ftranstermhp%2Ftranstermhp%2F2.09.1")</f>
        <v>https://galaxy.bi.uni-freiburg.de/tool_runner?tool_id=toolshed.g2.bx.psu.edu%2Frepos%2Fiuc%2Ftranstermhp%2Ftranstermhp%2F2.09.1</v>
      </c>
      <c r="I61" s="9"/>
      <c r="J61" s="9"/>
      <c r="K61" s="9"/>
      <c r="L61" s="9" t="s">
        <v>520</v>
      </c>
      <c r="M61" s="12" t="s">
        <v>53</v>
      </c>
      <c r="N61" s="13" t="s">
        <v>518</v>
      </c>
      <c r="O61" s="14" t="s">
        <v>50</v>
      </c>
      <c r="P61" s="14" t="s">
        <v>521</v>
      </c>
      <c r="Q61" s="14"/>
      <c r="R61" s="15" t="str">
        <f>HYPERLINK("http://transterm.cbcb.umd.edu/index.php","http://transterm.cbcb.umd.edu/index.php")</f>
        <v>http://transterm.cbcb.umd.edu/index.php</v>
      </c>
      <c r="S61" s="14"/>
      <c r="T61" s="14"/>
      <c r="U61" s="16" t="s">
        <v>333</v>
      </c>
      <c r="V61" s="17" t="s">
        <v>33</v>
      </c>
      <c r="W61" s="17" t="s">
        <v>34</v>
      </c>
      <c r="X61" s="18" t="s">
        <v>522</v>
      </c>
      <c r="Y61" s="19" t="b">
        <v>0</v>
      </c>
      <c r="Z61" s="20"/>
      <c r="AA61" s="20"/>
      <c r="AB61" s="20"/>
    </row>
    <row r="62" ht="15.75" customHeight="1">
      <c r="A62" s="9" t="s">
        <v>523</v>
      </c>
      <c r="B62" s="9" t="s">
        <v>524</v>
      </c>
      <c r="C62" s="9" t="s">
        <v>53</v>
      </c>
      <c r="D62" s="10" t="s">
        <v>525</v>
      </c>
      <c r="E62" s="9" t="s">
        <v>50</v>
      </c>
      <c r="F62" s="9" t="s">
        <v>526</v>
      </c>
      <c r="G62" s="11" t="str">
        <f t="shared" ref="G62:H62" si="20">HYPERLINK("https://github.com/paulsengroup/MoDLE","https://github.com/paulsengroup/MoDLE")</f>
        <v>https://github.com/paulsengroup/MoDLE</v>
      </c>
      <c r="H62" s="11" t="str">
        <f t="shared" si="20"/>
        <v>https://github.com/paulsengroup/MoDLE</v>
      </c>
      <c r="I62" s="9"/>
      <c r="J62" s="9"/>
      <c r="K62" s="9" t="s">
        <v>66</v>
      </c>
      <c r="L62" s="9" t="s">
        <v>527</v>
      </c>
      <c r="M62" s="12" t="s">
        <v>38</v>
      </c>
      <c r="N62" s="13" t="s">
        <v>525</v>
      </c>
      <c r="O62" s="14" t="s">
        <v>50</v>
      </c>
      <c r="P62" s="14" t="s">
        <v>528</v>
      </c>
      <c r="Q62" s="14"/>
      <c r="R62" s="15" t="str">
        <f>HYPERLINK("http://github.com/paulsengroup/modle","http://github.com/paulsengroup/modle")</f>
        <v>http://github.com/paulsengroup/modle</v>
      </c>
      <c r="S62" s="14" t="s">
        <v>529</v>
      </c>
      <c r="T62" s="14"/>
      <c r="U62" s="16"/>
      <c r="V62" s="17" t="s">
        <v>33</v>
      </c>
      <c r="W62" s="17" t="s">
        <v>34</v>
      </c>
      <c r="X62" s="18" t="s">
        <v>530</v>
      </c>
      <c r="Y62" s="19" t="b">
        <v>0</v>
      </c>
      <c r="Z62" s="20"/>
      <c r="AA62" s="20"/>
      <c r="AB62" s="20"/>
    </row>
    <row r="63" ht="15.75" customHeight="1">
      <c r="A63" s="9" t="s">
        <v>531</v>
      </c>
      <c r="B63" s="9" t="s">
        <v>532</v>
      </c>
      <c r="C63" s="9" t="s">
        <v>53</v>
      </c>
      <c r="D63" s="10" t="s">
        <v>533</v>
      </c>
      <c r="E63" s="9" t="s">
        <v>50</v>
      </c>
      <c r="F63" s="9" t="s">
        <v>534</v>
      </c>
      <c r="G63" s="9"/>
      <c r="H63" s="11" t="str">
        <f>HYPERLINK("http://www.netlab.uky.edu/p/bioinfo/MapSplice2","http://www.netlab.uky.edu/p/bioinfo/MapSplice2")</f>
        <v>http://www.netlab.uky.edu/p/bioinfo/MapSplice2</v>
      </c>
      <c r="I63" s="9"/>
      <c r="J63" s="9"/>
      <c r="K63" s="9" t="s">
        <v>535</v>
      </c>
      <c r="L63" s="9" t="s">
        <v>536</v>
      </c>
      <c r="M63" s="12" t="s">
        <v>38</v>
      </c>
      <c r="N63" s="13" t="s">
        <v>533</v>
      </c>
      <c r="O63" s="14" t="s">
        <v>50</v>
      </c>
      <c r="P63" s="14" t="s">
        <v>537</v>
      </c>
      <c r="Q63" s="14"/>
      <c r="R63" s="15" t="str">
        <f>HYPERLINK("http://www.netlab.uky.edu/p/bioinfo/MapSplice","http://www.netlab.uky.edu/p/bioinfo/MapSplice")</f>
        <v>http://www.netlab.uky.edu/p/bioinfo/MapSplice</v>
      </c>
      <c r="S63" s="14" t="s">
        <v>538</v>
      </c>
      <c r="T63" s="14"/>
      <c r="U63" s="16"/>
      <c r="V63" s="17" t="s">
        <v>33</v>
      </c>
      <c r="W63" s="17" t="s">
        <v>109</v>
      </c>
      <c r="X63" s="18" t="s">
        <v>539</v>
      </c>
      <c r="Y63" s="19" t="b">
        <v>1</v>
      </c>
      <c r="Z63" s="20"/>
      <c r="AA63" s="20"/>
      <c r="AB63" s="20"/>
    </row>
    <row r="64" ht="15.75" customHeight="1">
      <c r="A64" s="9" t="s">
        <v>540</v>
      </c>
      <c r="B64" s="9" t="s">
        <v>541</v>
      </c>
      <c r="C64" s="9" t="s">
        <v>53</v>
      </c>
      <c r="D64" s="10" t="s">
        <v>542</v>
      </c>
      <c r="E64" s="9" t="s">
        <v>50</v>
      </c>
      <c r="F64" s="9" t="s">
        <v>543</v>
      </c>
      <c r="G64" s="9"/>
      <c r="H64" s="11" t="str">
        <f>HYPERLINK("http://www.seqan.de/projects/razers/","http://www.seqan.de/projects/razers/")</f>
        <v>http://www.seqan.de/projects/razers/</v>
      </c>
      <c r="I64" s="9"/>
      <c r="J64" s="9"/>
      <c r="K64" s="9" t="s">
        <v>55</v>
      </c>
      <c r="L64" s="9" t="s">
        <v>544</v>
      </c>
      <c r="M64" s="12" t="s">
        <v>38</v>
      </c>
      <c r="N64" s="13" t="s">
        <v>542</v>
      </c>
      <c r="O64" s="14" t="s">
        <v>50</v>
      </c>
      <c r="P64" s="14" t="s">
        <v>545</v>
      </c>
      <c r="Q64" s="14"/>
      <c r="R64" s="15" t="str">
        <f>HYPERLINK("https://github.com/seqan/seqan/tree/master/apps/razers3","https://github.com/seqan/seqan/tree/master/apps/razers3")</f>
        <v>https://github.com/seqan/seqan/tree/master/apps/razers3</v>
      </c>
      <c r="S64" s="14"/>
      <c r="T64" s="14"/>
      <c r="U64" s="16"/>
      <c r="V64" s="17" t="s">
        <v>33</v>
      </c>
      <c r="W64" s="17" t="s">
        <v>34</v>
      </c>
      <c r="X64" s="18" t="s">
        <v>546</v>
      </c>
      <c r="Y64" s="19" t="b">
        <v>0</v>
      </c>
      <c r="Z64" s="20"/>
      <c r="AA64" s="20"/>
      <c r="AB64" s="20"/>
    </row>
    <row r="65" ht="15.75" customHeight="1">
      <c r="A65" s="9" t="s">
        <v>547</v>
      </c>
      <c r="B65" s="9" t="s">
        <v>548</v>
      </c>
      <c r="C65" s="9" t="s">
        <v>53</v>
      </c>
      <c r="D65" s="10" t="s">
        <v>549</v>
      </c>
      <c r="E65" s="9" t="s">
        <v>50</v>
      </c>
      <c r="F65" s="9" t="s">
        <v>550</v>
      </c>
      <c r="G65" s="9"/>
      <c r="H65" s="11" t="str">
        <f>HYPERLINK("http://www.genomic.ch/edena.php","http://www.genomic.ch/edena.php")</f>
        <v>http://www.genomic.ch/edena.php</v>
      </c>
      <c r="I65" s="9"/>
      <c r="J65" s="9"/>
      <c r="K65" s="9" t="s">
        <v>55</v>
      </c>
      <c r="L65" s="9" t="s">
        <v>551</v>
      </c>
      <c r="M65" s="12" t="s">
        <v>38</v>
      </c>
      <c r="N65" s="13" t="s">
        <v>549</v>
      </c>
      <c r="O65" s="14" t="s">
        <v>50</v>
      </c>
      <c r="P65" s="14" t="s">
        <v>552</v>
      </c>
      <c r="Q65" s="14"/>
      <c r="R65" s="15" t="str">
        <f>HYPERLINK("http://www.genomic.ch/edena","http://www.genomic.ch/edena")</f>
        <v>http://www.genomic.ch/edena</v>
      </c>
      <c r="S65" s="14" t="s">
        <v>553</v>
      </c>
      <c r="T65" s="14"/>
      <c r="U65" s="16"/>
      <c r="V65" s="17" t="s">
        <v>33</v>
      </c>
      <c r="W65" s="17" t="s">
        <v>109</v>
      </c>
      <c r="X65" s="18" t="s">
        <v>554</v>
      </c>
      <c r="Y65" s="19" t="b">
        <v>1</v>
      </c>
      <c r="Z65" s="20"/>
      <c r="AA65" s="20"/>
      <c r="AB65" s="20"/>
    </row>
    <row r="66" ht="15.75" customHeight="1">
      <c r="A66" s="9" t="s">
        <v>555</v>
      </c>
      <c r="B66" s="9" t="s">
        <v>556</v>
      </c>
      <c r="C66" s="9" t="s">
        <v>53</v>
      </c>
      <c r="D66" s="10" t="s">
        <v>557</v>
      </c>
      <c r="E66" s="9" t="s">
        <v>50</v>
      </c>
      <c r="F66" s="9" t="s">
        <v>558</v>
      </c>
      <c r="G66" s="11" t="str">
        <f>HYPERLINK("https://github.com/biocore/sortmerna","https://github.com/biocore/sortmerna")</f>
        <v>https://github.com/biocore/sortmerna</v>
      </c>
      <c r="H66" s="11" t="str">
        <f>HYPERLINK("http://bioinfo.lifl.fr/RNA/sortmerna","http://bioinfo.lifl.fr/RNA/sortmerna")</f>
        <v>http://bioinfo.lifl.fr/RNA/sortmerna</v>
      </c>
      <c r="I66" s="9"/>
      <c r="J66" s="9"/>
      <c r="K66" s="9" t="s">
        <v>559</v>
      </c>
      <c r="L66" s="9" t="s">
        <v>560</v>
      </c>
      <c r="M66" s="12" t="s">
        <v>38</v>
      </c>
      <c r="N66" s="13" t="s">
        <v>557</v>
      </c>
      <c r="O66" s="14" t="s">
        <v>50</v>
      </c>
      <c r="P66" s="14" t="s">
        <v>561</v>
      </c>
      <c r="Q66" s="14"/>
      <c r="R66" s="15" t="str">
        <f>HYPERLINK("https://bioinfo.cristal.univ-lille.fr/RNA/sortmerna/","https://bioinfo.cristal.univ-lille.fr/RNA/sortmerna/")</f>
        <v>https://bioinfo.cristal.univ-lille.fr/RNA/sortmerna/</v>
      </c>
      <c r="S66" s="14"/>
      <c r="T66" s="14"/>
      <c r="U66" s="16"/>
      <c r="V66" s="17" t="s">
        <v>33</v>
      </c>
      <c r="W66" s="17" t="s">
        <v>109</v>
      </c>
      <c r="X66" s="18" t="s">
        <v>562</v>
      </c>
      <c r="Y66" s="19" t="b">
        <v>1</v>
      </c>
      <c r="Z66" s="20"/>
      <c r="AA66" s="20"/>
      <c r="AB66" s="20"/>
    </row>
    <row r="67" ht="15.75" customHeight="1">
      <c r="A67" s="9" t="s">
        <v>563</v>
      </c>
      <c r="B67" s="9" t="s">
        <v>564</v>
      </c>
      <c r="C67" s="9" t="s">
        <v>48</v>
      </c>
      <c r="D67" s="10" t="s">
        <v>565</v>
      </c>
      <c r="E67" s="9" t="s">
        <v>50</v>
      </c>
      <c r="F67" s="9" t="s">
        <v>566</v>
      </c>
      <c r="G67" s="9"/>
      <c r="H67" s="11" t="str">
        <f>HYPERLINK("https://galaxy.bi.uni-freiburg.de/tool_runner?tool_id=toolshed.g2.bx.psu.edu%2Frepos%2Fdevteam%2Fgffread%2Fgffread%2F2.2.1.1","https://galaxy.bi.uni-freiburg.de/tool_runner?tool_id=toolshed.g2.bx.psu.edu%2Frepos%2Fdevteam%2Fgffread%2Fgffread%2F2.2.1.1")</f>
        <v>https://galaxy.bi.uni-freiburg.de/tool_runner?tool_id=toolshed.g2.bx.psu.edu%2Frepos%2Fdevteam%2Fgffread%2Fgffread%2F2.2.1.1</v>
      </c>
      <c r="I67" s="9"/>
      <c r="J67" s="9"/>
      <c r="K67" s="9"/>
      <c r="L67" s="9" t="s">
        <v>567</v>
      </c>
      <c r="M67" s="12" t="s">
        <v>53</v>
      </c>
      <c r="N67" s="13" t="s">
        <v>565</v>
      </c>
      <c r="O67" s="14" t="s">
        <v>50</v>
      </c>
      <c r="P67" s="14" t="s">
        <v>568</v>
      </c>
      <c r="Q67" s="15" t="str">
        <f>HYPERLINK("https://github.com/gpertea/gffread","https://github.com/gpertea/gffread")</f>
        <v>https://github.com/gpertea/gffread</v>
      </c>
      <c r="R67" s="15" t="str">
        <f>HYPERLINK("http://ccb.jhu.edu/software/stringtie/gff.shtml","http://ccb.jhu.edu/software/stringtie/gff.shtml")</f>
        <v>http://ccb.jhu.edu/software/stringtie/gff.shtml</v>
      </c>
      <c r="S67" s="14"/>
      <c r="T67" s="14"/>
      <c r="U67" s="16" t="s">
        <v>66</v>
      </c>
      <c r="V67" s="17" t="s">
        <v>187</v>
      </c>
      <c r="W67" s="17" t="s">
        <v>56</v>
      </c>
      <c r="X67" s="18" t="s">
        <v>569</v>
      </c>
      <c r="Y67" s="19" t="b">
        <v>0</v>
      </c>
      <c r="Z67" s="20"/>
      <c r="AA67" s="20"/>
      <c r="AB67" s="20"/>
    </row>
    <row r="68" ht="15.75" customHeight="1">
      <c r="A68" s="9" t="s">
        <v>570</v>
      </c>
      <c r="B68" s="9" t="s">
        <v>571</v>
      </c>
      <c r="C68" s="9" t="s">
        <v>38</v>
      </c>
      <c r="D68" s="10" t="s">
        <v>572</v>
      </c>
      <c r="E68" s="9" t="s">
        <v>573</v>
      </c>
      <c r="F68" s="9" t="s">
        <v>574</v>
      </c>
      <c r="G68" s="9"/>
      <c r="H68" s="11" t="str">
        <f>HYPERLINK("https://agotool.sund.ku.dk/","https://agotool.sund.ku.dk/")</f>
        <v>https://agotool.sund.ku.dk/</v>
      </c>
      <c r="I68" s="9" t="s">
        <v>575</v>
      </c>
      <c r="J68" s="9"/>
      <c r="K68" s="9"/>
      <c r="L68" s="9" t="s">
        <v>576</v>
      </c>
      <c r="M68" s="12" t="s">
        <v>38</v>
      </c>
      <c r="N68" s="13" t="s">
        <v>572</v>
      </c>
      <c r="O68" s="14" t="s">
        <v>573</v>
      </c>
      <c r="P68" s="14" t="s">
        <v>577</v>
      </c>
      <c r="Q68" s="14"/>
      <c r="R68" s="15" t="str">
        <f>HYPERLINK("https://agotool.org/","https://agotool.org/")</f>
        <v>https://agotool.org/</v>
      </c>
      <c r="S68" s="14" t="s">
        <v>578</v>
      </c>
      <c r="T68" s="14"/>
      <c r="U68" s="16"/>
      <c r="V68" s="17" t="s">
        <v>33</v>
      </c>
      <c r="W68" s="17" t="s">
        <v>56</v>
      </c>
      <c r="X68" s="18" t="s">
        <v>579</v>
      </c>
      <c r="Y68" s="19" t="b">
        <v>0</v>
      </c>
      <c r="Z68" s="20"/>
      <c r="AA68" s="20"/>
      <c r="AB68" s="20"/>
    </row>
    <row r="69" ht="15.75" customHeight="1">
      <c r="A69" s="9" t="s">
        <v>580</v>
      </c>
      <c r="B69" s="9" t="s">
        <v>581</v>
      </c>
      <c r="C69" s="9" t="s">
        <v>48</v>
      </c>
      <c r="D69" s="10" t="s">
        <v>582</v>
      </c>
      <c r="E69" s="9" t="s">
        <v>50</v>
      </c>
      <c r="F69" s="9" t="s">
        <v>583</v>
      </c>
      <c r="G69" s="9"/>
      <c r="H69" s="11" t="str">
        <f>HYPERLINK("https://galaxy.bi.uni-freiburg.de/tool_runner?tool_id=toolshed.g2.bx.psu.edu%2Frepos%2Fiuc%2Fstringtie%2Fstringtie%2F1.3.3.1","https://galaxy.bi.uni-freiburg.de/tool_runner?tool_id=toolshed.g2.bx.psu.edu%2Frepos%2Fiuc%2Fstringtie%2Fstringtie%2F1.3.3.1")</f>
        <v>https://galaxy.bi.uni-freiburg.de/tool_runner?tool_id=toolshed.g2.bx.psu.edu%2Frepos%2Fiuc%2Fstringtie%2Fstringtie%2F1.3.3.1</v>
      </c>
      <c r="I69" s="9"/>
      <c r="J69" s="9"/>
      <c r="K69" s="9"/>
      <c r="L69" s="9" t="s">
        <v>584</v>
      </c>
      <c r="M69" s="12" t="s">
        <v>53</v>
      </c>
      <c r="N69" s="13" t="s">
        <v>582</v>
      </c>
      <c r="O69" s="14" t="s">
        <v>50</v>
      </c>
      <c r="P69" s="14" t="s">
        <v>585</v>
      </c>
      <c r="Q69" s="15" t="str">
        <f>HYPERLINK("https://github.com/gpertea/stringtie","https://github.com/gpertea/stringtie")</f>
        <v>https://github.com/gpertea/stringtie</v>
      </c>
      <c r="R69" s="15" t="str">
        <f>HYPERLINK("https://ccb.jhu.edu/software/stringtie/","https://ccb.jhu.edu/software/stringtie/")</f>
        <v>https://ccb.jhu.edu/software/stringtie/</v>
      </c>
      <c r="S69" s="14"/>
      <c r="T69" s="14"/>
      <c r="U69" s="16" t="s">
        <v>66</v>
      </c>
      <c r="V69" s="17" t="s">
        <v>33</v>
      </c>
      <c r="W69" s="17" t="s">
        <v>34</v>
      </c>
      <c r="X69" s="18" t="s">
        <v>586</v>
      </c>
      <c r="Y69" s="19" t="b">
        <v>0</v>
      </c>
      <c r="Z69" s="20"/>
      <c r="AA69" s="20"/>
      <c r="AB69" s="20"/>
    </row>
    <row r="70" ht="15.75" customHeight="1">
      <c r="A70" s="9" t="s">
        <v>587</v>
      </c>
      <c r="B70" s="9" t="s">
        <v>588</v>
      </c>
      <c r="C70" s="9" t="s">
        <v>53</v>
      </c>
      <c r="D70" s="10" t="s">
        <v>589</v>
      </c>
      <c r="E70" s="9" t="s">
        <v>50</v>
      </c>
      <c r="F70" s="9" t="s">
        <v>590</v>
      </c>
      <c r="G70" s="9"/>
      <c r="H70" s="11" t="str">
        <f>HYPERLINK("http://www.thegpm.org/TANDEM/index.html","http://www.thegpm.org/TANDEM/index.html")</f>
        <v>http://www.thegpm.org/TANDEM/index.html</v>
      </c>
      <c r="I70" s="9"/>
      <c r="J70" s="9"/>
      <c r="K70" s="9" t="s">
        <v>591</v>
      </c>
      <c r="L70" s="9" t="s">
        <v>592</v>
      </c>
      <c r="M70" s="12" t="s">
        <v>38</v>
      </c>
      <c r="N70" s="13" t="s">
        <v>589</v>
      </c>
      <c r="O70" s="14" t="s">
        <v>50</v>
      </c>
      <c r="P70" s="14" t="s">
        <v>593</v>
      </c>
      <c r="Q70" s="14"/>
      <c r="R70" s="15" t="str">
        <f>HYPERLINK("http://www.thegpm.org/TANDEM/","http://www.thegpm.org/TANDEM/")</f>
        <v>http://www.thegpm.org/TANDEM/</v>
      </c>
      <c r="S70" s="14" t="s">
        <v>594</v>
      </c>
      <c r="T70" s="14"/>
      <c r="U70" s="16"/>
      <c r="V70" s="17" t="s">
        <v>33</v>
      </c>
      <c r="W70" s="17" t="s">
        <v>34</v>
      </c>
      <c r="X70" s="18" t="s">
        <v>595</v>
      </c>
      <c r="Y70" s="19" t="b">
        <v>0</v>
      </c>
      <c r="Z70" s="20"/>
      <c r="AA70" s="20"/>
      <c r="AB70" s="20"/>
    </row>
    <row r="71" ht="15.75" customHeight="1">
      <c r="A71" s="9" t="s">
        <v>596</v>
      </c>
      <c r="B71" s="9" t="s">
        <v>597</v>
      </c>
      <c r="C71" s="9" t="s">
        <v>48</v>
      </c>
      <c r="D71" s="10" t="s">
        <v>598</v>
      </c>
      <c r="E71" s="9" t="s">
        <v>50</v>
      </c>
      <c r="F71" s="9" t="s">
        <v>599</v>
      </c>
      <c r="G71" s="9"/>
      <c r="H71" s="11" t="str">
        <f>HYPERLINK("https://galaxy.bi.uni-freiburg.de/tool_runner?tool_id=toolshed.g2.bx.psu.edu%2Frepos%2Fiuc%2Fhisat2%2Fhisat2%2F2.1.0","https://galaxy.bi.uni-freiburg.de/tool_runner?tool_id=toolshed.g2.bx.psu.edu%2Frepos%2Fiuc%2Fhisat2%2Fhisat2%2F2.1.0")</f>
        <v>https://galaxy.bi.uni-freiburg.de/tool_runner?tool_id=toolshed.g2.bx.psu.edu%2Frepos%2Fiuc%2Fhisat2%2Fhisat2%2F2.1.0</v>
      </c>
      <c r="I71" s="9"/>
      <c r="J71" s="9"/>
      <c r="K71" s="9"/>
      <c r="L71" s="9" t="s">
        <v>600</v>
      </c>
      <c r="M71" s="12" t="s">
        <v>53</v>
      </c>
      <c r="N71" s="13" t="s">
        <v>598</v>
      </c>
      <c r="O71" s="14" t="s">
        <v>50</v>
      </c>
      <c r="P71" s="14" t="s">
        <v>601</v>
      </c>
      <c r="Q71" s="15" t="str">
        <f>HYPERLINK("https://github.com/DaehwanKimLab/hisat2","https://github.com/DaehwanKimLab/hisat2")</f>
        <v>https://github.com/DaehwanKimLab/hisat2</v>
      </c>
      <c r="R71" s="15" t="str">
        <f>HYPERLINK("http://daehwankimlab.github.io/hisat2","http://daehwankimlab.github.io/hisat2")</f>
        <v>http://daehwankimlab.github.io/hisat2</v>
      </c>
      <c r="S71" s="14"/>
      <c r="T71" s="14"/>
      <c r="U71" s="16" t="s">
        <v>55</v>
      </c>
      <c r="V71" s="17" t="s">
        <v>33</v>
      </c>
      <c r="W71" s="17" t="s">
        <v>109</v>
      </c>
      <c r="X71" s="18" t="s">
        <v>602</v>
      </c>
      <c r="Y71" s="19" t="b">
        <v>1</v>
      </c>
      <c r="Z71" s="20"/>
      <c r="AA71" s="20"/>
      <c r="AB71" s="20"/>
    </row>
    <row r="72" ht="15.75" customHeight="1">
      <c r="A72" s="9" t="s">
        <v>603</v>
      </c>
      <c r="B72" s="9" t="s">
        <v>604</v>
      </c>
      <c r="C72" s="9" t="s">
        <v>53</v>
      </c>
      <c r="D72" s="10" t="s">
        <v>605</v>
      </c>
      <c r="E72" s="9" t="s">
        <v>50</v>
      </c>
      <c r="F72" s="9" t="s">
        <v>606</v>
      </c>
      <c r="G72" s="11" t="str">
        <f t="shared" ref="G72:H72" si="21">HYPERLINK("https://github.com/segatalab/export2graphlan","https://github.com/segatalab/export2graphlan")</f>
        <v>https://github.com/segatalab/export2graphlan</v>
      </c>
      <c r="H72" s="11" t="str">
        <f t="shared" si="21"/>
        <v>https://github.com/segatalab/export2graphlan</v>
      </c>
      <c r="I72" s="9"/>
      <c r="J72" s="9"/>
      <c r="K72" s="9" t="s">
        <v>66</v>
      </c>
      <c r="L72" s="9" t="s">
        <v>607</v>
      </c>
      <c r="M72" s="12" t="s">
        <v>48</v>
      </c>
      <c r="N72" s="13" t="s">
        <v>605</v>
      </c>
      <c r="O72" s="14" t="s">
        <v>50</v>
      </c>
      <c r="P72" s="14"/>
      <c r="Q72" s="14"/>
      <c r="R72" s="15" t="str">
        <f>HYPERLINK("https://galaxy.bi.uni-freiburg.de/tool_runner?tool_id=toolshed.g2.bx.psu.edu%2Frepos%2Fiuc%2Fexport2graphlan%2Fexport2graphlan%2F0.19","https://galaxy.bi.uni-freiburg.de/tool_runner?tool_id=toolshed.g2.bx.psu.edu%2Frepos%2Fiuc%2Fexport2graphlan%2Fexport2graphlan%2F0.19")</f>
        <v>https://galaxy.bi.uni-freiburg.de/tool_runner?tool_id=toolshed.g2.bx.psu.edu%2Frepos%2Fiuc%2Fexport2graphlan%2Fexport2graphlan%2F0.19</v>
      </c>
      <c r="S72" s="14"/>
      <c r="T72" s="14"/>
      <c r="U72" s="16"/>
      <c r="V72" s="17" t="s">
        <v>33</v>
      </c>
      <c r="W72" s="17" t="s">
        <v>56</v>
      </c>
      <c r="X72" s="18" t="s">
        <v>608</v>
      </c>
      <c r="Y72" s="19" t="b">
        <v>0</v>
      </c>
      <c r="Z72" s="20"/>
      <c r="AA72" s="20"/>
      <c r="AB72" s="20"/>
    </row>
    <row r="73" ht="15.75" customHeight="1">
      <c r="A73" s="9" t="s">
        <v>609</v>
      </c>
      <c r="B73" s="9" t="s">
        <v>610</v>
      </c>
      <c r="C73" s="9" t="s">
        <v>38</v>
      </c>
      <c r="D73" s="10" t="s">
        <v>611</v>
      </c>
      <c r="E73" s="9" t="s">
        <v>50</v>
      </c>
      <c r="F73" s="9" t="s">
        <v>612</v>
      </c>
      <c r="G73" s="9"/>
      <c r="H73" s="11" t="str">
        <f>HYPERLINK("http://pfp.technion.ac.il/index.html","http://pfp.technion.ac.il/index.html")</f>
        <v>http://pfp.technion.ac.il/index.html</v>
      </c>
      <c r="I73" s="9" t="s">
        <v>613</v>
      </c>
      <c r="J73" s="9"/>
      <c r="K73" s="9"/>
      <c r="L73" s="9" t="s">
        <v>614</v>
      </c>
      <c r="M73" s="12" t="s">
        <v>53</v>
      </c>
      <c r="N73" s="13" t="s">
        <v>611</v>
      </c>
      <c r="O73" s="14" t="s">
        <v>50</v>
      </c>
      <c r="P73" s="14" t="s">
        <v>615</v>
      </c>
      <c r="Q73" s="15" t="str">
        <f t="shared" ref="Q73:R73" si="22">HYPERLINK("https://github.com/marco-oliva/pfp","https://github.com/marco-oliva/pfp")</f>
        <v>https://github.com/marco-oliva/pfp</v>
      </c>
      <c r="R73" s="15" t="str">
        <f t="shared" si="22"/>
        <v>https://github.com/marco-oliva/pfp</v>
      </c>
      <c r="S73" s="14"/>
      <c r="T73" s="14"/>
      <c r="U73" s="16" t="s">
        <v>66</v>
      </c>
      <c r="V73" s="17" t="s">
        <v>187</v>
      </c>
      <c r="W73" s="17" t="s">
        <v>56</v>
      </c>
      <c r="X73" s="18" t="s">
        <v>616</v>
      </c>
      <c r="Y73" s="19" t="b">
        <v>0</v>
      </c>
      <c r="Z73" s="20"/>
      <c r="AA73" s="20"/>
      <c r="AB73" s="20"/>
    </row>
    <row r="74" ht="15.75" customHeight="1">
      <c r="A74" s="9" t="s">
        <v>617</v>
      </c>
      <c r="B74" s="9" t="s">
        <v>618</v>
      </c>
      <c r="C74" s="9" t="s">
        <v>48</v>
      </c>
      <c r="D74" s="10" t="s">
        <v>619</v>
      </c>
      <c r="E74" s="9" t="s">
        <v>50</v>
      </c>
      <c r="F74" s="9" t="s">
        <v>620</v>
      </c>
      <c r="G74" s="9"/>
      <c r="H74" s="11" t="str">
        <f>HYPERLINK("https://galaxy.bi.uni-freiburg.de/tool_runner?tool_id=toolshed.g2.bx.psu.edu%2Frepos%2Fgalaxyp%2Fhardklor%2Fhardklor%2F2.30.1","https://galaxy.bi.uni-freiburg.de/tool_runner?tool_id=toolshed.g2.bx.psu.edu%2Frepos%2Fgalaxyp%2Fhardklor%2Fhardklor%2F2.30.1")</f>
        <v>https://galaxy.bi.uni-freiburg.de/tool_runner?tool_id=toolshed.g2.bx.psu.edu%2Frepos%2Fgalaxyp%2Fhardklor%2Fhardklor%2F2.30.1</v>
      </c>
      <c r="I74" s="9"/>
      <c r="J74" s="9"/>
      <c r="K74" s="9"/>
      <c r="L74" s="9" t="s">
        <v>621</v>
      </c>
      <c r="M74" s="12" t="s">
        <v>53</v>
      </c>
      <c r="N74" s="13" t="s">
        <v>619</v>
      </c>
      <c r="O74" s="14" t="s">
        <v>50</v>
      </c>
      <c r="P74" s="14" t="s">
        <v>622</v>
      </c>
      <c r="Q74" s="15" t="str">
        <f t="shared" ref="Q74:R74" si="23">HYPERLINK("https://github.com/mhoopmann/hardklor","https://github.com/mhoopmann/hardklor")</f>
        <v>https://github.com/mhoopmann/hardklor</v>
      </c>
      <c r="R74" s="15" t="str">
        <f t="shared" si="23"/>
        <v>https://github.com/mhoopmann/hardklor</v>
      </c>
      <c r="S74" s="14"/>
      <c r="T74" s="14"/>
      <c r="U74" s="16" t="s">
        <v>126</v>
      </c>
      <c r="V74" s="17" t="s">
        <v>33</v>
      </c>
      <c r="W74" s="17" t="s">
        <v>109</v>
      </c>
      <c r="X74" s="18" t="s">
        <v>623</v>
      </c>
      <c r="Y74" s="19" t="b">
        <v>1</v>
      </c>
      <c r="Z74" s="20"/>
      <c r="AA74" s="20"/>
      <c r="AB74" s="20"/>
    </row>
    <row r="75" ht="15.75" customHeight="1">
      <c r="A75" s="9" t="s">
        <v>624</v>
      </c>
      <c r="B75" s="9" t="s">
        <v>625</v>
      </c>
      <c r="C75" s="9" t="s">
        <v>48</v>
      </c>
      <c r="D75" s="10" t="s">
        <v>626</v>
      </c>
      <c r="E75" s="9" t="s">
        <v>50</v>
      </c>
      <c r="F75" s="9" t="s">
        <v>627</v>
      </c>
      <c r="G75" s="9"/>
      <c r="H75" s="11" t="str">
        <f>HYPERLINK("https://galaxy.bi.uni-freiburg.de/tool_runner?tool_id=toolshed.g2.bx.psu.edu%2Frepos%2Fiuc%2Fdeseq2%2Fdeseq2%2F2.11.40.2","https://galaxy.bi.uni-freiburg.de/tool_runner?tool_id=toolshed.g2.bx.psu.edu%2Frepos%2Fiuc%2Fdeseq2%2Fdeseq2%2F2.11.40.2")</f>
        <v>https://galaxy.bi.uni-freiburg.de/tool_runner?tool_id=toolshed.g2.bx.psu.edu%2Frepos%2Fiuc%2Fdeseq2%2Fdeseq2%2F2.11.40.2</v>
      </c>
      <c r="I75" s="9"/>
      <c r="J75" s="9"/>
      <c r="K75" s="9"/>
      <c r="L75" s="9" t="s">
        <v>628</v>
      </c>
      <c r="M75" s="12" t="s">
        <v>53</v>
      </c>
      <c r="N75" s="13" t="s">
        <v>629</v>
      </c>
      <c r="O75" s="14" t="s">
        <v>61</v>
      </c>
      <c r="P75" s="14" t="s">
        <v>630</v>
      </c>
      <c r="Q75" s="14"/>
      <c r="R75" s="15" t="str">
        <f>HYPERLINK("https://bioconductor.org/packages/3.18/bioc/html/DESeq2.html","https://bioconductor.org/packages/3.18/bioc/html/DESeq2.html")</f>
        <v>https://bioconductor.org/packages/3.18/bioc/html/DESeq2.html</v>
      </c>
      <c r="S75" s="14"/>
      <c r="T75" s="14"/>
      <c r="U75" s="16" t="s">
        <v>631</v>
      </c>
      <c r="V75" s="17" t="s">
        <v>33</v>
      </c>
      <c r="W75" s="17" t="s">
        <v>56</v>
      </c>
      <c r="X75" s="18" t="s">
        <v>632</v>
      </c>
      <c r="Y75" s="19" t="b">
        <v>0</v>
      </c>
      <c r="Z75" s="20"/>
      <c r="AA75" s="20"/>
      <c r="AB75" s="20"/>
    </row>
    <row r="76" ht="15.75" customHeight="1">
      <c r="A76" s="9" t="s">
        <v>633</v>
      </c>
      <c r="B76" s="9" t="s">
        <v>634</v>
      </c>
      <c r="C76" s="9" t="s">
        <v>38</v>
      </c>
      <c r="D76" s="10" t="s">
        <v>635</v>
      </c>
      <c r="E76" s="9" t="s">
        <v>50</v>
      </c>
      <c r="F76" s="9" t="s">
        <v>636</v>
      </c>
      <c r="G76" s="9"/>
      <c r="H76" s="11" t="str">
        <f>HYPERLINK("http://smithlabresearch.org/software/preseq/","http://smithlabresearch.org/software/preseq/")</f>
        <v>http://smithlabresearch.org/software/preseq/</v>
      </c>
      <c r="I76" s="9"/>
      <c r="J76" s="9"/>
      <c r="K76" s="9"/>
      <c r="L76" s="9" t="s">
        <v>637</v>
      </c>
      <c r="M76" s="12" t="s">
        <v>53</v>
      </c>
      <c r="N76" s="13" t="s">
        <v>635</v>
      </c>
      <c r="O76" s="14" t="s">
        <v>50</v>
      </c>
      <c r="P76" s="14" t="s">
        <v>638</v>
      </c>
      <c r="Q76" s="15" t="str">
        <f t="shared" ref="Q76:R76" si="24">HYPERLINK("https://github.com/smithlabcode/preseq","https://github.com/smithlabcode/preseq")</f>
        <v>https://github.com/smithlabcode/preseq</v>
      </c>
      <c r="R76" s="15" t="str">
        <f t="shared" si="24"/>
        <v>https://github.com/smithlabcode/preseq</v>
      </c>
      <c r="S76" s="14"/>
      <c r="T76" s="14"/>
      <c r="U76" s="16" t="s">
        <v>639</v>
      </c>
      <c r="V76" s="17" t="s">
        <v>33</v>
      </c>
      <c r="W76" s="17" t="s">
        <v>56</v>
      </c>
      <c r="X76" s="18" t="s">
        <v>640</v>
      </c>
      <c r="Y76" s="19" t="b">
        <v>0</v>
      </c>
      <c r="Z76" s="20"/>
      <c r="AA76" s="20"/>
      <c r="AB76" s="20"/>
    </row>
    <row r="77" ht="15.75" customHeight="1">
      <c r="A77" s="9" t="s">
        <v>641</v>
      </c>
      <c r="B77" s="9" t="s">
        <v>642</v>
      </c>
      <c r="C77" s="9" t="s">
        <v>27</v>
      </c>
      <c r="D77" s="10" t="s">
        <v>643</v>
      </c>
      <c r="E77" s="9"/>
      <c r="F77" s="9"/>
      <c r="G77" s="11" t="str">
        <f>HYPERLINK("https://sourceforge.net/projects/crass","https://sourceforge.net/projects/crass")</f>
        <v>https://sourceforge.net/projects/crass</v>
      </c>
      <c r="H77" s="11" t="str">
        <f>HYPERLINK("http://edwards.sdsu.edu/crass/","http://edwards.sdsu.edu/crass/")</f>
        <v>http://edwards.sdsu.edu/crass/</v>
      </c>
      <c r="I77" s="9"/>
      <c r="J77" s="9"/>
      <c r="K77" s="9"/>
      <c r="L77" s="9" t="s">
        <v>644</v>
      </c>
      <c r="M77" s="12" t="s">
        <v>38</v>
      </c>
      <c r="N77" s="13" t="s">
        <v>645</v>
      </c>
      <c r="O77" s="14" t="s">
        <v>50</v>
      </c>
      <c r="P77" s="14" t="s">
        <v>646</v>
      </c>
      <c r="Q77" s="14"/>
      <c r="R77" s="15" t="str">
        <f>HYPERLINK("https://mummer4.github.io/","https://mummer4.github.io/")</f>
        <v>https://mummer4.github.io/</v>
      </c>
      <c r="S77" s="14" t="s">
        <v>647</v>
      </c>
      <c r="T77" s="14"/>
      <c r="U77" s="16"/>
      <c r="V77" s="17" t="s">
        <v>187</v>
      </c>
      <c r="W77" s="17" t="s">
        <v>56</v>
      </c>
      <c r="X77" s="18" t="s">
        <v>648</v>
      </c>
      <c r="Y77" s="19" t="b">
        <v>0</v>
      </c>
      <c r="Z77" s="20"/>
      <c r="AA77" s="20"/>
      <c r="AB77" s="20"/>
    </row>
    <row r="78" ht="15.75" customHeight="1">
      <c r="A78" s="9" t="s">
        <v>649</v>
      </c>
      <c r="B78" s="9" t="s">
        <v>650</v>
      </c>
      <c r="C78" s="9" t="s">
        <v>38</v>
      </c>
      <c r="D78" s="10" t="s">
        <v>651</v>
      </c>
      <c r="E78" s="9" t="s">
        <v>50</v>
      </c>
      <c r="F78" s="9" t="s">
        <v>652</v>
      </c>
      <c r="G78" s="9"/>
      <c r="H78" s="11" t="str">
        <f>HYPERLINK("https://github.com/ekmolloy/OrientAGraph","https://github.com/ekmolloy/OrientAGraph")</f>
        <v>https://github.com/ekmolloy/OrientAGraph</v>
      </c>
      <c r="I78" s="9" t="s">
        <v>653</v>
      </c>
      <c r="J78" s="9"/>
      <c r="K78" s="9"/>
      <c r="L78" s="9" t="s">
        <v>654</v>
      </c>
      <c r="M78" s="12" t="s">
        <v>53</v>
      </c>
      <c r="N78" s="13" t="s">
        <v>651</v>
      </c>
      <c r="O78" s="14" t="s">
        <v>50</v>
      </c>
      <c r="P78" s="14" t="s">
        <v>655</v>
      </c>
      <c r="Q78" s="15" t="str">
        <f t="shared" ref="Q78:R78" si="25">HYPERLINK("https://github.com/sriramlab/OrientAGraph","https://github.com/sriramlab/OrientAGraph")</f>
        <v>https://github.com/sriramlab/OrientAGraph</v>
      </c>
      <c r="R78" s="15" t="str">
        <f t="shared" si="25"/>
        <v>https://github.com/sriramlab/OrientAGraph</v>
      </c>
      <c r="S78" s="14"/>
      <c r="T78" s="14"/>
      <c r="U78" s="16" t="s">
        <v>55</v>
      </c>
      <c r="V78" s="17" t="s">
        <v>33</v>
      </c>
      <c r="W78" s="17" t="s">
        <v>34</v>
      </c>
      <c r="X78" s="18" t="s">
        <v>656</v>
      </c>
      <c r="Y78" s="19" t="b">
        <v>0</v>
      </c>
      <c r="Z78" s="20"/>
      <c r="AA78" s="20"/>
      <c r="AB78" s="20"/>
    </row>
    <row r="79" ht="15.75" customHeight="1">
      <c r="A79" s="9" t="s">
        <v>657</v>
      </c>
      <c r="B79" s="9" t="s">
        <v>658</v>
      </c>
      <c r="C79" s="9" t="s">
        <v>53</v>
      </c>
      <c r="D79" s="10" t="s">
        <v>659</v>
      </c>
      <c r="E79" s="9" t="s">
        <v>50</v>
      </c>
      <c r="F79" s="9" t="s">
        <v>660</v>
      </c>
      <c r="G79" s="11" t="str">
        <f>HYPERLINK("https://bitbucket.org/wishartlab/biotransformer3.0jar","https://bitbucket.org/wishartlab/biotransformer3.0jar")</f>
        <v>https://bitbucket.org/wishartlab/biotransformer3.0jar</v>
      </c>
      <c r="H79" s="11" t="str">
        <f>HYPERLINK("https://bitbucket.org/wishartlab/biotransformer3.0jar/src","https://bitbucket.org/wishartlab/biotransformer3.0jar/src")</f>
        <v>https://bitbucket.org/wishartlab/biotransformer3.0jar/src</v>
      </c>
      <c r="I79" s="9"/>
      <c r="J79" s="9"/>
      <c r="K79" s="9" t="s">
        <v>55</v>
      </c>
      <c r="L79" s="9" t="s">
        <v>661</v>
      </c>
      <c r="M79" s="12" t="s">
        <v>38</v>
      </c>
      <c r="N79" s="13" t="s">
        <v>659</v>
      </c>
      <c r="O79" s="14" t="s">
        <v>662</v>
      </c>
      <c r="P79" s="14" t="s">
        <v>663</v>
      </c>
      <c r="Q79" s="14"/>
      <c r="R79" s="15" t="str">
        <f>HYPERLINK("https://biotransformer.ca/","https://biotransformer.ca/")</f>
        <v>https://biotransformer.ca/</v>
      </c>
      <c r="S79" s="14" t="s">
        <v>664</v>
      </c>
      <c r="T79" s="14"/>
      <c r="U79" s="16"/>
      <c r="V79" s="17" t="s">
        <v>33</v>
      </c>
      <c r="W79" s="17" t="s">
        <v>34</v>
      </c>
      <c r="X79" s="18" t="s">
        <v>665</v>
      </c>
      <c r="Y79" s="19" t="b">
        <v>0</v>
      </c>
      <c r="Z79" s="20"/>
      <c r="AA79" s="20"/>
      <c r="AB79" s="20"/>
    </row>
    <row r="80" ht="15.75" customHeight="1">
      <c r="A80" s="9" t="s">
        <v>666</v>
      </c>
      <c r="B80" s="9" t="s">
        <v>667</v>
      </c>
      <c r="C80" s="9" t="s">
        <v>38</v>
      </c>
      <c r="D80" s="10" t="s">
        <v>668</v>
      </c>
      <c r="E80" s="9" t="s">
        <v>50</v>
      </c>
      <c r="F80" s="9" t="s">
        <v>669</v>
      </c>
      <c r="G80" s="9"/>
      <c r="H80" s="11" t="str">
        <f>HYPERLINK("https://pypi.org/project/ODAMNet/","https://pypi.org/project/ODAMNet/")</f>
        <v>https://pypi.org/project/ODAMNet/</v>
      </c>
      <c r="I80" s="9" t="s">
        <v>670</v>
      </c>
      <c r="J80" s="9"/>
      <c r="K80" s="9"/>
      <c r="L80" s="9" t="s">
        <v>671</v>
      </c>
      <c r="M80" s="12" t="s">
        <v>53</v>
      </c>
      <c r="N80" s="13" t="s">
        <v>668</v>
      </c>
      <c r="O80" s="14" t="s">
        <v>50</v>
      </c>
      <c r="P80" s="14" t="s">
        <v>672</v>
      </c>
      <c r="Q80" s="15" t="str">
        <f>HYPERLINK("https://github.com/MOohTus/ODAMNet","https://github.com/MOohTus/ODAMNet")</f>
        <v>https://github.com/MOohTus/ODAMNet</v>
      </c>
      <c r="R80" s="15" t="str">
        <f>HYPERLINK("https://pypi.org/project/ODAMNet/1.1.0/","https://pypi.org/project/ODAMNet/1.1.0/")</f>
        <v>https://pypi.org/project/ODAMNet/1.1.0/</v>
      </c>
      <c r="S80" s="14"/>
      <c r="T80" s="14"/>
      <c r="U80" s="16" t="s">
        <v>66</v>
      </c>
      <c r="V80" s="17" t="s">
        <v>33</v>
      </c>
      <c r="W80" s="17" t="s">
        <v>34</v>
      </c>
      <c r="X80" s="18" t="s">
        <v>673</v>
      </c>
      <c r="Y80" s="19" t="b">
        <v>0</v>
      </c>
      <c r="Z80" s="20"/>
      <c r="AA80" s="20"/>
      <c r="AB80" s="20"/>
    </row>
    <row r="81" ht="15.75" customHeight="1">
      <c r="A81" s="9" t="s">
        <v>674</v>
      </c>
      <c r="B81" s="9" t="s">
        <v>675</v>
      </c>
      <c r="C81" s="9" t="s">
        <v>38</v>
      </c>
      <c r="D81" s="10" t="s">
        <v>676</v>
      </c>
      <c r="E81" s="9" t="s">
        <v>50</v>
      </c>
      <c r="F81" s="9" t="s">
        <v>677</v>
      </c>
      <c r="G81" s="9"/>
      <c r="H81" s="11" t="str">
        <f>HYPERLINK("https://github.com/Vini2/MetaCoAG","https://github.com/Vini2/MetaCoAG")</f>
        <v>https://github.com/Vini2/MetaCoAG</v>
      </c>
      <c r="I81" s="9" t="s">
        <v>678</v>
      </c>
      <c r="J81" s="9"/>
      <c r="K81" s="9"/>
      <c r="L81" s="9" t="s">
        <v>679</v>
      </c>
      <c r="M81" s="12" t="s">
        <v>53</v>
      </c>
      <c r="N81" s="13" t="s">
        <v>676</v>
      </c>
      <c r="O81" s="14" t="s">
        <v>50</v>
      </c>
      <c r="P81" s="14" t="s">
        <v>680</v>
      </c>
      <c r="Q81" s="15" t="str">
        <f t="shared" ref="Q81:R81" si="26">HYPERLINK("https://github.com/metagentools/MetaCoAG","https://github.com/metagentools/MetaCoAG")</f>
        <v>https://github.com/metagentools/MetaCoAG</v>
      </c>
      <c r="R81" s="15" t="str">
        <f t="shared" si="26"/>
        <v>https://github.com/metagentools/MetaCoAG</v>
      </c>
      <c r="S81" s="14"/>
      <c r="T81" s="14"/>
      <c r="U81" s="16" t="s">
        <v>55</v>
      </c>
      <c r="V81" s="17" t="s">
        <v>33</v>
      </c>
      <c r="W81" s="17" t="s">
        <v>34</v>
      </c>
      <c r="X81" s="18" t="s">
        <v>656</v>
      </c>
      <c r="Y81" s="19" t="b">
        <v>0</v>
      </c>
      <c r="Z81" s="20"/>
      <c r="AA81" s="20"/>
      <c r="AB81" s="20"/>
    </row>
    <row r="82" ht="15.75" customHeight="1">
      <c r="A82" s="9" t="s">
        <v>681</v>
      </c>
      <c r="B82" s="9" t="s">
        <v>682</v>
      </c>
      <c r="C82" s="9" t="s">
        <v>38</v>
      </c>
      <c r="D82" s="10" t="s">
        <v>683</v>
      </c>
      <c r="E82" s="9" t="s">
        <v>50</v>
      </c>
      <c r="F82" s="9" t="s">
        <v>684</v>
      </c>
      <c r="G82" s="9"/>
      <c r="H82" s="11" t="str">
        <f>HYPERLINK("https://pegs.readthedocs.io/en/latest/","https://pegs.readthedocs.io/en/latest/")</f>
        <v>https://pegs.readthedocs.io/en/latest/</v>
      </c>
      <c r="I82" s="9" t="s">
        <v>685</v>
      </c>
      <c r="J82" s="9"/>
      <c r="K82" s="9"/>
      <c r="L82" s="9" t="s">
        <v>686</v>
      </c>
      <c r="M82" s="12" t="s">
        <v>53</v>
      </c>
      <c r="N82" s="13" t="s">
        <v>683</v>
      </c>
      <c r="O82" s="14" t="s">
        <v>50</v>
      </c>
      <c r="P82" s="14" t="s">
        <v>687</v>
      </c>
      <c r="Q82" s="15" t="str">
        <f t="shared" ref="Q82:R82" si="27">HYPERLINK("https://github.com/fls-bioinformatics-core/pegs","https://github.com/fls-bioinformatics-core/pegs")</f>
        <v>https://github.com/fls-bioinformatics-core/pegs</v>
      </c>
      <c r="R82" s="15" t="str">
        <f t="shared" si="27"/>
        <v>https://github.com/fls-bioinformatics-core/pegs</v>
      </c>
      <c r="S82" s="14"/>
      <c r="T82" s="14"/>
      <c r="U82" s="16" t="s">
        <v>688</v>
      </c>
      <c r="V82" s="17" t="s">
        <v>33</v>
      </c>
      <c r="W82" s="17" t="s">
        <v>34</v>
      </c>
      <c r="X82" s="18" t="s">
        <v>689</v>
      </c>
      <c r="Y82" s="19" t="b">
        <v>0</v>
      </c>
      <c r="Z82" s="20"/>
      <c r="AA82" s="20"/>
      <c r="AB82" s="20"/>
    </row>
    <row r="83" ht="15.75" customHeight="1">
      <c r="A83" s="9" t="s">
        <v>690</v>
      </c>
      <c r="B83" s="9" t="s">
        <v>691</v>
      </c>
      <c r="C83" s="9" t="s">
        <v>48</v>
      </c>
      <c r="D83" s="10" t="s">
        <v>692</v>
      </c>
      <c r="E83" s="9" t="s">
        <v>50</v>
      </c>
      <c r="F83" s="9"/>
      <c r="G83" s="9"/>
      <c r="H83" s="11" t="str">
        <f>HYPERLINK("https://galaxy.bi.uni-freiburg.de/tool_runner?tool_id=toolshed.g2.bx.psu.edu%2Frepos%2Frnateam%2Fgraphclust_cmfinder%2FcmFinder%2F0.3","https://galaxy.bi.uni-freiburg.de/tool_runner?tool_id=toolshed.g2.bx.psu.edu%2Frepos%2Frnateam%2Fgraphclust_cmfinder%2FcmFinder%2F0.3")</f>
        <v>https://galaxy.bi.uni-freiburg.de/tool_runner?tool_id=toolshed.g2.bx.psu.edu%2Frepos%2Frnateam%2Fgraphclust_cmfinder%2FcmFinder%2F0.3</v>
      </c>
      <c r="I83" s="9"/>
      <c r="J83" s="9"/>
      <c r="K83" s="9"/>
      <c r="L83" s="9" t="s">
        <v>693</v>
      </c>
      <c r="M83" s="12" t="s">
        <v>53</v>
      </c>
      <c r="N83" s="13" t="s">
        <v>692</v>
      </c>
      <c r="O83" s="14" t="s">
        <v>50</v>
      </c>
      <c r="P83" s="14" t="s">
        <v>694</v>
      </c>
      <c r="Q83" s="14"/>
      <c r="R83" s="15" t="str">
        <f>HYPERLINK("https://sourceforge.net/projects/weinberg-cmfinder/","https://sourceforge.net/projects/weinberg-cmfinder/")</f>
        <v>https://sourceforge.net/projects/weinberg-cmfinder/</v>
      </c>
      <c r="S83" s="14"/>
      <c r="T83" s="14"/>
      <c r="U83" s="16" t="s">
        <v>55</v>
      </c>
      <c r="V83" s="17" t="s">
        <v>33</v>
      </c>
      <c r="W83" s="17" t="s">
        <v>109</v>
      </c>
      <c r="X83" s="18" t="s">
        <v>695</v>
      </c>
      <c r="Y83" s="19" t="b">
        <v>1</v>
      </c>
      <c r="Z83" s="20"/>
      <c r="AA83" s="20"/>
      <c r="AB83" s="20"/>
    </row>
    <row r="84" ht="15.75" customHeight="1">
      <c r="A84" s="9" t="s">
        <v>696</v>
      </c>
      <c r="B84" s="9" t="s">
        <v>697</v>
      </c>
      <c r="C84" s="9" t="s">
        <v>38</v>
      </c>
      <c r="D84" s="10" t="s">
        <v>698</v>
      </c>
      <c r="E84" s="9" t="s">
        <v>61</v>
      </c>
      <c r="F84" s="9" t="s">
        <v>699</v>
      </c>
      <c r="G84" s="9"/>
      <c r="H84" s="11" t="str">
        <f>HYPERLINK("https://www.mathworks.com/matlabcentral/fileexchange/70264-drawcell","https://www.mathworks.com/matlabcentral/fileexchange/70264-drawcell")</f>
        <v>https://www.mathworks.com/matlabcentral/fileexchange/70264-drawcell</v>
      </c>
      <c r="I84" s="9" t="s">
        <v>700</v>
      </c>
      <c r="J84" s="9"/>
      <c r="K84" s="9"/>
      <c r="L84" s="9" t="s">
        <v>701</v>
      </c>
      <c r="M84" s="12" t="s">
        <v>117</v>
      </c>
      <c r="N84" s="13" t="s">
        <v>698</v>
      </c>
      <c r="O84" s="14" t="s">
        <v>61</v>
      </c>
      <c r="P84" s="14" t="s">
        <v>702</v>
      </c>
      <c r="Q84" s="15" t="str">
        <f>HYPERLINK("https://git.bioconductor.org/packages/drawCell","https://git.bioconductor.org/packages/drawCell")</f>
        <v>https://git.bioconductor.org/packages/drawCell</v>
      </c>
      <c r="R84" s="15" t="str">
        <f>HYPERLINK("https://bioconductor.org/packages/drawCell","https://bioconductor.org/packages/drawCell")</f>
        <v>https://bioconductor.org/packages/drawCell</v>
      </c>
      <c r="S84" s="14" t="s">
        <v>703</v>
      </c>
      <c r="T84" s="14"/>
      <c r="U84" s="16" t="s">
        <v>55</v>
      </c>
      <c r="V84" s="17" t="s">
        <v>187</v>
      </c>
      <c r="W84" s="17" t="s">
        <v>109</v>
      </c>
      <c r="X84" s="18" t="s">
        <v>704</v>
      </c>
      <c r="Y84" s="19" t="b">
        <v>1</v>
      </c>
      <c r="Z84" s="20"/>
      <c r="AA84" s="20"/>
      <c r="AB84" s="20"/>
    </row>
    <row r="85" ht="15.75" customHeight="1">
      <c r="A85" s="9" t="s">
        <v>705</v>
      </c>
      <c r="B85" s="9" t="s">
        <v>706</v>
      </c>
      <c r="C85" s="9" t="s">
        <v>48</v>
      </c>
      <c r="D85" s="10" t="s">
        <v>707</v>
      </c>
      <c r="E85" s="9" t="s">
        <v>50</v>
      </c>
      <c r="F85" s="9" t="s">
        <v>708</v>
      </c>
      <c r="G85" s="9"/>
      <c r="H85" s="11" t="str">
        <f>HYPERLINK("https://galaxy.bi.uni-freiburg.de/tool_runner?tool_id=toolshed.g2.bx.psu.edu%2Frepos%2Fiuc%2Fucsc_twobittofa%2Fucsc-twobittofa%2F357","https://galaxy.bi.uni-freiburg.de/tool_runner?tool_id=toolshed.g2.bx.psu.edu%2Frepos%2Fiuc%2Fucsc_twobittofa%2Fucsc-twobittofa%2F357")</f>
        <v>https://galaxy.bi.uni-freiburg.de/tool_runner?tool_id=toolshed.g2.bx.psu.edu%2Frepos%2Fiuc%2Fucsc_twobittofa%2Fucsc-twobittofa%2F357</v>
      </c>
      <c r="I85" s="9"/>
      <c r="J85" s="9"/>
      <c r="K85" s="9"/>
      <c r="L85" s="9" t="s">
        <v>709</v>
      </c>
      <c r="M85" s="12" t="s">
        <v>53</v>
      </c>
      <c r="N85" s="13" t="s">
        <v>707</v>
      </c>
      <c r="O85" s="14" t="s">
        <v>50</v>
      </c>
      <c r="P85" s="14" t="s">
        <v>710</v>
      </c>
      <c r="Q85" s="14"/>
      <c r="R85" s="15" t="str">
        <f>HYPERLINK("http://hgdownload.cse.ucsc.edu/admin/exe/","http://hgdownload.cse.ucsc.edu/admin/exe/")</f>
        <v>http://hgdownload.cse.ucsc.edu/admin/exe/</v>
      </c>
      <c r="S85" s="14"/>
      <c r="T85" s="14"/>
      <c r="U85" s="16" t="s">
        <v>711</v>
      </c>
      <c r="V85" s="17" t="s">
        <v>33</v>
      </c>
      <c r="W85" s="17" t="s">
        <v>56</v>
      </c>
      <c r="X85" s="18" t="s">
        <v>712</v>
      </c>
      <c r="Y85" s="19" t="b">
        <v>0</v>
      </c>
      <c r="Z85" s="20"/>
      <c r="AA85" s="20"/>
      <c r="AB85" s="20"/>
    </row>
    <row r="86" ht="15.75" customHeight="1">
      <c r="A86" s="9" t="s">
        <v>713</v>
      </c>
      <c r="B86" s="9" t="s">
        <v>714</v>
      </c>
      <c r="C86" s="9" t="s">
        <v>715</v>
      </c>
      <c r="D86" s="10" t="s">
        <v>716</v>
      </c>
      <c r="E86" s="9" t="s">
        <v>50</v>
      </c>
      <c r="F86" s="9"/>
      <c r="G86" s="11" t="str">
        <f>HYPERLINK("https://github.com/MDU-PHL/emmtyper","https://github.com/MDU-PHL/emmtyper")</f>
        <v>https://github.com/MDU-PHL/emmtyper</v>
      </c>
      <c r="H86" s="9"/>
      <c r="I86" s="9"/>
      <c r="J86" s="9"/>
      <c r="K86" s="9"/>
      <c r="L86" s="9" t="s">
        <v>717</v>
      </c>
      <c r="M86" s="12" t="s">
        <v>53</v>
      </c>
      <c r="N86" s="13" t="s">
        <v>716</v>
      </c>
      <c r="O86" s="14" t="s">
        <v>50</v>
      </c>
      <c r="P86" s="14" t="s">
        <v>718</v>
      </c>
      <c r="Q86" s="15" t="str">
        <f t="shared" ref="Q86:R86" si="28">HYPERLINK("https://github.com/MDUPHL/emmtyper","https://github.com/MDUPHL/emmtyper")</f>
        <v>https://github.com/MDUPHL/emmtyper</v>
      </c>
      <c r="R86" s="15" t="str">
        <f t="shared" si="28"/>
        <v>https://github.com/MDUPHL/emmtyper</v>
      </c>
      <c r="S86" s="14"/>
      <c r="T86" s="14"/>
      <c r="U86" s="16" t="s">
        <v>55</v>
      </c>
      <c r="V86" s="17" t="s">
        <v>33</v>
      </c>
      <c r="W86" s="17" t="s">
        <v>109</v>
      </c>
      <c r="X86" s="18" t="s">
        <v>719</v>
      </c>
      <c r="Y86" s="19" t="b">
        <v>1</v>
      </c>
      <c r="Z86" s="20"/>
      <c r="AA86" s="20"/>
      <c r="AB86" s="20"/>
    </row>
    <row r="87" ht="15.75" customHeight="1">
      <c r="A87" s="9" t="s">
        <v>720</v>
      </c>
      <c r="B87" s="9" t="s">
        <v>721</v>
      </c>
      <c r="C87" s="9" t="s">
        <v>48</v>
      </c>
      <c r="D87" s="10" t="s">
        <v>722</v>
      </c>
      <c r="E87" s="9" t="s">
        <v>50</v>
      </c>
      <c r="F87" s="9" t="s">
        <v>723</v>
      </c>
      <c r="G87" s="9"/>
      <c r="H87" s="11" t="str">
        <f>HYPERLINK("https://galaxy.bi.uni-freiburg.de/tool_runner?tool_id=toolshed.g2.bx.psu.edu%2Frepos%2Fnml%2Fspades%2Fspades%2F3.11.1","https://galaxy.bi.uni-freiburg.de/tool_runner?tool_id=toolshed.g2.bx.psu.edu%2Frepos%2Fnml%2Fspades%2Fspades%2F3.11.1")</f>
        <v>https://galaxy.bi.uni-freiburg.de/tool_runner?tool_id=toolshed.g2.bx.psu.edu%2Frepos%2Fnml%2Fspades%2Fspades%2F3.11.1</v>
      </c>
      <c r="I87" s="9"/>
      <c r="J87" s="9"/>
      <c r="K87" s="9"/>
      <c r="L87" s="9" t="s">
        <v>724</v>
      </c>
      <c r="M87" s="12" t="s">
        <v>53</v>
      </c>
      <c r="N87" s="13" t="s">
        <v>722</v>
      </c>
      <c r="O87" s="14" t="s">
        <v>50</v>
      </c>
      <c r="P87" s="14" t="s">
        <v>725</v>
      </c>
      <c r="Q87" s="15" t="str">
        <f>HYPERLINK("https://github.com/ablab/spades","https://github.com/ablab/spades")</f>
        <v>https://github.com/ablab/spades</v>
      </c>
      <c r="R87" s="15" t="str">
        <f>HYPERLINK("http://cab.spbu.ru/software/spades/","http://cab.spbu.ru/software/spades/")</f>
        <v>http://cab.spbu.ru/software/spades/</v>
      </c>
      <c r="S87" s="14"/>
      <c r="T87" s="14"/>
      <c r="U87" s="16" t="s">
        <v>84</v>
      </c>
      <c r="V87" s="17" t="s">
        <v>33</v>
      </c>
      <c r="W87" s="17" t="s">
        <v>34</v>
      </c>
      <c r="X87" s="18" t="s">
        <v>726</v>
      </c>
      <c r="Y87" s="19" t="b">
        <v>0</v>
      </c>
      <c r="Z87" s="20"/>
      <c r="AA87" s="20"/>
      <c r="AB87" s="20"/>
    </row>
    <row r="88" ht="15.75" customHeight="1">
      <c r="A88" s="9" t="s">
        <v>727</v>
      </c>
      <c r="B88" s="9" t="s">
        <v>728</v>
      </c>
      <c r="C88" s="9" t="s">
        <v>48</v>
      </c>
      <c r="D88" s="10" t="s">
        <v>729</v>
      </c>
      <c r="E88" s="9" t="s">
        <v>50</v>
      </c>
      <c r="F88" s="9" t="s">
        <v>730</v>
      </c>
      <c r="G88" s="9"/>
      <c r="H88" s="11" t="str">
        <f>HYPERLINK("https://galaxy.bi.uni-freiburg.de/tool_runner?tool_id=toolshed.g2.bx.psu.edu%2Frepos%2Fiuc%2Fminimap2%2Fminimap2%2F2.5","https://galaxy.bi.uni-freiburg.de/tool_runner?tool_id=toolshed.g2.bx.psu.edu%2Frepos%2Fiuc%2Fminimap2%2Fminimap2%2F2.5")</f>
        <v>https://galaxy.bi.uni-freiburg.de/tool_runner?tool_id=toolshed.g2.bx.psu.edu%2Frepos%2Fiuc%2Fminimap2%2Fminimap2%2F2.5</v>
      </c>
      <c r="I88" s="9"/>
      <c r="J88" s="9"/>
      <c r="K88" s="9"/>
      <c r="L88" s="9" t="s">
        <v>731</v>
      </c>
      <c r="M88" s="12" t="s">
        <v>53</v>
      </c>
      <c r="N88" s="13" t="s">
        <v>732</v>
      </c>
      <c r="O88" s="14" t="s">
        <v>50</v>
      </c>
      <c r="P88" s="14" t="s">
        <v>733</v>
      </c>
      <c r="Q88" s="15" t="str">
        <f t="shared" ref="Q88:R88" si="29">HYPERLINK("https://github.com/lh3/minimap","https://github.com/lh3/minimap")</f>
        <v>https://github.com/lh3/minimap</v>
      </c>
      <c r="R88" s="15" t="str">
        <f t="shared" si="29"/>
        <v>https://github.com/lh3/minimap</v>
      </c>
      <c r="S88" s="14"/>
      <c r="T88" s="14"/>
      <c r="U88" s="16" t="s">
        <v>66</v>
      </c>
      <c r="V88" s="17" t="s">
        <v>187</v>
      </c>
      <c r="W88" s="17" t="s">
        <v>56</v>
      </c>
      <c r="X88" s="18" t="s">
        <v>734</v>
      </c>
      <c r="Y88" s="19" t="b">
        <v>0</v>
      </c>
      <c r="Z88" s="20"/>
      <c r="AA88" s="20"/>
      <c r="AB88" s="20"/>
    </row>
    <row r="89" ht="15.75" customHeight="1">
      <c r="A89" s="9" t="s">
        <v>735</v>
      </c>
      <c r="B89" s="9" t="s">
        <v>736</v>
      </c>
      <c r="C89" s="9" t="s">
        <v>38</v>
      </c>
      <c r="D89" s="10" t="s">
        <v>737</v>
      </c>
      <c r="E89" s="9" t="s">
        <v>50</v>
      </c>
      <c r="F89" s="9" t="s">
        <v>738</v>
      </c>
      <c r="G89" s="9"/>
      <c r="H89" s="11" t="str">
        <f>HYPERLINK("https://usegalaxy.eu/root?tool_id=ectyper","https://usegalaxy.eu/root?tool_id=ectyper")</f>
        <v>https://usegalaxy.eu/root?tool_id=ectyper</v>
      </c>
      <c r="I89" s="9" t="s">
        <v>739</v>
      </c>
      <c r="J89" s="9"/>
      <c r="K89" s="9"/>
      <c r="L89" s="9" t="s">
        <v>740</v>
      </c>
      <c r="M89" s="12" t="s">
        <v>53</v>
      </c>
      <c r="N89" s="13" t="s">
        <v>737</v>
      </c>
      <c r="O89" s="14" t="s">
        <v>50</v>
      </c>
      <c r="P89" s="14" t="s">
        <v>741</v>
      </c>
      <c r="Q89" s="15" t="str">
        <f t="shared" ref="Q89:R89" si="30">HYPERLINK("https://github.com/phac-nml/ecoli_serotyping","https://github.com/phac-nml/ecoli_serotyping")</f>
        <v>https://github.com/phac-nml/ecoli_serotyping</v>
      </c>
      <c r="R89" s="15" t="str">
        <f t="shared" si="30"/>
        <v>https://github.com/phac-nml/ecoli_serotyping</v>
      </c>
      <c r="S89" s="14"/>
      <c r="T89" s="14"/>
      <c r="U89" s="16" t="s">
        <v>126</v>
      </c>
      <c r="V89" s="17" t="s">
        <v>33</v>
      </c>
      <c r="W89" s="17" t="s">
        <v>34</v>
      </c>
      <c r="X89" s="18" t="s">
        <v>742</v>
      </c>
      <c r="Y89" s="19" t="b">
        <v>0</v>
      </c>
      <c r="Z89" s="20"/>
      <c r="AA89" s="20"/>
      <c r="AB89" s="20"/>
    </row>
    <row r="90" ht="15.75" customHeight="1">
      <c r="A90" s="9" t="s">
        <v>743</v>
      </c>
      <c r="B90" s="9" t="s">
        <v>744</v>
      </c>
      <c r="C90" s="9" t="s">
        <v>53</v>
      </c>
      <c r="D90" s="10" t="s">
        <v>745</v>
      </c>
      <c r="E90" s="9" t="s">
        <v>61</v>
      </c>
      <c r="F90" s="9" t="s">
        <v>746</v>
      </c>
      <c r="G90" s="11" t="str">
        <f>HYPERLINK("https://github.com/suLab/mygene.py","https://github.com/suLab/mygene.py")</f>
        <v>https://github.com/suLab/mygene.py</v>
      </c>
      <c r="H90" s="9"/>
      <c r="I90" s="9"/>
      <c r="J90" s="9"/>
      <c r="K90" s="9" t="s">
        <v>747</v>
      </c>
      <c r="L90" s="9" t="s">
        <v>748</v>
      </c>
      <c r="M90" s="12" t="s">
        <v>53</v>
      </c>
      <c r="N90" s="13" t="s">
        <v>749</v>
      </c>
      <c r="O90" s="14" t="s">
        <v>61</v>
      </c>
      <c r="P90" s="14" t="s">
        <v>750</v>
      </c>
      <c r="Q90" s="14"/>
      <c r="R90" s="15" t="str">
        <f>HYPERLINK("https://bioconductor.org/packages/3.18/bioc/html/mygene.html","https://bioconductor.org/packages/3.18/bioc/html/mygene.html")</f>
        <v>https://bioconductor.org/packages/3.18/bioc/html/mygene.html</v>
      </c>
      <c r="S90" s="14"/>
      <c r="T90" s="14"/>
      <c r="U90" s="16" t="s">
        <v>751</v>
      </c>
      <c r="V90" s="17" t="s">
        <v>187</v>
      </c>
      <c r="W90" s="17" t="s">
        <v>56</v>
      </c>
      <c r="X90" s="18" t="s">
        <v>752</v>
      </c>
      <c r="Y90" s="19" t="b">
        <v>0</v>
      </c>
      <c r="Z90" s="20"/>
      <c r="AA90" s="20"/>
      <c r="AB90" s="20"/>
    </row>
    <row r="91" ht="15.75" customHeight="1">
      <c r="A91" s="9" t="s">
        <v>753</v>
      </c>
      <c r="B91" s="9" t="s">
        <v>754</v>
      </c>
      <c r="C91" s="9" t="s">
        <v>38</v>
      </c>
      <c r="D91" s="10" t="s">
        <v>755</v>
      </c>
      <c r="E91" s="9" t="s">
        <v>40</v>
      </c>
      <c r="F91" s="9" t="s">
        <v>756</v>
      </c>
      <c r="G91" s="9"/>
      <c r="H91" s="11" t="str">
        <f>HYPERLINK("http://pyrpipe.rtfd.io/","http://pyrpipe.rtfd.io/")</f>
        <v>http://pyrpipe.rtfd.io/</v>
      </c>
      <c r="I91" s="9" t="s">
        <v>757</v>
      </c>
      <c r="J91" s="9"/>
      <c r="K91" s="9"/>
      <c r="L91" s="9" t="s">
        <v>758</v>
      </c>
      <c r="M91" s="12" t="s">
        <v>53</v>
      </c>
      <c r="N91" s="13" t="s">
        <v>755</v>
      </c>
      <c r="O91" s="14" t="s">
        <v>50</v>
      </c>
      <c r="P91" s="14" t="s">
        <v>759</v>
      </c>
      <c r="Q91" s="15" t="str">
        <f t="shared" ref="Q91:R91" si="31">HYPERLINK("https://github.com/urmi-21/pyrpipe","https://github.com/urmi-21/pyrpipe")</f>
        <v>https://github.com/urmi-21/pyrpipe</v>
      </c>
      <c r="R91" s="15" t="str">
        <f t="shared" si="31"/>
        <v>https://github.com/urmi-21/pyrpipe</v>
      </c>
      <c r="S91" s="14"/>
      <c r="T91" s="14"/>
      <c r="U91" s="16" t="s">
        <v>66</v>
      </c>
      <c r="V91" s="17" t="s">
        <v>33</v>
      </c>
      <c r="W91" s="17" t="s">
        <v>34</v>
      </c>
      <c r="X91" s="18" t="s">
        <v>760</v>
      </c>
      <c r="Y91" s="19" t="b">
        <v>0</v>
      </c>
      <c r="Z91" s="20"/>
      <c r="AA91" s="20"/>
      <c r="AB91" s="20"/>
    </row>
    <row r="92" ht="15.75" customHeight="1">
      <c r="A92" s="9" t="s">
        <v>761</v>
      </c>
      <c r="B92" s="9" t="s">
        <v>762</v>
      </c>
      <c r="C92" s="9" t="s">
        <v>38</v>
      </c>
      <c r="D92" s="10" t="s">
        <v>763</v>
      </c>
      <c r="E92" s="9" t="s">
        <v>61</v>
      </c>
      <c r="F92" s="9" t="s">
        <v>764</v>
      </c>
      <c r="G92" s="9"/>
      <c r="H92" s="11" t="str">
        <f>HYPERLINK("https://github.com/chandlerzuo/atsnp","https://github.com/chandlerzuo/atsnp")</f>
        <v>https://github.com/chandlerzuo/atsnp</v>
      </c>
      <c r="I92" s="9" t="s">
        <v>765</v>
      </c>
      <c r="J92" s="9"/>
      <c r="K92" s="9"/>
      <c r="L92" s="9" t="s">
        <v>766</v>
      </c>
      <c r="M92" s="12" t="s">
        <v>53</v>
      </c>
      <c r="N92" s="13" t="s">
        <v>767</v>
      </c>
      <c r="O92" s="14" t="s">
        <v>61</v>
      </c>
      <c r="P92" s="14" t="s">
        <v>768</v>
      </c>
      <c r="Q92" s="14"/>
      <c r="R92" s="15" t="str">
        <f>HYPERLINK("https://bioconductor.org/packages/3.18/bioc/html/atSNP.html","https://bioconductor.org/packages/3.18/bioc/html/atSNP.html")</f>
        <v>https://bioconductor.org/packages/3.18/bioc/html/atSNP.html</v>
      </c>
      <c r="S92" s="14"/>
      <c r="T92" s="14"/>
      <c r="U92" s="16" t="s">
        <v>84</v>
      </c>
      <c r="V92" s="17" t="s">
        <v>33</v>
      </c>
      <c r="W92" s="17" t="s">
        <v>56</v>
      </c>
      <c r="X92" s="18" t="s">
        <v>769</v>
      </c>
      <c r="Y92" s="19" t="b">
        <v>0</v>
      </c>
      <c r="Z92" s="20"/>
      <c r="AA92" s="20"/>
      <c r="AB92" s="20"/>
    </row>
    <row r="93" ht="15.75" customHeight="1">
      <c r="A93" s="9" t="s">
        <v>770</v>
      </c>
      <c r="B93" s="9" t="s">
        <v>771</v>
      </c>
      <c r="C93" s="9" t="s">
        <v>38</v>
      </c>
      <c r="D93" s="10" t="s">
        <v>772</v>
      </c>
      <c r="E93" s="9" t="s">
        <v>61</v>
      </c>
      <c r="F93" s="9" t="s">
        <v>773</v>
      </c>
      <c r="G93" s="9"/>
      <c r="H93" s="11" t="str">
        <f>HYPERLINK("https://www2.unil.ch/cbg/index.php?title=ExpressionView","https://www2.unil.ch/cbg/index.php?title=ExpressionView")</f>
        <v>https://www2.unil.ch/cbg/index.php?title=ExpressionView</v>
      </c>
      <c r="I93" s="9" t="s">
        <v>774</v>
      </c>
      <c r="J93" s="9"/>
      <c r="K93" s="9"/>
      <c r="L93" s="9" t="s">
        <v>775</v>
      </c>
      <c r="M93" s="12" t="s">
        <v>117</v>
      </c>
      <c r="N93" s="13" t="s">
        <v>772</v>
      </c>
      <c r="O93" s="14" t="s">
        <v>61</v>
      </c>
      <c r="P93" s="14" t="s">
        <v>776</v>
      </c>
      <c r="Q93" s="15" t="str">
        <f>HYPERLINK("https://git.bioconductor.org/packages/ExpressionView","https://git.bioconductor.org/packages/ExpressionView")</f>
        <v>https://git.bioconductor.org/packages/ExpressionView</v>
      </c>
      <c r="R93" s="15" t="str">
        <f>HYPERLINK("https://bioconductor.org/packages/ExpressionView","https://bioconductor.org/packages/ExpressionView")</f>
        <v>https://bioconductor.org/packages/ExpressionView</v>
      </c>
      <c r="S93" s="14" t="s">
        <v>774</v>
      </c>
      <c r="T93" s="14"/>
      <c r="U93" s="16" t="s">
        <v>265</v>
      </c>
      <c r="V93" s="17" t="s">
        <v>33</v>
      </c>
      <c r="W93" s="17" t="s">
        <v>56</v>
      </c>
      <c r="X93" s="18" t="s">
        <v>777</v>
      </c>
      <c r="Y93" s="19" t="b">
        <v>0</v>
      </c>
      <c r="Z93" s="20"/>
      <c r="AA93" s="20"/>
      <c r="AB93" s="20"/>
    </row>
    <row r="94" ht="15.75" customHeight="1">
      <c r="A94" s="9" t="s">
        <v>778</v>
      </c>
      <c r="B94" s="9" t="s">
        <v>779</v>
      </c>
      <c r="C94" s="9" t="s">
        <v>38</v>
      </c>
      <c r="D94" s="10" t="s">
        <v>780</v>
      </c>
      <c r="E94" s="9" t="s">
        <v>50</v>
      </c>
      <c r="F94" s="9" t="s">
        <v>781</v>
      </c>
      <c r="G94" s="9"/>
      <c r="H94" s="11" t="str">
        <f>HYPERLINK("https://github.com/cobilab/cryfa","https://github.com/cobilab/cryfa")</f>
        <v>https://github.com/cobilab/cryfa</v>
      </c>
      <c r="I94" s="9" t="s">
        <v>782</v>
      </c>
      <c r="J94" s="9"/>
      <c r="K94" s="9"/>
      <c r="L94" s="9" t="s">
        <v>783</v>
      </c>
      <c r="M94" s="12" t="s">
        <v>53</v>
      </c>
      <c r="N94" s="13" t="s">
        <v>780</v>
      </c>
      <c r="O94" s="14" t="s">
        <v>50</v>
      </c>
      <c r="P94" s="14" t="s">
        <v>784</v>
      </c>
      <c r="Q94" s="15" t="str">
        <f t="shared" ref="Q94:R94" si="32">HYPERLINK("https://github.com/smortezah/cryfa","https://github.com/smortezah/cryfa")</f>
        <v>https://github.com/smortezah/cryfa</v>
      </c>
      <c r="R94" s="15" t="str">
        <f t="shared" si="32"/>
        <v>https://github.com/smortezah/cryfa</v>
      </c>
      <c r="S94" s="14"/>
      <c r="T94" s="14"/>
      <c r="U94" s="16" t="s">
        <v>55</v>
      </c>
      <c r="V94" s="17" t="s">
        <v>33</v>
      </c>
      <c r="W94" s="17" t="s">
        <v>56</v>
      </c>
      <c r="X94" s="18" t="s">
        <v>785</v>
      </c>
      <c r="Y94" s="19" t="b">
        <v>0</v>
      </c>
      <c r="Z94" s="20"/>
      <c r="AA94" s="20"/>
      <c r="AB94" s="20"/>
    </row>
    <row r="95" ht="15.75" customHeight="1">
      <c r="A95" s="9" t="s">
        <v>786</v>
      </c>
      <c r="B95" s="9" t="s">
        <v>787</v>
      </c>
      <c r="C95" s="9" t="s">
        <v>48</v>
      </c>
      <c r="D95" s="10" t="s">
        <v>788</v>
      </c>
      <c r="E95" s="9" t="s">
        <v>50</v>
      </c>
      <c r="F95" s="9" t="s">
        <v>789</v>
      </c>
      <c r="G95" s="9"/>
      <c r="H95" s="11" t="str">
        <f>HYPERLINK("https://galaxy.bi.uni-freiburg.de/tool_runner?tool_id=toolshed.g2.bx.psu.edu%2Frepos%2Fiuc%2Fgffcompare%2Fgffcompare%2F0.9.8","https://galaxy.bi.uni-freiburg.de/tool_runner?tool_id=toolshed.g2.bx.psu.edu%2Frepos%2Fiuc%2Fgffcompare%2Fgffcompare%2F0.9.8")</f>
        <v>https://galaxy.bi.uni-freiburg.de/tool_runner?tool_id=toolshed.g2.bx.psu.edu%2Frepos%2Fiuc%2Fgffcompare%2Fgffcompare%2F0.9.8</v>
      </c>
      <c r="I95" s="9"/>
      <c r="J95" s="9"/>
      <c r="K95" s="9"/>
      <c r="L95" s="9" t="s">
        <v>790</v>
      </c>
      <c r="M95" s="12" t="s">
        <v>53</v>
      </c>
      <c r="N95" s="13" t="s">
        <v>788</v>
      </c>
      <c r="O95" s="14" t="s">
        <v>50</v>
      </c>
      <c r="P95" s="14" t="s">
        <v>791</v>
      </c>
      <c r="Q95" s="15" t="str">
        <f>HYPERLINK("https://github.com/gpertea/gffcompare","https://github.com/gpertea/gffcompare")</f>
        <v>https://github.com/gpertea/gffcompare</v>
      </c>
      <c r="R95" s="15" t="str">
        <f>HYPERLINK("https://ccb.jhu.edu/software/stringtie/gffcompare.shtml","https://ccb.jhu.edu/software/stringtie/gffcompare.shtml")</f>
        <v>https://ccb.jhu.edu/software/stringtie/gffcompare.shtml</v>
      </c>
      <c r="S95" s="14"/>
      <c r="T95" s="14"/>
      <c r="U95" s="16" t="s">
        <v>751</v>
      </c>
      <c r="V95" s="17" t="s">
        <v>187</v>
      </c>
      <c r="W95" s="17" t="s">
        <v>109</v>
      </c>
      <c r="X95" s="18" t="s">
        <v>792</v>
      </c>
      <c r="Y95" s="19" t="b">
        <v>1</v>
      </c>
      <c r="Z95" s="20"/>
      <c r="AA95" s="20"/>
      <c r="AB95" s="20"/>
    </row>
    <row r="96" ht="15.75" customHeight="1">
      <c r="A96" s="9" t="s">
        <v>793</v>
      </c>
      <c r="B96" s="9" t="s">
        <v>794</v>
      </c>
      <c r="C96" s="9" t="s">
        <v>53</v>
      </c>
      <c r="D96" s="10" t="s">
        <v>795</v>
      </c>
      <c r="E96" s="9" t="s">
        <v>50</v>
      </c>
      <c r="F96" s="9" t="s">
        <v>796</v>
      </c>
      <c r="G96" s="11" t="str">
        <f t="shared" ref="G96:H96" si="33">HYPERLINK("https://github.com/refresh-bio/kmc","https://github.com/refresh-bio/kmc")</f>
        <v>https://github.com/refresh-bio/kmc</v>
      </c>
      <c r="H96" s="11" t="str">
        <f t="shared" si="33"/>
        <v>https://github.com/refresh-bio/kmc</v>
      </c>
      <c r="I96" s="9"/>
      <c r="J96" s="9"/>
      <c r="K96" s="9" t="s">
        <v>55</v>
      </c>
      <c r="L96" s="9" t="s">
        <v>797</v>
      </c>
      <c r="M96" s="12" t="s">
        <v>38</v>
      </c>
      <c r="N96" s="13" t="s">
        <v>795</v>
      </c>
      <c r="O96" s="14" t="s">
        <v>50</v>
      </c>
      <c r="P96" s="14" t="s">
        <v>798</v>
      </c>
      <c r="Q96" s="14"/>
      <c r="R96" s="15" t="str">
        <f>HYPERLINK("http://sun.aei.polsl.pl/REFRESH/index.php?page=projects&amp;project=kmc&amp;subpage=about","http://sun.aei.polsl.pl/REFRESH/index.php?page=projects&amp;project=kmc&amp;subpage=about")</f>
        <v>http://sun.aei.polsl.pl/REFRESH/index.php?page=projects&amp;project=kmc&amp;subpage=about</v>
      </c>
      <c r="S96" s="14" t="s">
        <v>799</v>
      </c>
      <c r="T96" s="14"/>
      <c r="U96" s="16"/>
      <c r="V96" s="17" t="s">
        <v>33</v>
      </c>
      <c r="W96" s="17" t="s">
        <v>34</v>
      </c>
      <c r="X96" s="18" t="s">
        <v>800</v>
      </c>
      <c r="Y96" s="19" t="b">
        <v>0</v>
      </c>
      <c r="Z96" s="20"/>
      <c r="AA96" s="20"/>
      <c r="AB96" s="20"/>
    </row>
    <row r="97" ht="15.75" customHeight="1">
      <c r="A97" s="9" t="s">
        <v>801</v>
      </c>
      <c r="B97" s="9" t="s">
        <v>802</v>
      </c>
      <c r="C97" s="9" t="s">
        <v>38</v>
      </c>
      <c r="D97" s="10" t="s">
        <v>803</v>
      </c>
      <c r="E97" s="9" t="s">
        <v>61</v>
      </c>
      <c r="F97" s="9" t="s">
        <v>804</v>
      </c>
      <c r="G97" s="9"/>
      <c r="H97" s="11" t="str">
        <f>HYPERLINK("https://github.com/JINJINT/SplatterESCO","https://github.com/JINJINT/SplatterESCO")</f>
        <v>https://github.com/JINJINT/SplatterESCO</v>
      </c>
      <c r="I97" s="9" t="s">
        <v>805</v>
      </c>
      <c r="J97" s="9"/>
      <c r="K97" s="9"/>
      <c r="L97" s="9" t="s">
        <v>806</v>
      </c>
      <c r="M97" s="12" t="s">
        <v>117</v>
      </c>
      <c r="N97" s="13" t="s">
        <v>803</v>
      </c>
      <c r="O97" s="14" t="s">
        <v>61</v>
      </c>
      <c r="P97" s="14" t="s">
        <v>807</v>
      </c>
      <c r="Q97" s="15" t="str">
        <f>HYPERLINK("https://git.bioconductor.org/packages/ESCO","https://git.bioconductor.org/packages/ESCO")</f>
        <v>https://git.bioconductor.org/packages/ESCO</v>
      </c>
      <c r="R97" s="15" t="str">
        <f>HYPERLINK("https://bioconductor.org/packages/ESCO","https://bioconductor.org/packages/ESCO")</f>
        <v>https://bioconductor.org/packages/ESCO</v>
      </c>
      <c r="S97" s="14" t="s">
        <v>808</v>
      </c>
      <c r="T97" s="14"/>
      <c r="U97" s="16" t="s">
        <v>809</v>
      </c>
      <c r="V97" s="17" t="s">
        <v>33</v>
      </c>
      <c r="W97" s="17" t="s">
        <v>109</v>
      </c>
      <c r="X97" s="18" t="s">
        <v>810</v>
      </c>
      <c r="Y97" s="19" t="b">
        <v>1</v>
      </c>
      <c r="Z97" s="20"/>
      <c r="AA97" s="20"/>
      <c r="AB97" s="20"/>
    </row>
    <row r="98" ht="15.75" customHeight="1">
      <c r="A98" s="9" t="s">
        <v>811</v>
      </c>
      <c r="B98" s="9" t="s">
        <v>812</v>
      </c>
      <c r="C98" s="9" t="s">
        <v>53</v>
      </c>
      <c r="D98" s="10" t="s">
        <v>813</v>
      </c>
      <c r="E98" s="9" t="s">
        <v>50</v>
      </c>
      <c r="F98" s="9" t="s">
        <v>814</v>
      </c>
      <c r="G98" s="9"/>
      <c r="H98" s="11" t="str">
        <f>HYPERLINK("https://sourceforge.net/projects/ngop","https://sourceforge.net/projects/ngop")</f>
        <v>https://sourceforge.net/projects/ngop</v>
      </c>
      <c r="I98" s="9"/>
      <c r="J98" s="9"/>
      <c r="K98" s="9" t="s">
        <v>55</v>
      </c>
      <c r="L98" s="9" t="s">
        <v>815</v>
      </c>
      <c r="M98" s="12" t="s">
        <v>38</v>
      </c>
      <c r="N98" s="13" t="s">
        <v>816</v>
      </c>
      <c r="O98" s="14" t="s">
        <v>50</v>
      </c>
      <c r="P98" s="14" t="s">
        <v>817</v>
      </c>
      <c r="Q98" s="14"/>
      <c r="R98" s="15" t="str">
        <f>HYPERLINK("https://sourceforge.net/projects/ngopt/","https://sourceforge.net/projects/ngopt/")</f>
        <v>https://sourceforge.net/projects/ngopt/</v>
      </c>
      <c r="S98" s="14" t="s">
        <v>818</v>
      </c>
      <c r="T98" s="14"/>
      <c r="U98" s="16"/>
      <c r="V98" s="17" t="s">
        <v>33</v>
      </c>
      <c r="W98" s="17" t="s">
        <v>109</v>
      </c>
      <c r="X98" s="18" t="s">
        <v>819</v>
      </c>
      <c r="Y98" s="19" t="b">
        <v>1</v>
      </c>
      <c r="Z98" s="20"/>
      <c r="AA98" s="20"/>
      <c r="AB98" s="20"/>
    </row>
    <row r="99" ht="15.75" customHeight="1">
      <c r="A99" s="9" t="s">
        <v>820</v>
      </c>
      <c r="B99" s="9" t="s">
        <v>821</v>
      </c>
      <c r="C99" s="9" t="s">
        <v>715</v>
      </c>
      <c r="D99" s="10" t="s">
        <v>822</v>
      </c>
      <c r="E99" s="9" t="s">
        <v>50</v>
      </c>
      <c r="F99" s="9" t="s">
        <v>823</v>
      </c>
      <c r="G99" s="11" t="str">
        <f>HYPERLINK("https://github.com/harvardinformatics/TranscriptomeAssemblyTools","https://github.com/harvardinformatics/TranscriptomeAssemblyTools")</f>
        <v>https://github.com/harvardinformatics/TranscriptomeAssemblyTools</v>
      </c>
      <c r="H99" s="9"/>
      <c r="I99" s="9"/>
      <c r="J99" s="9"/>
      <c r="K99" s="9"/>
      <c r="L99" s="9" t="s">
        <v>824</v>
      </c>
      <c r="M99" s="12" t="s">
        <v>53</v>
      </c>
      <c r="N99" s="13" t="s">
        <v>822</v>
      </c>
      <c r="O99" s="14" t="s">
        <v>50</v>
      </c>
      <c r="P99" s="14" t="s">
        <v>825</v>
      </c>
      <c r="Q99" s="15" t="str">
        <f>HYPERLINK("https://github.com/mourisl/Rcorrector","https://github.com/mourisl/Rcorrector")</f>
        <v>https://github.com/mourisl/Rcorrector</v>
      </c>
      <c r="R99" s="15" t="str">
        <f>HYPERLINK("https://github.com/mourisl/Rcorrector/","https://github.com/mourisl/Rcorrector/")</f>
        <v>https://github.com/mourisl/Rcorrector/</v>
      </c>
      <c r="S99" s="14"/>
      <c r="T99" s="14"/>
      <c r="U99" s="16" t="s">
        <v>55</v>
      </c>
      <c r="V99" s="17" t="s">
        <v>187</v>
      </c>
      <c r="W99" s="17" t="s">
        <v>109</v>
      </c>
      <c r="X99" s="18" t="s">
        <v>826</v>
      </c>
      <c r="Y99" s="19" t="b">
        <v>1</v>
      </c>
      <c r="Z99" s="20"/>
      <c r="AA99" s="20"/>
      <c r="AB99" s="20"/>
    </row>
    <row r="100" ht="15.75" customHeight="1">
      <c r="A100" s="9" t="s">
        <v>827</v>
      </c>
      <c r="B100" s="9" t="s">
        <v>828</v>
      </c>
      <c r="C100" s="9" t="s">
        <v>38</v>
      </c>
      <c r="D100" s="10" t="s">
        <v>829</v>
      </c>
      <c r="E100" s="9" t="s">
        <v>61</v>
      </c>
      <c r="F100" s="9" t="s">
        <v>830</v>
      </c>
      <c r="G100" s="9"/>
      <c r="H100" s="11" t="str">
        <f>HYPERLINK("https://github.com/fogellab/multiWGCNA","https://github.com/fogellab/multiWGCNA")</f>
        <v>https://github.com/fogellab/multiWGCNA</v>
      </c>
      <c r="I100" s="9" t="s">
        <v>831</v>
      </c>
      <c r="J100" s="9"/>
      <c r="K100" s="9"/>
      <c r="L100" s="9" t="s">
        <v>832</v>
      </c>
      <c r="M100" s="12" t="s">
        <v>53</v>
      </c>
      <c r="N100" s="13" t="s">
        <v>833</v>
      </c>
      <c r="O100" s="14" t="s">
        <v>61</v>
      </c>
      <c r="P100" s="14" t="s">
        <v>834</v>
      </c>
      <c r="Q100" s="14"/>
      <c r="R100" s="15" t="str">
        <f>HYPERLINK("https://bioconductor.org/packages/3.18/bioc/html/multiWGCNA.html","https://bioconductor.org/packages/3.18/bioc/html/multiWGCNA.html")</f>
        <v>https://bioconductor.org/packages/3.18/bioc/html/multiWGCNA.html</v>
      </c>
      <c r="S100" s="14"/>
      <c r="T100" s="14"/>
      <c r="U100" s="16" t="s">
        <v>55</v>
      </c>
      <c r="V100" s="17" t="s">
        <v>33</v>
      </c>
      <c r="W100" s="17" t="s">
        <v>34</v>
      </c>
      <c r="X100" s="18" t="s">
        <v>835</v>
      </c>
      <c r="Y100" s="19" t="b">
        <v>0</v>
      </c>
      <c r="Z100" s="20"/>
      <c r="AA100" s="20"/>
      <c r="AB100" s="20"/>
    </row>
    <row r="101" ht="15.75" customHeight="1">
      <c r="A101" s="9" t="s">
        <v>836</v>
      </c>
      <c r="B101" s="9" t="s">
        <v>837</v>
      </c>
      <c r="C101" s="9" t="s">
        <v>38</v>
      </c>
      <c r="D101" s="10" t="s">
        <v>838</v>
      </c>
      <c r="E101" s="9" t="s">
        <v>61</v>
      </c>
      <c r="F101" s="9" t="s">
        <v>839</v>
      </c>
      <c r="G101" s="9"/>
      <c r="H101" s="11" t="str">
        <f>HYPERLINK("https://github.com/HectorRDB/Dune","https://github.com/HectorRDB/Dune")</f>
        <v>https://github.com/HectorRDB/Dune</v>
      </c>
      <c r="I101" s="9" t="s">
        <v>840</v>
      </c>
      <c r="J101" s="9"/>
      <c r="K101" s="9"/>
      <c r="L101" s="9" t="s">
        <v>841</v>
      </c>
      <c r="M101" s="12" t="s">
        <v>53</v>
      </c>
      <c r="N101" s="13" t="s">
        <v>842</v>
      </c>
      <c r="O101" s="14" t="s">
        <v>61</v>
      </c>
      <c r="P101" s="14" t="s">
        <v>843</v>
      </c>
      <c r="Q101" s="14"/>
      <c r="R101" s="15" t="str">
        <f>HYPERLINK("https://bioconductor.org/packages/3.18/bioc/html/Dune.html","https://bioconductor.org/packages/3.18/bioc/html/Dune.html")</f>
        <v>https://bioconductor.org/packages/3.18/bioc/html/Dune.html</v>
      </c>
      <c r="S101" s="14"/>
      <c r="T101" s="14"/>
      <c r="U101" s="16" t="s">
        <v>66</v>
      </c>
      <c r="V101" s="17" t="s">
        <v>33</v>
      </c>
      <c r="W101" s="17" t="s">
        <v>34</v>
      </c>
      <c r="X101" s="18" t="s">
        <v>835</v>
      </c>
      <c r="Y101" s="19" t="b">
        <v>0</v>
      </c>
      <c r="Z101" s="20"/>
      <c r="AA101" s="20"/>
      <c r="AB101" s="20"/>
    </row>
    <row r="102" ht="15.75" customHeight="1">
      <c r="D102" s="21"/>
      <c r="M102" s="22"/>
      <c r="N102" s="23"/>
      <c r="O102" s="24"/>
      <c r="P102" s="24"/>
      <c r="Q102" s="24"/>
      <c r="R102" s="24"/>
      <c r="S102" s="24"/>
      <c r="T102" s="24"/>
      <c r="U102" s="25"/>
      <c r="X102" s="26"/>
      <c r="Y102" s="27"/>
      <c r="Z102" s="28"/>
      <c r="AA102" s="28"/>
      <c r="AB102" s="28"/>
    </row>
    <row r="103" ht="15.75" customHeight="1">
      <c r="D103" s="21"/>
      <c r="M103" s="22"/>
      <c r="N103" s="23"/>
      <c r="O103" s="24"/>
      <c r="P103" s="24"/>
      <c r="Q103" s="24"/>
      <c r="R103" s="24"/>
      <c r="S103" s="24"/>
      <c r="T103" s="24"/>
      <c r="U103" s="25"/>
      <c r="X103" s="26"/>
      <c r="Y103" s="27"/>
      <c r="Z103" s="28"/>
      <c r="AA103" s="28"/>
      <c r="AB103" s="28"/>
    </row>
    <row r="104" ht="15.75" customHeight="1">
      <c r="D104" s="21"/>
      <c r="M104" s="22"/>
      <c r="N104" s="23"/>
      <c r="O104" s="24"/>
      <c r="P104" s="24"/>
      <c r="Q104" s="24"/>
      <c r="R104" s="24"/>
      <c r="S104" s="24"/>
      <c r="T104" s="24"/>
      <c r="U104" s="25"/>
      <c r="X104" s="26"/>
      <c r="Y104" s="27"/>
      <c r="Z104" s="28"/>
      <c r="AA104" s="28"/>
      <c r="AB104" s="28"/>
    </row>
    <row r="105" ht="15.75" customHeight="1">
      <c r="D105" s="21"/>
      <c r="M105" s="22"/>
      <c r="N105" s="23"/>
      <c r="O105" s="24"/>
      <c r="P105" s="24"/>
      <c r="Q105" s="24"/>
      <c r="R105" s="24"/>
      <c r="S105" s="24"/>
      <c r="T105" s="24"/>
      <c r="U105" s="25"/>
      <c r="X105" s="26"/>
      <c r="Y105" s="27"/>
      <c r="Z105" s="28"/>
      <c r="AA105" s="28"/>
      <c r="AB105" s="28"/>
    </row>
    <row r="106" ht="15.75" customHeight="1">
      <c r="D106" s="21"/>
      <c r="M106" s="22"/>
      <c r="N106" s="23"/>
      <c r="O106" s="24"/>
      <c r="P106" s="24"/>
      <c r="Q106" s="24"/>
      <c r="R106" s="24"/>
      <c r="S106" s="24"/>
      <c r="T106" s="24"/>
      <c r="U106" s="25"/>
      <c r="X106" s="26"/>
      <c r="Y106" s="27"/>
      <c r="Z106" s="28"/>
      <c r="AA106" s="28"/>
      <c r="AB106" s="28"/>
    </row>
    <row r="107" ht="15.75" customHeight="1">
      <c r="D107" s="21"/>
      <c r="M107" s="22"/>
      <c r="N107" s="23"/>
      <c r="O107" s="24"/>
      <c r="P107" s="24"/>
      <c r="Q107" s="24"/>
      <c r="R107" s="24"/>
      <c r="S107" s="24"/>
      <c r="T107" s="24"/>
      <c r="U107" s="25"/>
      <c r="X107" s="26"/>
      <c r="Y107" s="27"/>
      <c r="Z107" s="28"/>
      <c r="AA107" s="28"/>
      <c r="AB107" s="28"/>
    </row>
    <row r="108" ht="15.75" customHeight="1">
      <c r="D108" s="21"/>
      <c r="M108" s="22"/>
      <c r="N108" s="23"/>
      <c r="O108" s="24"/>
      <c r="P108" s="24"/>
      <c r="Q108" s="24"/>
      <c r="R108" s="24"/>
      <c r="S108" s="24"/>
      <c r="T108" s="24"/>
      <c r="U108" s="25"/>
      <c r="X108" s="26"/>
      <c r="Y108" s="27"/>
      <c r="Z108" s="28"/>
      <c r="AA108" s="28"/>
      <c r="AB108" s="28"/>
    </row>
    <row r="109" ht="15.75" customHeight="1">
      <c r="D109" s="21"/>
      <c r="M109" s="22"/>
      <c r="N109" s="23"/>
      <c r="O109" s="24"/>
      <c r="P109" s="24"/>
      <c r="Q109" s="24"/>
      <c r="R109" s="24"/>
      <c r="S109" s="24"/>
      <c r="T109" s="24"/>
      <c r="U109" s="25"/>
      <c r="X109" s="26"/>
      <c r="Y109" s="27"/>
      <c r="Z109" s="28"/>
      <c r="AA109" s="28"/>
      <c r="AB109" s="28"/>
    </row>
    <row r="110" ht="15.75" customHeight="1">
      <c r="D110" s="21"/>
      <c r="M110" s="22"/>
      <c r="N110" s="23"/>
      <c r="O110" s="24"/>
      <c r="P110" s="24"/>
      <c r="Q110" s="24"/>
      <c r="R110" s="24"/>
      <c r="S110" s="24"/>
      <c r="T110" s="24"/>
      <c r="U110" s="25"/>
      <c r="X110" s="26"/>
      <c r="Y110" s="27"/>
      <c r="Z110" s="28"/>
      <c r="AA110" s="28"/>
      <c r="AB110" s="28"/>
    </row>
    <row r="111" ht="15.75" customHeight="1">
      <c r="D111" s="21"/>
      <c r="M111" s="22"/>
      <c r="N111" s="23"/>
      <c r="O111" s="24"/>
      <c r="P111" s="24"/>
      <c r="Q111" s="24"/>
      <c r="R111" s="24"/>
      <c r="S111" s="24"/>
      <c r="T111" s="24"/>
      <c r="U111" s="25"/>
      <c r="X111" s="26"/>
      <c r="Y111" s="27"/>
      <c r="Z111" s="28"/>
      <c r="AA111" s="28"/>
      <c r="AB111" s="28"/>
    </row>
    <row r="112" ht="15.75" customHeight="1">
      <c r="D112" s="21"/>
      <c r="M112" s="22"/>
      <c r="N112" s="23"/>
      <c r="O112" s="24"/>
      <c r="P112" s="24"/>
      <c r="Q112" s="24"/>
      <c r="R112" s="24"/>
      <c r="S112" s="24"/>
      <c r="T112" s="24"/>
      <c r="U112" s="25"/>
      <c r="X112" s="26"/>
      <c r="Y112" s="27"/>
      <c r="Z112" s="28"/>
      <c r="AA112" s="28"/>
      <c r="AB112" s="28"/>
    </row>
    <row r="113" ht="15.75" customHeight="1">
      <c r="D113" s="21"/>
      <c r="M113" s="22"/>
      <c r="N113" s="23"/>
      <c r="O113" s="24"/>
      <c r="P113" s="24"/>
      <c r="Q113" s="24"/>
      <c r="R113" s="24"/>
      <c r="S113" s="24"/>
      <c r="T113" s="24"/>
      <c r="U113" s="25"/>
      <c r="X113" s="26"/>
      <c r="Y113" s="27"/>
      <c r="Z113" s="28"/>
      <c r="AA113" s="28"/>
      <c r="AB113" s="28"/>
    </row>
    <row r="114" ht="15.75" customHeight="1">
      <c r="D114" s="21"/>
      <c r="M114" s="22"/>
      <c r="N114" s="23"/>
      <c r="O114" s="24"/>
      <c r="P114" s="24"/>
      <c r="Q114" s="24"/>
      <c r="R114" s="24"/>
      <c r="S114" s="24"/>
      <c r="T114" s="24"/>
      <c r="U114" s="25"/>
      <c r="X114" s="26"/>
      <c r="Y114" s="27"/>
      <c r="Z114" s="28"/>
      <c r="AA114" s="28"/>
      <c r="AB114" s="28"/>
    </row>
    <row r="115" ht="15.75" customHeight="1">
      <c r="D115" s="21"/>
      <c r="M115" s="22"/>
      <c r="N115" s="23"/>
      <c r="O115" s="24"/>
      <c r="P115" s="24"/>
      <c r="Q115" s="24"/>
      <c r="R115" s="24"/>
      <c r="S115" s="24"/>
      <c r="T115" s="24"/>
      <c r="U115" s="25"/>
      <c r="X115" s="26"/>
      <c r="Y115" s="27"/>
      <c r="Z115" s="28"/>
      <c r="AA115" s="28"/>
      <c r="AB115" s="28"/>
    </row>
    <row r="116" ht="15.75" customHeight="1">
      <c r="D116" s="21"/>
      <c r="M116" s="22"/>
      <c r="N116" s="23"/>
      <c r="O116" s="24"/>
      <c r="P116" s="24"/>
      <c r="Q116" s="24"/>
      <c r="R116" s="24"/>
      <c r="S116" s="24"/>
      <c r="T116" s="24"/>
      <c r="U116" s="25"/>
      <c r="X116" s="26"/>
      <c r="Y116" s="27"/>
      <c r="Z116" s="28"/>
      <c r="AA116" s="28"/>
      <c r="AB116" s="28"/>
    </row>
    <row r="117" ht="15.75" customHeight="1">
      <c r="D117" s="21"/>
      <c r="M117" s="22"/>
      <c r="N117" s="23"/>
      <c r="O117" s="24"/>
      <c r="P117" s="24"/>
      <c r="Q117" s="24"/>
      <c r="R117" s="24"/>
      <c r="S117" s="24"/>
      <c r="T117" s="24"/>
      <c r="U117" s="25"/>
      <c r="X117" s="26"/>
      <c r="Y117" s="27"/>
      <c r="Z117" s="28"/>
      <c r="AA117" s="28"/>
      <c r="AB117" s="28"/>
    </row>
    <row r="118" ht="15.75" customHeight="1">
      <c r="D118" s="21"/>
      <c r="M118" s="22"/>
      <c r="N118" s="23"/>
      <c r="O118" s="24"/>
      <c r="P118" s="24"/>
      <c r="Q118" s="24"/>
      <c r="R118" s="24"/>
      <c r="S118" s="24"/>
      <c r="T118" s="24"/>
      <c r="U118" s="25"/>
      <c r="X118" s="26"/>
      <c r="Y118" s="27"/>
      <c r="Z118" s="28"/>
      <c r="AA118" s="28"/>
      <c r="AB118" s="28"/>
    </row>
    <row r="119" ht="15.75" customHeight="1">
      <c r="D119" s="21"/>
      <c r="M119" s="22"/>
      <c r="N119" s="23"/>
      <c r="O119" s="24"/>
      <c r="P119" s="24"/>
      <c r="Q119" s="24"/>
      <c r="R119" s="24"/>
      <c r="S119" s="24"/>
      <c r="T119" s="24"/>
      <c r="U119" s="25"/>
      <c r="X119" s="26"/>
      <c r="Y119" s="27"/>
      <c r="Z119" s="28"/>
      <c r="AA119" s="28"/>
      <c r="AB119" s="28"/>
    </row>
    <row r="120" ht="15.75" customHeight="1">
      <c r="D120" s="21"/>
      <c r="M120" s="22"/>
      <c r="N120" s="23"/>
      <c r="O120" s="24"/>
      <c r="P120" s="24"/>
      <c r="Q120" s="24"/>
      <c r="R120" s="24"/>
      <c r="S120" s="24"/>
      <c r="T120" s="24"/>
      <c r="U120" s="25"/>
      <c r="X120" s="26"/>
      <c r="Y120" s="27"/>
      <c r="Z120" s="28"/>
      <c r="AA120" s="28"/>
      <c r="AB120" s="28"/>
    </row>
    <row r="121" ht="15.75" customHeight="1">
      <c r="D121" s="21"/>
      <c r="M121" s="22"/>
      <c r="N121" s="23"/>
      <c r="O121" s="24"/>
      <c r="P121" s="24"/>
      <c r="Q121" s="24"/>
      <c r="R121" s="24"/>
      <c r="S121" s="24"/>
      <c r="T121" s="24"/>
      <c r="U121" s="25"/>
      <c r="X121" s="26"/>
      <c r="Y121" s="27"/>
      <c r="Z121" s="28"/>
      <c r="AA121" s="28"/>
      <c r="AB121" s="28"/>
    </row>
    <row r="122" ht="15.75" customHeight="1">
      <c r="D122" s="21"/>
      <c r="M122" s="22"/>
      <c r="N122" s="23"/>
      <c r="O122" s="24"/>
      <c r="P122" s="24"/>
      <c r="Q122" s="24"/>
      <c r="R122" s="24"/>
      <c r="S122" s="24"/>
      <c r="T122" s="24"/>
      <c r="U122" s="25"/>
      <c r="X122" s="26"/>
      <c r="Y122" s="27"/>
      <c r="Z122" s="28"/>
      <c r="AA122" s="28"/>
      <c r="AB122" s="28"/>
    </row>
    <row r="123" ht="15.75" customHeight="1">
      <c r="D123" s="21"/>
      <c r="M123" s="22"/>
      <c r="N123" s="23"/>
      <c r="O123" s="24"/>
      <c r="P123" s="24"/>
      <c r="Q123" s="24"/>
      <c r="R123" s="24"/>
      <c r="S123" s="24"/>
      <c r="T123" s="24"/>
      <c r="U123" s="25"/>
      <c r="X123" s="26"/>
      <c r="Y123" s="27"/>
      <c r="Z123" s="28"/>
      <c r="AA123" s="28"/>
      <c r="AB123" s="28"/>
    </row>
    <row r="124" ht="15.75" customHeight="1">
      <c r="D124" s="21"/>
      <c r="M124" s="22"/>
      <c r="N124" s="23"/>
      <c r="O124" s="24"/>
      <c r="P124" s="24"/>
      <c r="Q124" s="24"/>
      <c r="R124" s="24"/>
      <c r="S124" s="24"/>
      <c r="T124" s="24"/>
      <c r="U124" s="25"/>
      <c r="X124" s="26"/>
      <c r="Y124" s="27"/>
      <c r="Z124" s="28"/>
      <c r="AA124" s="28"/>
      <c r="AB124" s="28"/>
    </row>
    <row r="125" ht="15.75" customHeight="1">
      <c r="D125" s="21"/>
      <c r="M125" s="22"/>
      <c r="N125" s="23"/>
      <c r="O125" s="24"/>
      <c r="P125" s="24"/>
      <c r="Q125" s="24"/>
      <c r="R125" s="24"/>
      <c r="S125" s="24"/>
      <c r="T125" s="24"/>
      <c r="U125" s="25"/>
      <c r="X125" s="26"/>
      <c r="Y125" s="27"/>
      <c r="Z125" s="28"/>
      <c r="AA125" s="28"/>
      <c r="AB125" s="28"/>
    </row>
    <row r="126" ht="15.75" customHeight="1">
      <c r="D126" s="21"/>
      <c r="M126" s="22"/>
      <c r="N126" s="23"/>
      <c r="O126" s="24"/>
      <c r="P126" s="24"/>
      <c r="Q126" s="24"/>
      <c r="R126" s="24"/>
      <c r="S126" s="24"/>
      <c r="T126" s="24"/>
      <c r="U126" s="25"/>
      <c r="X126" s="26"/>
      <c r="Y126" s="27"/>
      <c r="Z126" s="28"/>
      <c r="AA126" s="28"/>
      <c r="AB126" s="28"/>
    </row>
    <row r="127" ht="15.75" customHeight="1">
      <c r="D127" s="21"/>
      <c r="M127" s="22"/>
      <c r="N127" s="23"/>
      <c r="O127" s="24"/>
      <c r="P127" s="24"/>
      <c r="Q127" s="24"/>
      <c r="R127" s="24"/>
      <c r="S127" s="24"/>
      <c r="T127" s="24"/>
      <c r="U127" s="25"/>
      <c r="X127" s="26"/>
      <c r="Y127" s="27"/>
      <c r="Z127" s="28"/>
      <c r="AA127" s="28"/>
      <c r="AB127" s="28"/>
    </row>
    <row r="128" ht="15.75" customHeight="1">
      <c r="D128" s="21"/>
      <c r="M128" s="22"/>
      <c r="N128" s="23"/>
      <c r="O128" s="24"/>
      <c r="P128" s="24"/>
      <c r="Q128" s="24"/>
      <c r="R128" s="24"/>
      <c r="S128" s="24"/>
      <c r="T128" s="24"/>
      <c r="U128" s="25"/>
      <c r="X128" s="26"/>
      <c r="Y128" s="27"/>
      <c r="Z128" s="28"/>
      <c r="AA128" s="28"/>
      <c r="AB128" s="28"/>
    </row>
    <row r="129" ht="15.75" customHeight="1">
      <c r="D129" s="21"/>
      <c r="M129" s="22"/>
      <c r="N129" s="23"/>
      <c r="O129" s="24"/>
      <c r="P129" s="24"/>
      <c r="Q129" s="24"/>
      <c r="R129" s="24"/>
      <c r="S129" s="24"/>
      <c r="T129" s="24"/>
      <c r="U129" s="25"/>
      <c r="X129" s="26"/>
      <c r="Y129" s="27"/>
      <c r="Z129" s="28"/>
      <c r="AA129" s="28"/>
      <c r="AB129" s="28"/>
    </row>
    <row r="130" ht="15.75" customHeight="1">
      <c r="D130" s="21"/>
      <c r="M130" s="22"/>
      <c r="N130" s="23"/>
      <c r="O130" s="24"/>
      <c r="P130" s="24"/>
      <c r="Q130" s="24"/>
      <c r="R130" s="24"/>
      <c r="S130" s="24"/>
      <c r="T130" s="24"/>
      <c r="U130" s="25"/>
      <c r="X130" s="26"/>
      <c r="Y130" s="27"/>
      <c r="Z130" s="28"/>
      <c r="AA130" s="28"/>
      <c r="AB130" s="28"/>
    </row>
    <row r="131" ht="15.75" customHeight="1">
      <c r="D131" s="21"/>
      <c r="M131" s="22"/>
      <c r="N131" s="23"/>
      <c r="O131" s="24"/>
      <c r="P131" s="24"/>
      <c r="Q131" s="24"/>
      <c r="R131" s="24"/>
      <c r="S131" s="24"/>
      <c r="T131" s="24"/>
      <c r="U131" s="25"/>
      <c r="X131" s="26"/>
      <c r="Y131" s="27"/>
      <c r="Z131" s="28"/>
      <c r="AA131" s="28"/>
      <c r="AB131" s="28"/>
    </row>
    <row r="132" ht="15.75" customHeight="1">
      <c r="D132" s="21"/>
      <c r="M132" s="22"/>
      <c r="N132" s="23"/>
      <c r="O132" s="24"/>
      <c r="P132" s="24"/>
      <c r="Q132" s="24"/>
      <c r="R132" s="24"/>
      <c r="S132" s="24"/>
      <c r="T132" s="24"/>
      <c r="U132" s="25"/>
      <c r="X132" s="26"/>
      <c r="Y132" s="27"/>
      <c r="Z132" s="28"/>
      <c r="AA132" s="28"/>
      <c r="AB132" s="28"/>
    </row>
    <row r="133" ht="15.75" customHeight="1">
      <c r="D133" s="21"/>
      <c r="M133" s="22"/>
      <c r="N133" s="23"/>
      <c r="O133" s="24"/>
      <c r="P133" s="24"/>
      <c r="Q133" s="24"/>
      <c r="R133" s="24"/>
      <c r="S133" s="24"/>
      <c r="T133" s="24"/>
      <c r="U133" s="25"/>
      <c r="X133" s="26"/>
      <c r="Y133" s="27"/>
      <c r="Z133" s="28"/>
      <c r="AA133" s="28"/>
      <c r="AB133" s="28"/>
    </row>
    <row r="134" ht="15.75" customHeight="1">
      <c r="D134" s="21"/>
      <c r="M134" s="22"/>
      <c r="N134" s="23"/>
      <c r="O134" s="24"/>
      <c r="P134" s="24"/>
      <c r="Q134" s="24"/>
      <c r="R134" s="24"/>
      <c r="S134" s="24"/>
      <c r="T134" s="24"/>
      <c r="U134" s="25"/>
      <c r="X134" s="26"/>
      <c r="Y134" s="27"/>
      <c r="Z134" s="28"/>
      <c r="AA134" s="28"/>
      <c r="AB134" s="28"/>
    </row>
    <row r="135" ht="15.75" customHeight="1">
      <c r="D135" s="21"/>
      <c r="M135" s="22"/>
      <c r="N135" s="23"/>
      <c r="O135" s="24"/>
      <c r="P135" s="24"/>
      <c r="Q135" s="24"/>
      <c r="R135" s="24"/>
      <c r="S135" s="24"/>
      <c r="T135" s="24"/>
      <c r="U135" s="25"/>
      <c r="X135" s="26"/>
      <c r="Y135" s="27"/>
      <c r="Z135" s="28"/>
      <c r="AA135" s="28"/>
      <c r="AB135" s="28"/>
    </row>
    <row r="136" ht="15.75" customHeight="1">
      <c r="D136" s="21"/>
      <c r="M136" s="22"/>
      <c r="N136" s="23"/>
      <c r="O136" s="24"/>
      <c r="P136" s="24"/>
      <c r="Q136" s="24"/>
      <c r="R136" s="24"/>
      <c r="S136" s="24"/>
      <c r="T136" s="24"/>
      <c r="U136" s="25"/>
      <c r="X136" s="26"/>
      <c r="Y136" s="27"/>
      <c r="Z136" s="28"/>
      <c r="AA136" s="28"/>
      <c r="AB136" s="28"/>
    </row>
    <row r="137" ht="15.75" customHeight="1">
      <c r="D137" s="21"/>
      <c r="M137" s="22"/>
      <c r="N137" s="23"/>
      <c r="O137" s="24"/>
      <c r="P137" s="24"/>
      <c r="Q137" s="24"/>
      <c r="R137" s="24"/>
      <c r="S137" s="24"/>
      <c r="T137" s="24"/>
      <c r="U137" s="25"/>
      <c r="X137" s="26"/>
      <c r="Y137" s="27"/>
      <c r="Z137" s="28"/>
      <c r="AA137" s="28"/>
      <c r="AB137" s="28"/>
    </row>
    <row r="138" ht="15.75" customHeight="1">
      <c r="D138" s="21"/>
      <c r="M138" s="22"/>
      <c r="N138" s="23"/>
      <c r="O138" s="24"/>
      <c r="P138" s="24"/>
      <c r="Q138" s="24"/>
      <c r="R138" s="24"/>
      <c r="S138" s="24"/>
      <c r="T138" s="24"/>
      <c r="U138" s="25"/>
      <c r="X138" s="26"/>
      <c r="Y138" s="27"/>
      <c r="Z138" s="28"/>
      <c r="AA138" s="28"/>
      <c r="AB138" s="28"/>
    </row>
    <row r="139" ht="15.75" customHeight="1">
      <c r="D139" s="21"/>
      <c r="M139" s="22"/>
      <c r="N139" s="23"/>
      <c r="O139" s="24"/>
      <c r="P139" s="24"/>
      <c r="Q139" s="24"/>
      <c r="R139" s="24"/>
      <c r="S139" s="24"/>
      <c r="T139" s="24"/>
      <c r="U139" s="25"/>
      <c r="X139" s="26"/>
      <c r="Y139" s="27"/>
      <c r="Z139" s="28"/>
      <c r="AA139" s="28"/>
      <c r="AB139" s="28"/>
    </row>
    <row r="140" ht="15.75" customHeight="1">
      <c r="D140" s="21"/>
      <c r="M140" s="22"/>
      <c r="N140" s="23"/>
      <c r="O140" s="24"/>
      <c r="P140" s="24"/>
      <c r="Q140" s="24"/>
      <c r="R140" s="24"/>
      <c r="S140" s="24"/>
      <c r="T140" s="24"/>
      <c r="U140" s="25"/>
      <c r="X140" s="26"/>
      <c r="Y140" s="27"/>
      <c r="Z140" s="28"/>
      <c r="AA140" s="28"/>
      <c r="AB140" s="28"/>
    </row>
    <row r="141" ht="15.75" customHeight="1">
      <c r="D141" s="21"/>
      <c r="M141" s="22"/>
      <c r="N141" s="23"/>
      <c r="O141" s="24"/>
      <c r="P141" s="24"/>
      <c r="Q141" s="24"/>
      <c r="R141" s="24"/>
      <c r="S141" s="24"/>
      <c r="T141" s="24"/>
      <c r="U141" s="25"/>
      <c r="X141" s="26"/>
      <c r="Y141" s="27"/>
      <c r="Z141" s="28"/>
      <c r="AA141" s="28"/>
      <c r="AB141" s="28"/>
    </row>
    <row r="142" ht="15.75" customHeight="1">
      <c r="D142" s="21"/>
      <c r="M142" s="22"/>
      <c r="N142" s="23"/>
      <c r="O142" s="24"/>
      <c r="P142" s="24"/>
      <c r="Q142" s="24"/>
      <c r="R142" s="24"/>
      <c r="S142" s="24"/>
      <c r="T142" s="24"/>
      <c r="U142" s="25"/>
      <c r="X142" s="26"/>
      <c r="Y142" s="27"/>
      <c r="Z142" s="28"/>
      <c r="AA142" s="28"/>
      <c r="AB142" s="28"/>
    </row>
    <row r="143" ht="15.75" customHeight="1">
      <c r="D143" s="21"/>
      <c r="M143" s="22"/>
      <c r="N143" s="23"/>
      <c r="O143" s="24"/>
      <c r="P143" s="24"/>
      <c r="Q143" s="24"/>
      <c r="R143" s="24"/>
      <c r="S143" s="24"/>
      <c r="T143" s="24"/>
      <c r="U143" s="25"/>
      <c r="X143" s="26"/>
      <c r="Y143" s="27"/>
      <c r="Z143" s="28"/>
      <c r="AA143" s="28"/>
      <c r="AB143" s="28"/>
    </row>
    <row r="144" ht="15.75" customHeight="1">
      <c r="D144" s="21"/>
      <c r="M144" s="22"/>
      <c r="N144" s="23"/>
      <c r="O144" s="24"/>
      <c r="P144" s="24"/>
      <c r="Q144" s="24"/>
      <c r="R144" s="24"/>
      <c r="S144" s="24"/>
      <c r="T144" s="24"/>
      <c r="U144" s="25"/>
      <c r="X144" s="26"/>
      <c r="Y144" s="27"/>
      <c r="Z144" s="28"/>
      <c r="AA144" s="28"/>
      <c r="AB144" s="28"/>
    </row>
    <row r="145" ht="15.75" customHeight="1">
      <c r="D145" s="21"/>
      <c r="M145" s="22"/>
      <c r="N145" s="23"/>
      <c r="O145" s="24"/>
      <c r="P145" s="24"/>
      <c r="Q145" s="24"/>
      <c r="R145" s="24"/>
      <c r="S145" s="24"/>
      <c r="T145" s="24"/>
      <c r="U145" s="25"/>
      <c r="X145" s="26"/>
      <c r="Y145" s="27"/>
      <c r="Z145" s="28"/>
      <c r="AA145" s="28"/>
      <c r="AB145" s="28"/>
    </row>
    <row r="146" ht="15.75" customHeight="1">
      <c r="D146" s="21"/>
      <c r="M146" s="22"/>
      <c r="N146" s="23"/>
      <c r="O146" s="24"/>
      <c r="P146" s="24"/>
      <c r="Q146" s="24"/>
      <c r="R146" s="24"/>
      <c r="S146" s="24"/>
      <c r="T146" s="24"/>
      <c r="U146" s="25"/>
      <c r="X146" s="26"/>
      <c r="Y146" s="27"/>
      <c r="Z146" s="28"/>
      <c r="AA146" s="28"/>
      <c r="AB146" s="28"/>
    </row>
    <row r="147" ht="15.75" customHeight="1">
      <c r="D147" s="21"/>
      <c r="M147" s="22"/>
      <c r="N147" s="23"/>
      <c r="O147" s="24"/>
      <c r="P147" s="24"/>
      <c r="Q147" s="24"/>
      <c r="R147" s="24"/>
      <c r="S147" s="24"/>
      <c r="T147" s="24"/>
      <c r="U147" s="25"/>
      <c r="X147" s="26"/>
      <c r="Y147" s="27"/>
      <c r="Z147" s="28"/>
      <c r="AA147" s="28"/>
      <c r="AB147" s="28"/>
    </row>
    <row r="148" ht="15.75" customHeight="1">
      <c r="D148" s="21"/>
      <c r="M148" s="22"/>
      <c r="N148" s="23"/>
      <c r="O148" s="24"/>
      <c r="P148" s="24"/>
      <c r="Q148" s="24"/>
      <c r="R148" s="24"/>
      <c r="S148" s="24"/>
      <c r="T148" s="24"/>
      <c r="U148" s="25"/>
      <c r="X148" s="26"/>
      <c r="Y148" s="27"/>
      <c r="Z148" s="28"/>
      <c r="AA148" s="28"/>
      <c r="AB148" s="28"/>
    </row>
    <row r="149" ht="15.75" customHeight="1">
      <c r="D149" s="21"/>
      <c r="M149" s="22"/>
      <c r="N149" s="23"/>
      <c r="O149" s="24"/>
      <c r="P149" s="24"/>
      <c r="Q149" s="24"/>
      <c r="R149" s="24"/>
      <c r="S149" s="24"/>
      <c r="T149" s="24"/>
      <c r="U149" s="25"/>
      <c r="X149" s="26"/>
      <c r="Y149" s="27"/>
      <c r="Z149" s="28"/>
      <c r="AA149" s="28"/>
      <c r="AB149" s="28"/>
    </row>
    <row r="150" ht="15.75" customHeight="1">
      <c r="D150" s="21"/>
      <c r="M150" s="22"/>
      <c r="N150" s="23"/>
      <c r="O150" s="24"/>
      <c r="P150" s="24"/>
      <c r="Q150" s="24"/>
      <c r="R150" s="24"/>
      <c r="S150" s="24"/>
      <c r="T150" s="24"/>
      <c r="U150" s="25"/>
      <c r="X150" s="26"/>
      <c r="Y150" s="27"/>
      <c r="Z150" s="28"/>
      <c r="AA150" s="28"/>
      <c r="AB150" s="28"/>
    </row>
    <row r="151" ht="15.75" customHeight="1">
      <c r="D151" s="21"/>
      <c r="M151" s="22"/>
      <c r="N151" s="23"/>
      <c r="O151" s="24"/>
      <c r="P151" s="24"/>
      <c r="Q151" s="24"/>
      <c r="R151" s="24"/>
      <c r="S151" s="24"/>
      <c r="T151" s="24"/>
      <c r="U151" s="25"/>
      <c r="X151" s="26"/>
      <c r="Y151" s="27"/>
      <c r="Z151" s="28"/>
      <c r="AA151" s="28"/>
      <c r="AB151" s="28"/>
    </row>
    <row r="152" ht="15.75" customHeight="1">
      <c r="D152" s="21"/>
      <c r="M152" s="22"/>
      <c r="N152" s="23"/>
      <c r="O152" s="24"/>
      <c r="P152" s="24"/>
      <c r="Q152" s="24"/>
      <c r="R152" s="24"/>
      <c r="S152" s="24"/>
      <c r="T152" s="24"/>
      <c r="U152" s="25"/>
      <c r="X152" s="26"/>
      <c r="Y152" s="27"/>
      <c r="Z152" s="28"/>
      <c r="AA152" s="28"/>
      <c r="AB152" s="28"/>
    </row>
    <row r="153" ht="15.75" customHeight="1">
      <c r="D153" s="21"/>
      <c r="M153" s="22"/>
      <c r="N153" s="23"/>
      <c r="O153" s="24"/>
      <c r="P153" s="24"/>
      <c r="Q153" s="24"/>
      <c r="R153" s="24"/>
      <c r="S153" s="24"/>
      <c r="T153" s="24"/>
      <c r="U153" s="25"/>
      <c r="X153" s="26"/>
      <c r="Y153" s="27"/>
      <c r="Z153" s="28"/>
      <c r="AA153" s="28"/>
      <c r="AB153" s="28"/>
    </row>
    <row r="154" ht="15.75" customHeight="1">
      <c r="D154" s="21"/>
      <c r="M154" s="22"/>
      <c r="N154" s="23"/>
      <c r="O154" s="24"/>
      <c r="P154" s="24"/>
      <c r="Q154" s="24"/>
      <c r="R154" s="24"/>
      <c r="S154" s="24"/>
      <c r="T154" s="24"/>
      <c r="U154" s="25"/>
      <c r="X154" s="26"/>
      <c r="Y154" s="27"/>
      <c r="Z154" s="28"/>
      <c r="AA154" s="28"/>
      <c r="AB154" s="28"/>
    </row>
    <row r="155" ht="15.75" customHeight="1">
      <c r="D155" s="21"/>
      <c r="M155" s="22"/>
      <c r="N155" s="23"/>
      <c r="O155" s="24"/>
      <c r="P155" s="24"/>
      <c r="Q155" s="24"/>
      <c r="R155" s="24"/>
      <c r="S155" s="24"/>
      <c r="T155" s="24"/>
      <c r="U155" s="25"/>
      <c r="X155" s="26"/>
      <c r="Y155" s="27"/>
      <c r="Z155" s="28"/>
      <c r="AA155" s="28"/>
      <c r="AB155" s="28"/>
    </row>
    <row r="156" ht="15.75" customHeight="1">
      <c r="D156" s="21"/>
      <c r="M156" s="22"/>
      <c r="N156" s="23"/>
      <c r="O156" s="24"/>
      <c r="P156" s="24"/>
      <c r="Q156" s="24"/>
      <c r="R156" s="24"/>
      <c r="S156" s="24"/>
      <c r="T156" s="24"/>
      <c r="U156" s="25"/>
      <c r="X156" s="26"/>
      <c r="Y156" s="27"/>
      <c r="Z156" s="28"/>
      <c r="AA156" s="28"/>
      <c r="AB156" s="28"/>
    </row>
    <row r="157" ht="15.75" customHeight="1">
      <c r="D157" s="21"/>
      <c r="M157" s="22"/>
      <c r="N157" s="23"/>
      <c r="O157" s="24"/>
      <c r="P157" s="24"/>
      <c r="Q157" s="24"/>
      <c r="R157" s="24"/>
      <c r="S157" s="24"/>
      <c r="T157" s="24"/>
      <c r="U157" s="25"/>
      <c r="X157" s="26"/>
      <c r="Y157" s="27"/>
      <c r="Z157" s="28"/>
      <c r="AA157" s="28"/>
      <c r="AB157" s="28"/>
    </row>
    <row r="158" ht="15.75" customHeight="1">
      <c r="D158" s="21"/>
      <c r="M158" s="22"/>
      <c r="N158" s="23"/>
      <c r="O158" s="24"/>
      <c r="P158" s="24"/>
      <c r="Q158" s="24"/>
      <c r="R158" s="24"/>
      <c r="S158" s="24"/>
      <c r="T158" s="24"/>
      <c r="U158" s="25"/>
      <c r="X158" s="26"/>
      <c r="Y158" s="27"/>
      <c r="Z158" s="28"/>
      <c r="AA158" s="28"/>
      <c r="AB158" s="28"/>
    </row>
    <row r="159" ht="15.75" customHeight="1">
      <c r="D159" s="21"/>
      <c r="M159" s="22"/>
      <c r="N159" s="23"/>
      <c r="O159" s="24"/>
      <c r="P159" s="24"/>
      <c r="Q159" s="24"/>
      <c r="R159" s="24"/>
      <c r="S159" s="24"/>
      <c r="T159" s="24"/>
      <c r="U159" s="25"/>
      <c r="X159" s="26"/>
      <c r="Y159" s="27"/>
      <c r="Z159" s="28"/>
      <c r="AA159" s="28"/>
      <c r="AB159" s="28"/>
    </row>
    <row r="160" ht="15.75" customHeight="1">
      <c r="D160" s="21"/>
      <c r="M160" s="22"/>
      <c r="N160" s="23"/>
      <c r="O160" s="24"/>
      <c r="P160" s="24"/>
      <c r="Q160" s="24"/>
      <c r="R160" s="24"/>
      <c r="S160" s="24"/>
      <c r="T160" s="24"/>
      <c r="U160" s="25"/>
      <c r="X160" s="26"/>
      <c r="Y160" s="27"/>
      <c r="Z160" s="28"/>
      <c r="AA160" s="28"/>
      <c r="AB160" s="28"/>
    </row>
    <row r="161" ht="15.75" customHeight="1">
      <c r="D161" s="21"/>
      <c r="M161" s="22"/>
      <c r="N161" s="23"/>
      <c r="O161" s="24"/>
      <c r="P161" s="24"/>
      <c r="Q161" s="24"/>
      <c r="R161" s="24"/>
      <c r="S161" s="24"/>
      <c r="T161" s="24"/>
      <c r="U161" s="25"/>
      <c r="X161" s="26"/>
      <c r="Y161" s="27"/>
      <c r="Z161" s="28"/>
      <c r="AA161" s="28"/>
      <c r="AB161" s="28"/>
    </row>
    <row r="162" ht="15.75" customHeight="1">
      <c r="D162" s="21"/>
      <c r="M162" s="22"/>
      <c r="N162" s="23"/>
      <c r="O162" s="24"/>
      <c r="P162" s="24"/>
      <c r="Q162" s="24"/>
      <c r="R162" s="24"/>
      <c r="S162" s="24"/>
      <c r="T162" s="24"/>
      <c r="U162" s="25"/>
      <c r="X162" s="26"/>
      <c r="Y162" s="27"/>
      <c r="Z162" s="28"/>
      <c r="AA162" s="28"/>
      <c r="AB162" s="28"/>
    </row>
    <row r="163" ht="15.75" customHeight="1">
      <c r="D163" s="21"/>
      <c r="M163" s="22"/>
      <c r="N163" s="23"/>
      <c r="O163" s="24"/>
      <c r="P163" s="24"/>
      <c r="Q163" s="24"/>
      <c r="R163" s="24"/>
      <c r="S163" s="24"/>
      <c r="T163" s="24"/>
      <c r="U163" s="25"/>
      <c r="X163" s="26"/>
      <c r="Y163" s="27"/>
      <c r="Z163" s="28"/>
      <c r="AA163" s="28"/>
      <c r="AB163" s="28"/>
    </row>
    <row r="164" ht="15.75" customHeight="1">
      <c r="D164" s="21"/>
      <c r="M164" s="22"/>
      <c r="N164" s="23"/>
      <c r="O164" s="24"/>
      <c r="P164" s="24"/>
      <c r="Q164" s="24"/>
      <c r="R164" s="24"/>
      <c r="S164" s="24"/>
      <c r="T164" s="24"/>
      <c r="U164" s="25"/>
      <c r="X164" s="26"/>
      <c r="Y164" s="27"/>
      <c r="Z164" s="28"/>
      <c r="AA164" s="28"/>
      <c r="AB164" s="28"/>
    </row>
    <row r="165" ht="15.75" customHeight="1">
      <c r="D165" s="21"/>
      <c r="M165" s="22"/>
      <c r="N165" s="23"/>
      <c r="O165" s="24"/>
      <c r="P165" s="24"/>
      <c r="Q165" s="24"/>
      <c r="R165" s="24"/>
      <c r="S165" s="24"/>
      <c r="T165" s="24"/>
      <c r="U165" s="25"/>
      <c r="X165" s="26"/>
      <c r="Y165" s="27"/>
      <c r="Z165" s="28"/>
      <c r="AA165" s="28"/>
      <c r="AB165" s="28"/>
    </row>
    <row r="166" ht="15.75" customHeight="1">
      <c r="D166" s="21"/>
      <c r="M166" s="22"/>
      <c r="N166" s="23"/>
      <c r="O166" s="24"/>
      <c r="P166" s="24"/>
      <c r="Q166" s="24"/>
      <c r="R166" s="24"/>
      <c r="S166" s="24"/>
      <c r="T166" s="24"/>
      <c r="U166" s="25"/>
      <c r="X166" s="26"/>
      <c r="Y166" s="27"/>
      <c r="Z166" s="28"/>
      <c r="AA166" s="28"/>
      <c r="AB166" s="28"/>
    </row>
    <row r="167" ht="15.75" customHeight="1">
      <c r="D167" s="21"/>
      <c r="M167" s="22"/>
      <c r="N167" s="23"/>
      <c r="O167" s="24"/>
      <c r="P167" s="24"/>
      <c r="Q167" s="24"/>
      <c r="R167" s="24"/>
      <c r="S167" s="24"/>
      <c r="T167" s="24"/>
      <c r="U167" s="25"/>
      <c r="X167" s="26"/>
      <c r="Y167" s="27"/>
      <c r="Z167" s="28"/>
      <c r="AA167" s="28"/>
      <c r="AB167" s="28"/>
    </row>
    <row r="168" ht="15.75" customHeight="1">
      <c r="D168" s="21"/>
      <c r="M168" s="22"/>
      <c r="N168" s="23"/>
      <c r="O168" s="24"/>
      <c r="P168" s="24"/>
      <c r="Q168" s="24"/>
      <c r="R168" s="24"/>
      <c r="S168" s="24"/>
      <c r="T168" s="24"/>
      <c r="U168" s="25"/>
      <c r="X168" s="26"/>
      <c r="Y168" s="27"/>
      <c r="Z168" s="28"/>
      <c r="AA168" s="28"/>
      <c r="AB168" s="28"/>
    </row>
    <row r="169" ht="15.75" customHeight="1">
      <c r="D169" s="21"/>
      <c r="M169" s="22"/>
      <c r="N169" s="23"/>
      <c r="O169" s="24"/>
      <c r="P169" s="24"/>
      <c r="Q169" s="24"/>
      <c r="R169" s="24"/>
      <c r="S169" s="24"/>
      <c r="T169" s="24"/>
      <c r="U169" s="25"/>
      <c r="X169" s="26"/>
      <c r="Y169" s="27"/>
      <c r="Z169" s="28"/>
      <c r="AA169" s="28"/>
      <c r="AB169" s="28"/>
    </row>
    <row r="170" ht="15.75" customHeight="1">
      <c r="D170" s="21"/>
      <c r="M170" s="22"/>
      <c r="N170" s="23"/>
      <c r="O170" s="24"/>
      <c r="P170" s="24"/>
      <c r="Q170" s="24"/>
      <c r="R170" s="24"/>
      <c r="S170" s="24"/>
      <c r="T170" s="24"/>
      <c r="U170" s="25"/>
      <c r="X170" s="26"/>
      <c r="Y170" s="27"/>
      <c r="Z170" s="28"/>
      <c r="AA170" s="28"/>
      <c r="AB170" s="28"/>
    </row>
    <row r="171" ht="15.75" customHeight="1">
      <c r="D171" s="21"/>
      <c r="M171" s="22"/>
      <c r="N171" s="23"/>
      <c r="O171" s="24"/>
      <c r="P171" s="24"/>
      <c r="Q171" s="24"/>
      <c r="R171" s="24"/>
      <c r="S171" s="24"/>
      <c r="T171" s="24"/>
      <c r="U171" s="25"/>
      <c r="X171" s="26"/>
      <c r="Y171" s="27"/>
      <c r="Z171" s="28"/>
      <c r="AA171" s="28"/>
      <c r="AB171" s="28"/>
    </row>
    <row r="172" ht="15.75" customHeight="1">
      <c r="D172" s="21"/>
      <c r="M172" s="22"/>
      <c r="N172" s="23"/>
      <c r="O172" s="24"/>
      <c r="P172" s="24"/>
      <c r="Q172" s="24"/>
      <c r="R172" s="24"/>
      <c r="S172" s="24"/>
      <c r="T172" s="24"/>
      <c r="U172" s="25"/>
      <c r="X172" s="26"/>
      <c r="Y172" s="27"/>
      <c r="Z172" s="28"/>
      <c r="AA172" s="28"/>
      <c r="AB172" s="28"/>
    </row>
    <row r="173" ht="15.75" customHeight="1">
      <c r="D173" s="21"/>
      <c r="M173" s="22"/>
      <c r="N173" s="23"/>
      <c r="O173" s="24"/>
      <c r="P173" s="24"/>
      <c r="Q173" s="24"/>
      <c r="R173" s="24"/>
      <c r="S173" s="24"/>
      <c r="T173" s="24"/>
      <c r="U173" s="25"/>
      <c r="X173" s="26"/>
      <c r="Y173" s="27"/>
      <c r="Z173" s="28"/>
      <c r="AA173" s="28"/>
      <c r="AB173" s="28"/>
    </row>
    <row r="174" ht="15.75" customHeight="1">
      <c r="D174" s="21"/>
      <c r="M174" s="22"/>
      <c r="N174" s="23"/>
      <c r="O174" s="24"/>
      <c r="P174" s="24"/>
      <c r="Q174" s="24"/>
      <c r="R174" s="24"/>
      <c r="S174" s="24"/>
      <c r="T174" s="24"/>
      <c r="U174" s="25"/>
      <c r="X174" s="26"/>
      <c r="Y174" s="27"/>
      <c r="Z174" s="28"/>
      <c r="AA174" s="28"/>
      <c r="AB174" s="28"/>
    </row>
    <row r="175" ht="15.75" customHeight="1">
      <c r="D175" s="21"/>
      <c r="M175" s="22"/>
      <c r="N175" s="23"/>
      <c r="O175" s="24"/>
      <c r="P175" s="24"/>
      <c r="Q175" s="24"/>
      <c r="R175" s="24"/>
      <c r="S175" s="24"/>
      <c r="T175" s="24"/>
      <c r="U175" s="25"/>
      <c r="X175" s="26"/>
      <c r="Y175" s="27"/>
      <c r="Z175" s="28"/>
      <c r="AA175" s="28"/>
      <c r="AB175" s="28"/>
    </row>
    <row r="176" ht="15.75" customHeight="1">
      <c r="D176" s="21"/>
      <c r="M176" s="22"/>
      <c r="N176" s="23"/>
      <c r="O176" s="24"/>
      <c r="P176" s="24"/>
      <c r="Q176" s="24"/>
      <c r="R176" s="24"/>
      <c r="S176" s="24"/>
      <c r="T176" s="24"/>
      <c r="U176" s="25"/>
      <c r="X176" s="26"/>
      <c r="Y176" s="27"/>
      <c r="Z176" s="28"/>
      <c r="AA176" s="28"/>
      <c r="AB176" s="28"/>
    </row>
    <row r="177" ht="15.75" customHeight="1">
      <c r="D177" s="21"/>
      <c r="M177" s="22"/>
      <c r="N177" s="23"/>
      <c r="O177" s="24"/>
      <c r="P177" s="24"/>
      <c r="Q177" s="24"/>
      <c r="R177" s="24"/>
      <c r="S177" s="24"/>
      <c r="T177" s="24"/>
      <c r="U177" s="25"/>
      <c r="X177" s="26"/>
      <c r="Y177" s="27"/>
      <c r="Z177" s="28"/>
      <c r="AA177" s="28"/>
      <c r="AB177" s="28"/>
    </row>
    <row r="178" ht="15.75" customHeight="1">
      <c r="D178" s="21"/>
      <c r="M178" s="22"/>
      <c r="N178" s="23"/>
      <c r="O178" s="24"/>
      <c r="P178" s="24"/>
      <c r="Q178" s="24"/>
      <c r="R178" s="24"/>
      <c r="S178" s="24"/>
      <c r="T178" s="24"/>
      <c r="U178" s="25"/>
      <c r="X178" s="26"/>
      <c r="Y178" s="27"/>
      <c r="Z178" s="28"/>
      <c r="AA178" s="28"/>
      <c r="AB178" s="28"/>
    </row>
    <row r="179" ht="15.75" customHeight="1">
      <c r="D179" s="21"/>
      <c r="M179" s="22"/>
      <c r="N179" s="23"/>
      <c r="O179" s="24"/>
      <c r="P179" s="24"/>
      <c r="Q179" s="24"/>
      <c r="R179" s="24"/>
      <c r="S179" s="24"/>
      <c r="T179" s="24"/>
      <c r="U179" s="25"/>
      <c r="X179" s="26"/>
      <c r="Y179" s="27"/>
      <c r="Z179" s="28"/>
      <c r="AA179" s="28"/>
      <c r="AB179" s="28"/>
    </row>
    <row r="180" ht="15.75" customHeight="1">
      <c r="D180" s="21"/>
      <c r="M180" s="22"/>
      <c r="N180" s="23"/>
      <c r="O180" s="24"/>
      <c r="P180" s="24"/>
      <c r="Q180" s="24"/>
      <c r="R180" s="24"/>
      <c r="S180" s="24"/>
      <c r="T180" s="24"/>
      <c r="U180" s="25"/>
      <c r="X180" s="26"/>
      <c r="Y180" s="27"/>
      <c r="Z180" s="28"/>
      <c r="AA180" s="28"/>
      <c r="AB180" s="28"/>
    </row>
    <row r="181" ht="15.75" customHeight="1">
      <c r="D181" s="21"/>
      <c r="M181" s="22"/>
      <c r="N181" s="23"/>
      <c r="O181" s="24"/>
      <c r="P181" s="24"/>
      <c r="Q181" s="24"/>
      <c r="R181" s="24"/>
      <c r="S181" s="24"/>
      <c r="T181" s="24"/>
      <c r="U181" s="25"/>
      <c r="X181" s="26"/>
      <c r="Y181" s="27"/>
      <c r="Z181" s="28"/>
      <c r="AA181" s="28"/>
      <c r="AB181" s="28"/>
    </row>
    <row r="182" ht="15.75" customHeight="1">
      <c r="D182" s="21"/>
      <c r="M182" s="22"/>
      <c r="N182" s="23"/>
      <c r="O182" s="24"/>
      <c r="P182" s="24"/>
      <c r="Q182" s="24"/>
      <c r="R182" s="24"/>
      <c r="S182" s="24"/>
      <c r="T182" s="24"/>
      <c r="U182" s="25"/>
      <c r="X182" s="26"/>
      <c r="Y182" s="27"/>
      <c r="Z182" s="28"/>
      <c r="AA182" s="28"/>
      <c r="AB182" s="28"/>
    </row>
    <row r="183" ht="15.75" customHeight="1">
      <c r="D183" s="21"/>
      <c r="M183" s="22"/>
      <c r="N183" s="23"/>
      <c r="O183" s="24"/>
      <c r="P183" s="24"/>
      <c r="Q183" s="24"/>
      <c r="R183" s="24"/>
      <c r="S183" s="24"/>
      <c r="T183" s="24"/>
      <c r="U183" s="25"/>
      <c r="X183" s="26"/>
      <c r="Y183" s="27"/>
      <c r="Z183" s="28"/>
      <c r="AA183" s="28"/>
      <c r="AB183" s="28"/>
    </row>
    <row r="184" ht="15.75" customHeight="1">
      <c r="D184" s="21"/>
      <c r="M184" s="22"/>
      <c r="N184" s="23"/>
      <c r="O184" s="24"/>
      <c r="P184" s="24"/>
      <c r="Q184" s="24"/>
      <c r="R184" s="24"/>
      <c r="S184" s="24"/>
      <c r="T184" s="24"/>
      <c r="U184" s="25"/>
      <c r="X184" s="26"/>
      <c r="Y184" s="27"/>
      <c r="Z184" s="28"/>
      <c r="AA184" s="28"/>
      <c r="AB184" s="28"/>
    </row>
    <row r="185" ht="15.75" customHeight="1">
      <c r="D185" s="21"/>
      <c r="M185" s="22"/>
      <c r="N185" s="23"/>
      <c r="O185" s="24"/>
      <c r="P185" s="24"/>
      <c r="Q185" s="24"/>
      <c r="R185" s="24"/>
      <c r="S185" s="24"/>
      <c r="T185" s="24"/>
      <c r="U185" s="25"/>
      <c r="X185" s="26"/>
      <c r="Y185" s="27"/>
      <c r="Z185" s="28"/>
      <c r="AA185" s="28"/>
      <c r="AB185" s="28"/>
    </row>
    <row r="186" ht="15.75" customHeight="1">
      <c r="D186" s="21"/>
      <c r="M186" s="22"/>
      <c r="N186" s="23"/>
      <c r="O186" s="24"/>
      <c r="P186" s="24"/>
      <c r="Q186" s="24"/>
      <c r="R186" s="24"/>
      <c r="S186" s="24"/>
      <c r="T186" s="24"/>
      <c r="U186" s="25"/>
      <c r="X186" s="26"/>
      <c r="Y186" s="27"/>
      <c r="Z186" s="28"/>
      <c r="AA186" s="28"/>
      <c r="AB186" s="28"/>
    </row>
    <row r="187" ht="15.75" customHeight="1">
      <c r="D187" s="21"/>
      <c r="M187" s="22"/>
      <c r="N187" s="23"/>
      <c r="O187" s="24"/>
      <c r="P187" s="24"/>
      <c r="Q187" s="24"/>
      <c r="R187" s="24"/>
      <c r="S187" s="24"/>
      <c r="T187" s="24"/>
      <c r="U187" s="25"/>
      <c r="X187" s="26"/>
      <c r="Y187" s="27"/>
      <c r="Z187" s="28"/>
      <c r="AA187" s="28"/>
      <c r="AB187" s="28"/>
    </row>
    <row r="188" ht="15.75" customHeight="1">
      <c r="D188" s="21"/>
      <c r="M188" s="22"/>
      <c r="N188" s="23"/>
      <c r="O188" s="24"/>
      <c r="P188" s="24"/>
      <c r="Q188" s="24"/>
      <c r="R188" s="24"/>
      <c r="S188" s="24"/>
      <c r="T188" s="24"/>
      <c r="U188" s="25"/>
      <c r="X188" s="26"/>
      <c r="Y188" s="27"/>
      <c r="Z188" s="28"/>
      <c r="AA188" s="28"/>
      <c r="AB188" s="28"/>
    </row>
    <row r="189" ht="15.75" customHeight="1">
      <c r="D189" s="21"/>
      <c r="M189" s="22"/>
      <c r="N189" s="23"/>
      <c r="O189" s="24"/>
      <c r="P189" s="24"/>
      <c r="Q189" s="24"/>
      <c r="R189" s="24"/>
      <c r="S189" s="24"/>
      <c r="T189" s="24"/>
      <c r="U189" s="25"/>
      <c r="X189" s="26"/>
      <c r="Y189" s="27"/>
      <c r="Z189" s="28"/>
      <c r="AA189" s="28"/>
      <c r="AB189" s="28"/>
    </row>
    <row r="190" ht="15.75" customHeight="1">
      <c r="D190" s="21"/>
      <c r="M190" s="22"/>
      <c r="N190" s="23"/>
      <c r="O190" s="24"/>
      <c r="P190" s="24"/>
      <c r="Q190" s="24"/>
      <c r="R190" s="24"/>
      <c r="S190" s="24"/>
      <c r="T190" s="24"/>
      <c r="U190" s="25"/>
      <c r="X190" s="26"/>
      <c r="Y190" s="27"/>
      <c r="Z190" s="28"/>
      <c r="AA190" s="28"/>
      <c r="AB190" s="28"/>
    </row>
    <row r="191" ht="15.75" customHeight="1">
      <c r="D191" s="21"/>
      <c r="M191" s="22"/>
      <c r="N191" s="23"/>
      <c r="O191" s="24"/>
      <c r="P191" s="24"/>
      <c r="Q191" s="24"/>
      <c r="R191" s="24"/>
      <c r="S191" s="24"/>
      <c r="T191" s="24"/>
      <c r="U191" s="25"/>
      <c r="X191" s="26"/>
      <c r="Y191" s="27"/>
      <c r="Z191" s="28"/>
      <c r="AA191" s="28"/>
      <c r="AB191" s="28"/>
    </row>
    <row r="192" ht="15.75" customHeight="1">
      <c r="D192" s="21"/>
      <c r="M192" s="22"/>
      <c r="N192" s="23"/>
      <c r="O192" s="24"/>
      <c r="P192" s="24"/>
      <c r="Q192" s="24"/>
      <c r="R192" s="24"/>
      <c r="S192" s="24"/>
      <c r="T192" s="24"/>
      <c r="U192" s="25"/>
      <c r="X192" s="26"/>
      <c r="Y192" s="27"/>
      <c r="Z192" s="28"/>
      <c r="AA192" s="28"/>
      <c r="AB192" s="28"/>
    </row>
    <row r="193" ht="15.75" customHeight="1">
      <c r="D193" s="21"/>
      <c r="M193" s="22"/>
      <c r="N193" s="23"/>
      <c r="O193" s="24"/>
      <c r="P193" s="24"/>
      <c r="Q193" s="24"/>
      <c r="R193" s="24"/>
      <c r="S193" s="24"/>
      <c r="T193" s="24"/>
      <c r="U193" s="25"/>
      <c r="X193" s="26"/>
      <c r="Y193" s="27"/>
      <c r="Z193" s="28"/>
      <c r="AA193" s="28"/>
      <c r="AB193" s="28"/>
    </row>
    <row r="194" ht="15.75" customHeight="1">
      <c r="D194" s="21"/>
      <c r="M194" s="22"/>
      <c r="N194" s="23"/>
      <c r="O194" s="24"/>
      <c r="P194" s="24"/>
      <c r="Q194" s="24"/>
      <c r="R194" s="24"/>
      <c r="S194" s="24"/>
      <c r="T194" s="24"/>
      <c r="U194" s="25"/>
      <c r="X194" s="26"/>
      <c r="Y194" s="27"/>
      <c r="Z194" s="28"/>
      <c r="AA194" s="28"/>
      <c r="AB194" s="28"/>
    </row>
    <row r="195" ht="15.75" customHeight="1">
      <c r="D195" s="21"/>
      <c r="M195" s="22"/>
      <c r="N195" s="23"/>
      <c r="O195" s="24"/>
      <c r="P195" s="24"/>
      <c r="Q195" s="24"/>
      <c r="R195" s="24"/>
      <c r="S195" s="24"/>
      <c r="T195" s="24"/>
      <c r="U195" s="25"/>
      <c r="X195" s="26"/>
      <c r="Y195" s="27"/>
      <c r="Z195" s="28"/>
      <c r="AA195" s="28"/>
      <c r="AB195" s="28"/>
    </row>
    <row r="196" ht="15.75" customHeight="1">
      <c r="D196" s="21"/>
      <c r="M196" s="22"/>
      <c r="N196" s="23"/>
      <c r="O196" s="24"/>
      <c r="P196" s="24"/>
      <c r="Q196" s="24"/>
      <c r="R196" s="24"/>
      <c r="S196" s="24"/>
      <c r="T196" s="24"/>
      <c r="U196" s="25"/>
      <c r="X196" s="26"/>
      <c r="Y196" s="27"/>
      <c r="Z196" s="28"/>
      <c r="AA196" s="28"/>
      <c r="AB196" s="28"/>
    </row>
    <row r="197" ht="15.75" customHeight="1">
      <c r="D197" s="21"/>
      <c r="M197" s="22"/>
      <c r="N197" s="23"/>
      <c r="O197" s="24"/>
      <c r="P197" s="24"/>
      <c r="Q197" s="24"/>
      <c r="R197" s="24"/>
      <c r="S197" s="24"/>
      <c r="T197" s="24"/>
      <c r="U197" s="25"/>
      <c r="X197" s="26"/>
      <c r="Y197" s="27"/>
      <c r="Z197" s="28"/>
      <c r="AA197" s="28"/>
      <c r="AB197" s="28"/>
    </row>
    <row r="198" ht="15.75" customHeight="1">
      <c r="D198" s="21"/>
      <c r="M198" s="22"/>
      <c r="N198" s="23"/>
      <c r="O198" s="24"/>
      <c r="P198" s="24"/>
      <c r="Q198" s="24"/>
      <c r="R198" s="24"/>
      <c r="S198" s="24"/>
      <c r="T198" s="24"/>
      <c r="U198" s="25"/>
      <c r="X198" s="26"/>
      <c r="Y198" s="27"/>
      <c r="Z198" s="28"/>
      <c r="AA198" s="28"/>
      <c r="AB198" s="28"/>
    </row>
    <row r="199" ht="15.75" customHeight="1">
      <c r="D199" s="21"/>
      <c r="M199" s="22"/>
      <c r="N199" s="23"/>
      <c r="O199" s="24"/>
      <c r="P199" s="24"/>
      <c r="Q199" s="24"/>
      <c r="R199" s="24"/>
      <c r="S199" s="24"/>
      <c r="T199" s="24"/>
      <c r="U199" s="25"/>
      <c r="X199" s="26"/>
      <c r="Y199" s="27"/>
      <c r="Z199" s="28"/>
      <c r="AA199" s="28"/>
      <c r="AB199" s="28"/>
    </row>
    <row r="200" ht="15.75" customHeight="1">
      <c r="D200" s="21"/>
      <c r="M200" s="22"/>
      <c r="N200" s="23"/>
      <c r="O200" s="24"/>
      <c r="P200" s="24"/>
      <c r="Q200" s="24"/>
      <c r="R200" s="24"/>
      <c r="S200" s="24"/>
      <c r="T200" s="24"/>
      <c r="U200" s="25"/>
      <c r="X200" s="26"/>
      <c r="Y200" s="27"/>
      <c r="Z200" s="28"/>
      <c r="AA200" s="28"/>
      <c r="AB200" s="28"/>
    </row>
    <row r="201" ht="15.75" customHeight="1">
      <c r="D201" s="21"/>
      <c r="M201" s="22"/>
      <c r="N201" s="23"/>
      <c r="O201" s="24"/>
      <c r="P201" s="24"/>
      <c r="Q201" s="24"/>
      <c r="R201" s="24"/>
      <c r="S201" s="24"/>
      <c r="T201" s="24"/>
      <c r="U201" s="25"/>
      <c r="X201" s="26"/>
      <c r="Y201" s="27"/>
      <c r="Z201" s="28"/>
      <c r="AA201" s="28"/>
      <c r="AB201" s="28"/>
    </row>
    <row r="202" ht="15.75" customHeight="1">
      <c r="D202" s="21"/>
      <c r="M202" s="22"/>
      <c r="N202" s="23"/>
      <c r="O202" s="24"/>
      <c r="P202" s="24"/>
      <c r="Q202" s="24"/>
      <c r="R202" s="24"/>
      <c r="S202" s="24"/>
      <c r="T202" s="24"/>
      <c r="U202" s="25"/>
      <c r="X202" s="26"/>
      <c r="Y202" s="27"/>
      <c r="Z202" s="28"/>
      <c r="AA202" s="28"/>
      <c r="AB202" s="28"/>
    </row>
    <row r="203" ht="15.75" customHeight="1">
      <c r="D203" s="21"/>
      <c r="M203" s="22"/>
      <c r="N203" s="23"/>
      <c r="O203" s="24"/>
      <c r="P203" s="24"/>
      <c r="Q203" s="24"/>
      <c r="R203" s="24"/>
      <c r="S203" s="24"/>
      <c r="T203" s="24"/>
      <c r="U203" s="25"/>
      <c r="X203" s="26"/>
      <c r="Y203" s="27"/>
      <c r="Z203" s="28"/>
      <c r="AA203" s="28"/>
      <c r="AB203" s="28"/>
    </row>
    <row r="204" ht="15.75" customHeight="1">
      <c r="D204" s="21"/>
      <c r="M204" s="22"/>
      <c r="N204" s="23"/>
      <c r="O204" s="24"/>
      <c r="P204" s="24"/>
      <c r="Q204" s="24"/>
      <c r="R204" s="24"/>
      <c r="S204" s="24"/>
      <c r="T204" s="24"/>
      <c r="U204" s="25"/>
      <c r="X204" s="26"/>
      <c r="Y204" s="27"/>
      <c r="Z204" s="28"/>
      <c r="AA204" s="28"/>
      <c r="AB204" s="28"/>
    </row>
    <row r="205" ht="15.75" customHeight="1">
      <c r="D205" s="21"/>
      <c r="M205" s="22"/>
      <c r="N205" s="23"/>
      <c r="O205" s="24"/>
      <c r="P205" s="24"/>
      <c r="Q205" s="24"/>
      <c r="R205" s="24"/>
      <c r="S205" s="24"/>
      <c r="T205" s="24"/>
      <c r="U205" s="25"/>
      <c r="X205" s="26"/>
      <c r="Y205" s="27"/>
      <c r="Z205" s="28"/>
      <c r="AA205" s="28"/>
      <c r="AB205" s="28"/>
    </row>
    <row r="206" ht="15.75" customHeight="1">
      <c r="D206" s="21"/>
      <c r="M206" s="22"/>
      <c r="N206" s="23"/>
      <c r="O206" s="24"/>
      <c r="P206" s="24"/>
      <c r="Q206" s="24"/>
      <c r="R206" s="24"/>
      <c r="S206" s="24"/>
      <c r="T206" s="24"/>
      <c r="U206" s="25"/>
      <c r="X206" s="26"/>
      <c r="Y206" s="27"/>
      <c r="Z206" s="28"/>
      <c r="AA206" s="28"/>
      <c r="AB206" s="28"/>
    </row>
    <row r="207" ht="15.75" customHeight="1">
      <c r="D207" s="21"/>
      <c r="M207" s="22"/>
      <c r="N207" s="23"/>
      <c r="O207" s="24"/>
      <c r="P207" s="24"/>
      <c r="Q207" s="24"/>
      <c r="R207" s="24"/>
      <c r="S207" s="24"/>
      <c r="T207" s="24"/>
      <c r="U207" s="25"/>
      <c r="X207" s="26"/>
      <c r="Y207" s="27"/>
      <c r="Z207" s="28"/>
      <c r="AA207" s="28"/>
      <c r="AB207" s="28"/>
    </row>
    <row r="208" ht="15.75" customHeight="1">
      <c r="D208" s="21"/>
      <c r="M208" s="22"/>
      <c r="N208" s="23"/>
      <c r="O208" s="24"/>
      <c r="P208" s="24"/>
      <c r="Q208" s="24"/>
      <c r="R208" s="24"/>
      <c r="S208" s="24"/>
      <c r="T208" s="24"/>
      <c r="U208" s="25"/>
      <c r="X208" s="26"/>
      <c r="Y208" s="27"/>
      <c r="Z208" s="28"/>
      <c r="AA208" s="28"/>
      <c r="AB208" s="28"/>
    </row>
    <row r="209" ht="15.75" customHeight="1">
      <c r="D209" s="21"/>
      <c r="M209" s="22"/>
      <c r="N209" s="23"/>
      <c r="O209" s="24"/>
      <c r="P209" s="24"/>
      <c r="Q209" s="24"/>
      <c r="R209" s="24"/>
      <c r="S209" s="24"/>
      <c r="T209" s="24"/>
      <c r="U209" s="25"/>
      <c r="X209" s="26"/>
      <c r="Y209" s="27"/>
      <c r="Z209" s="28"/>
      <c r="AA209" s="28"/>
      <c r="AB209" s="28"/>
    </row>
    <row r="210" ht="15.75" customHeight="1">
      <c r="D210" s="21"/>
      <c r="M210" s="22"/>
      <c r="N210" s="23"/>
      <c r="O210" s="24"/>
      <c r="P210" s="24"/>
      <c r="Q210" s="24"/>
      <c r="R210" s="24"/>
      <c r="S210" s="24"/>
      <c r="T210" s="24"/>
      <c r="U210" s="25"/>
      <c r="X210" s="26"/>
      <c r="Y210" s="27"/>
      <c r="Z210" s="28"/>
      <c r="AA210" s="28"/>
      <c r="AB210" s="28"/>
    </row>
    <row r="211" ht="15.75" customHeight="1">
      <c r="D211" s="21"/>
      <c r="M211" s="22"/>
      <c r="N211" s="23"/>
      <c r="O211" s="24"/>
      <c r="P211" s="24"/>
      <c r="Q211" s="24"/>
      <c r="R211" s="24"/>
      <c r="S211" s="24"/>
      <c r="T211" s="24"/>
      <c r="U211" s="25"/>
      <c r="X211" s="26"/>
      <c r="Y211" s="27"/>
      <c r="Z211" s="28"/>
      <c r="AA211" s="28"/>
      <c r="AB211" s="28"/>
    </row>
    <row r="212" ht="15.75" customHeight="1">
      <c r="D212" s="21"/>
      <c r="M212" s="22"/>
      <c r="N212" s="23"/>
      <c r="O212" s="24"/>
      <c r="P212" s="24"/>
      <c r="Q212" s="24"/>
      <c r="R212" s="24"/>
      <c r="S212" s="24"/>
      <c r="T212" s="24"/>
      <c r="U212" s="25"/>
      <c r="X212" s="26"/>
      <c r="Y212" s="27"/>
      <c r="Z212" s="28"/>
      <c r="AA212" s="28"/>
      <c r="AB212" s="28"/>
    </row>
    <row r="213" ht="15.75" customHeight="1">
      <c r="D213" s="21"/>
      <c r="M213" s="22"/>
      <c r="N213" s="23"/>
      <c r="O213" s="24"/>
      <c r="P213" s="24"/>
      <c r="Q213" s="24"/>
      <c r="R213" s="24"/>
      <c r="S213" s="24"/>
      <c r="T213" s="24"/>
      <c r="U213" s="25"/>
      <c r="X213" s="26"/>
      <c r="Y213" s="27"/>
      <c r="Z213" s="28"/>
      <c r="AA213" s="28"/>
      <c r="AB213" s="28"/>
    </row>
    <row r="214" ht="15.75" customHeight="1">
      <c r="D214" s="21"/>
      <c r="M214" s="22"/>
      <c r="N214" s="23"/>
      <c r="O214" s="24"/>
      <c r="P214" s="24"/>
      <c r="Q214" s="24"/>
      <c r="R214" s="24"/>
      <c r="S214" s="24"/>
      <c r="T214" s="24"/>
      <c r="U214" s="25"/>
      <c r="X214" s="26"/>
      <c r="Y214" s="27"/>
      <c r="Z214" s="28"/>
      <c r="AA214" s="28"/>
      <c r="AB214" s="28"/>
    </row>
    <row r="215" ht="15.75" customHeight="1">
      <c r="D215" s="21"/>
      <c r="M215" s="22"/>
      <c r="N215" s="23"/>
      <c r="O215" s="24"/>
      <c r="P215" s="24"/>
      <c r="Q215" s="24"/>
      <c r="R215" s="24"/>
      <c r="S215" s="24"/>
      <c r="T215" s="24"/>
      <c r="U215" s="25"/>
      <c r="X215" s="26"/>
      <c r="Y215" s="27"/>
      <c r="Z215" s="28"/>
      <c r="AA215" s="28"/>
      <c r="AB215" s="28"/>
    </row>
    <row r="216" ht="15.75" customHeight="1">
      <c r="D216" s="21"/>
      <c r="M216" s="22"/>
      <c r="N216" s="23"/>
      <c r="O216" s="24"/>
      <c r="P216" s="24"/>
      <c r="Q216" s="24"/>
      <c r="R216" s="24"/>
      <c r="S216" s="24"/>
      <c r="T216" s="24"/>
      <c r="U216" s="25"/>
      <c r="X216" s="26"/>
      <c r="Y216" s="27"/>
      <c r="Z216" s="28"/>
      <c r="AA216" s="28"/>
      <c r="AB216" s="28"/>
    </row>
    <row r="217" ht="15.75" customHeight="1">
      <c r="D217" s="21"/>
      <c r="M217" s="22"/>
      <c r="N217" s="23"/>
      <c r="O217" s="24"/>
      <c r="P217" s="24"/>
      <c r="Q217" s="24"/>
      <c r="R217" s="24"/>
      <c r="S217" s="24"/>
      <c r="T217" s="24"/>
      <c r="U217" s="25"/>
      <c r="X217" s="26"/>
      <c r="Y217" s="27"/>
      <c r="Z217" s="28"/>
      <c r="AA217" s="28"/>
      <c r="AB217" s="28"/>
    </row>
    <row r="218" ht="15.75" customHeight="1">
      <c r="D218" s="21"/>
      <c r="M218" s="22"/>
      <c r="N218" s="23"/>
      <c r="O218" s="24"/>
      <c r="P218" s="24"/>
      <c r="Q218" s="24"/>
      <c r="R218" s="24"/>
      <c r="S218" s="24"/>
      <c r="T218" s="24"/>
      <c r="U218" s="25"/>
      <c r="X218" s="26"/>
      <c r="Y218" s="27"/>
      <c r="Z218" s="28"/>
      <c r="AA218" s="28"/>
      <c r="AB218" s="28"/>
    </row>
    <row r="219" ht="15.75" customHeight="1">
      <c r="D219" s="21"/>
      <c r="M219" s="22"/>
      <c r="N219" s="23"/>
      <c r="O219" s="24"/>
      <c r="P219" s="24"/>
      <c r="Q219" s="24"/>
      <c r="R219" s="24"/>
      <c r="S219" s="24"/>
      <c r="T219" s="24"/>
      <c r="U219" s="25"/>
      <c r="X219" s="26"/>
      <c r="Y219" s="27"/>
      <c r="Z219" s="28"/>
      <c r="AA219" s="28"/>
      <c r="AB219" s="28"/>
    </row>
    <row r="220" ht="15.75" customHeight="1">
      <c r="D220" s="21"/>
      <c r="M220" s="22"/>
      <c r="N220" s="23"/>
      <c r="O220" s="24"/>
      <c r="P220" s="24"/>
      <c r="Q220" s="24"/>
      <c r="R220" s="24"/>
      <c r="S220" s="24"/>
      <c r="T220" s="24"/>
      <c r="U220" s="25"/>
      <c r="X220" s="26"/>
      <c r="Y220" s="27"/>
      <c r="Z220" s="28"/>
      <c r="AA220" s="28"/>
      <c r="AB220" s="28"/>
    </row>
    <row r="221" ht="15.75" customHeight="1">
      <c r="D221" s="21"/>
      <c r="M221" s="22"/>
      <c r="N221" s="23"/>
      <c r="O221" s="24"/>
      <c r="P221" s="24"/>
      <c r="Q221" s="24"/>
      <c r="R221" s="24"/>
      <c r="S221" s="24"/>
      <c r="T221" s="24"/>
      <c r="U221" s="25"/>
      <c r="X221" s="26"/>
      <c r="Y221" s="27"/>
      <c r="Z221" s="28"/>
      <c r="AA221" s="28"/>
      <c r="AB221" s="28"/>
    </row>
    <row r="222" ht="15.75" customHeight="1">
      <c r="D222" s="21"/>
      <c r="M222" s="22"/>
      <c r="N222" s="23"/>
      <c r="O222" s="24"/>
      <c r="P222" s="24"/>
      <c r="Q222" s="24"/>
      <c r="R222" s="24"/>
      <c r="S222" s="24"/>
      <c r="T222" s="24"/>
      <c r="U222" s="25"/>
      <c r="X222" s="26"/>
      <c r="Y222" s="27"/>
      <c r="Z222" s="28"/>
      <c r="AA222" s="28"/>
      <c r="AB222" s="28"/>
    </row>
    <row r="223" ht="15.75" customHeight="1">
      <c r="D223" s="21"/>
      <c r="M223" s="22"/>
      <c r="N223" s="23"/>
      <c r="O223" s="24"/>
      <c r="P223" s="24"/>
      <c r="Q223" s="24"/>
      <c r="R223" s="24"/>
      <c r="S223" s="24"/>
      <c r="T223" s="24"/>
      <c r="U223" s="25"/>
      <c r="X223" s="26"/>
      <c r="Y223" s="27"/>
      <c r="Z223" s="28"/>
      <c r="AA223" s="28"/>
      <c r="AB223" s="28"/>
    </row>
    <row r="224" ht="15.75" customHeight="1">
      <c r="D224" s="21"/>
      <c r="M224" s="22"/>
      <c r="N224" s="23"/>
      <c r="O224" s="24"/>
      <c r="P224" s="24"/>
      <c r="Q224" s="24"/>
      <c r="R224" s="24"/>
      <c r="S224" s="24"/>
      <c r="T224" s="24"/>
      <c r="U224" s="25"/>
      <c r="X224" s="26"/>
      <c r="Y224" s="27"/>
      <c r="Z224" s="28"/>
      <c r="AA224" s="28"/>
      <c r="AB224" s="28"/>
    </row>
    <row r="225" ht="15.75" customHeight="1">
      <c r="D225" s="21"/>
      <c r="M225" s="22"/>
      <c r="N225" s="23"/>
      <c r="O225" s="24"/>
      <c r="P225" s="24"/>
      <c r="Q225" s="24"/>
      <c r="R225" s="24"/>
      <c r="S225" s="24"/>
      <c r="T225" s="24"/>
      <c r="U225" s="25"/>
      <c r="X225" s="26"/>
      <c r="Y225" s="27"/>
      <c r="Z225" s="28"/>
      <c r="AA225" s="28"/>
      <c r="AB225" s="28"/>
    </row>
    <row r="226" ht="15.75" customHeight="1">
      <c r="D226" s="21"/>
      <c r="M226" s="22"/>
      <c r="N226" s="23"/>
      <c r="O226" s="24"/>
      <c r="P226" s="24"/>
      <c r="Q226" s="24"/>
      <c r="R226" s="24"/>
      <c r="S226" s="24"/>
      <c r="T226" s="24"/>
      <c r="U226" s="25"/>
      <c r="X226" s="26"/>
      <c r="Y226" s="27"/>
      <c r="Z226" s="28"/>
      <c r="AA226" s="28"/>
      <c r="AB226" s="28"/>
    </row>
    <row r="227" ht="15.75" customHeight="1">
      <c r="D227" s="21"/>
      <c r="M227" s="22"/>
      <c r="N227" s="23"/>
      <c r="O227" s="24"/>
      <c r="P227" s="24"/>
      <c r="Q227" s="24"/>
      <c r="R227" s="24"/>
      <c r="S227" s="24"/>
      <c r="T227" s="24"/>
      <c r="U227" s="25"/>
      <c r="X227" s="26"/>
      <c r="Y227" s="27"/>
      <c r="Z227" s="28"/>
      <c r="AA227" s="28"/>
      <c r="AB227" s="28"/>
    </row>
    <row r="228" ht="15.75" customHeight="1">
      <c r="D228" s="21"/>
      <c r="M228" s="22"/>
      <c r="N228" s="23"/>
      <c r="O228" s="24"/>
      <c r="P228" s="24"/>
      <c r="Q228" s="24"/>
      <c r="R228" s="24"/>
      <c r="S228" s="24"/>
      <c r="T228" s="24"/>
      <c r="U228" s="25"/>
      <c r="X228" s="26"/>
      <c r="Y228" s="27"/>
      <c r="Z228" s="28"/>
      <c r="AA228" s="28"/>
      <c r="AB228" s="28"/>
    </row>
    <row r="229" ht="15.75" customHeight="1">
      <c r="D229" s="21"/>
      <c r="M229" s="22"/>
      <c r="N229" s="23"/>
      <c r="O229" s="24"/>
      <c r="P229" s="24"/>
      <c r="Q229" s="24"/>
      <c r="R229" s="24"/>
      <c r="S229" s="24"/>
      <c r="T229" s="24"/>
      <c r="U229" s="25"/>
      <c r="X229" s="26"/>
      <c r="Y229" s="27"/>
      <c r="Z229" s="28"/>
      <c r="AA229" s="28"/>
      <c r="AB229" s="28"/>
    </row>
    <row r="230" ht="15.75" customHeight="1">
      <c r="D230" s="21"/>
      <c r="M230" s="22"/>
      <c r="N230" s="23"/>
      <c r="O230" s="24"/>
      <c r="P230" s="24"/>
      <c r="Q230" s="24"/>
      <c r="R230" s="24"/>
      <c r="S230" s="24"/>
      <c r="T230" s="24"/>
      <c r="U230" s="25"/>
      <c r="X230" s="26"/>
      <c r="Y230" s="27"/>
      <c r="Z230" s="28"/>
      <c r="AA230" s="28"/>
      <c r="AB230" s="28"/>
    </row>
    <row r="231" ht="15.75" customHeight="1">
      <c r="D231" s="21"/>
      <c r="M231" s="22"/>
      <c r="N231" s="23"/>
      <c r="O231" s="24"/>
      <c r="P231" s="24"/>
      <c r="Q231" s="24"/>
      <c r="R231" s="24"/>
      <c r="S231" s="24"/>
      <c r="T231" s="24"/>
      <c r="U231" s="25"/>
      <c r="X231" s="26"/>
      <c r="Y231" s="27"/>
      <c r="Z231" s="28"/>
      <c r="AA231" s="28"/>
      <c r="AB231" s="28"/>
    </row>
    <row r="232" ht="15.75" customHeight="1">
      <c r="D232" s="21"/>
      <c r="M232" s="22"/>
      <c r="N232" s="23"/>
      <c r="O232" s="24"/>
      <c r="P232" s="24"/>
      <c r="Q232" s="24"/>
      <c r="R232" s="24"/>
      <c r="S232" s="24"/>
      <c r="T232" s="24"/>
      <c r="U232" s="25"/>
      <c r="X232" s="26"/>
      <c r="Y232" s="27"/>
      <c r="Z232" s="28"/>
      <c r="AA232" s="28"/>
      <c r="AB232" s="28"/>
    </row>
    <row r="233" ht="15.75" customHeight="1">
      <c r="D233" s="21"/>
      <c r="M233" s="22"/>
      <c r="N233" s="23"/>
      <c r="O233" s="24"/>
      <c r="P233" s="24"/>
      <c r="Q233" s="24"/>
      <c r="R233" s="24"/>
      <c r="S233" s="24"/>
      <c r="T233" s="24"/>
      <c r="U233" s="25"/>
      <c r="X233" s="26"/>
      <c r="Y233" s="27"/>
      <c r="Z233" s="28"/>
      <c r="AA233" s="28"/>
      <c r="AB233" s="28"/>
    </row>
    <row r="234" ht="15.75" customHeight="1">
      <c r="D234" s="21"/>
      <c r="M234" s="22"/>
      <c r="N234" s="23"/>
      <c r="O234" s="24"/>
      <c r="P234" s="24"/>
      <c r="Q234" s="24"/>
      <c r="R234" s="24"/>
      <c r="S234" s="24"/>
      <c r="T234" s="24"/>
      <c r="U234" s="25"/>
      <c r="X234" s="26"/>
      <c r="Y234" s="27"/>
      <c r="Z234" s="28"/>
      <c r="AA234" s="28"/>
      <c r="AB234" s="28"/>
    </row>
    <row r="235" ht="15.75" customHeight="1">
      <c r="D235" s="21"/>
      <c r="M235" s="22"/>
      <c r="N235" s="23"/>
      <c r="O235" s="24"/>
      <c r="P235" s="24"/>
      <c r="Q235" s="24"/>
      <c r="R235" s="24"/>
      <c r="S235" s="24"/>
      <c r="T235" s="24"/>
      <c r="U235" s="25"/>
      <c r="X235" s="26"/>
      <c r="Y235" s="27"/>
      <c r="Z235" s="28"/>
      <c r="AA235" s="28"/>
      <c r="AB235" s="28"/>
    </row>
    <row r="236" ht="15.75" customHeight="1">
      <c r="D236" s="21"/>
      <c r="M236" s="22"/>
      <c r="N236" s="23"/>
      <c r="O236" s="24"/>
      <c r="P236" s="24"/>
      <c r="Q236" s="24"/>
      <c r="R236" s="24"/>
      <c r="S236" s="24"/>
      <c r="T236" s="24"/>
      <c r="U236" s="25"/>
      <c r="X236" s="26"/>
      <c r="Y236" s="27"/>
      <c r="Z236" s="28"/>
      <c r="AA236" s="28"/>
      <c r="AB236" s="28"/>
    </row>
    <row r="237" ht="15.75" customHeight="1">
      <c r="D237" s="21"/>
      <c r="M237" s="22"/>
      <c r="N237" s="23"/>
      <c r="O237" s="24"/>
      <c r="P237" s="24"/>
      <c r="Q237" s="24"/>
      <c r="R237" s="24"/>
      <c r="S237" s="24"/>
      <c r="T237" s="24"/>
      <c r="U237" s="25"/>
      <c r="X237" s="26"/>
      <c r="Y237" s="27"/>
      <c r="Z237" s="28"/>
      <c r="AA237" s="28"/>
      <c r="AB237" s="28"/>
    </row>
    <row r="238" ht="15.75" customHeight="1">
      <c r="D238" s="21"/>
      <c r="M238" s="22"/>
      <c r="N238" s="23"/>
      <c r="O238" s="24"/>
      <c r="P238" s="24"/>
      <c r="Q238" s="24"/>
      <c r="R238" s="24"/>
      <c r="S238" s="24"/>
      <c r="T238" s="24"/>
      <c r="U238" s="25"/>
      <c r="X238" s="26"/>
      <c r="Y238" s="27"/>
      <c r="Z238" s="28"/>
      <c r="AA238" s="28"/>
      <c r="AB238" s="28"/>
    </row>
    <row r="239" ht="15.75" customHeight="1">
      <c r="D239" s="21"/>
      <c r="M239" s="22"/>
      <c r="N239" s="23"/>
      <c r="O239" s="24"/>
      <c r="P239" s="24"/>
      <c r="Q239" s="24"/>
      <c r="R239" s="24"/>
      <c r="S239" s="24"/>
      <c r="T239" s="24"/>
      <c r="U239" s="25"/>
      <c r="X239" s="26"/>
      <c r="Y239" s="27"/>
      <c r="Z239" s="28"/>
      <c r="AA239" s="28"/>
      <c r="AB239" s="28"/>
    </row>
    <row r="240" ht="15.75" customHeight="1">
      <c r="D240" s="21"/>
      <c r="M240" s="22"/>
      <c r="N240" s="23"/>
      <c r="O240" s="24"/>
      <c r="P240" s="24"/>
      <c r="Q240" s="24"/>
      <c r="R240" s="24"/>
      <c r="S240" s="24"/>
      <c r="T240" s="24"/>
      <c r="U240" s="25"/>
      <c r="X240" s="26"/>
      <c r="Y240" s="27"/>
      <c r="Z240" s="28"/>
      <c r="AA240" s="28"/>
      <c r="AB240" s="28"/>
    </row>
    <row r="241" ht="15.75" customHeight="1">
      <c r="D241" s="21"/>
      <c r="M241" s="22"/>
      <c r="N241" s="23"/>
      <c r="O241" s="24"/>
      <c r="P241" s="24"/>
      <c r="Q241" s="24"/>
      <c r="R241" s="24"/>
      <c r="S241" s="24"/>
      <c r="T241" s="24"/>
      <c r="U241" s="25"/>
      <c r="X241" s="26"/>
      <c r="Y241" s="27"/>
      <c r="Z241" s="28"/>
      <c r="AA241" s="28"/>
      <c r="AB241" s="28"/>
    </row>
    <row r="242" ht="15.75" customHeight="1">
      <c r="D242" s="21"/>
      <c r="M242" s="22"/>
      <c r="N242" s="23"/>
      <c r="O242" s="24"/>
      <c r="P242" s="24"/>
      <c r="Q242" s="24"/>
      <c r="R242" s="24"/>
      <c r="S242" s="24"/>
      <c r="T242" s="24"/>
      <c r="U242" s="25"/>
      <c r="X242" s="26"/>
      <c r="Y242" s="27"/>
      <c r="Z242" s="28"/>
      <c r="AA242" s="28"/>
      <c r="AB242" s="28"/>
    </row>
    <row r="243" ht="15.75" customHeight="1">
      <c r="D243" s="21"/>
      <c r="M243" s="22"/>
      <c r="N243" s="23"/>
      <c r="O243" s="24"/>
      <c r="P243" s="24"/>
      <c r="Q243" s="24"/>
      <c r="R243" s="24"/>
      <c r="S243" s="24"/>
      <c r="T243" s="24"/>
      <c r="U243" s="25"/>
      <c r="X243" s="26"/>
      <c r="Y243" s="27"/>
      <c r="Z243" s="28"/>
      <c r="AA243" s="28"/>
      <c r="AB243" s="28"/>
    </row>
    <row r="244" ht="15.75" customHeight="1">
      <c r="D244" s="21"/>
      <c r="M244" s="22"/>
      <c r="N244" s="23"/>
      <c r="O244" s="24"/>
      <c r="P244" s="24"/>
      <c r="Q244" s="24"/>
      <c r="R244" s="24"/>
      <c r="S244" s="24"/>
      <c r="T244" s="24"/>
      <c r="U244" s="25"/>
      <c r="X244" s="26"/>
      <c r="Y244" s="27"/>
      <c r="Z244" s="28"/>
      <c r="AA244" s="28"/>
      <c r="AB244" s="28"/>
    </row>
    <row r="245" ht="15.75" customHeight="1">
      <c r="D245" s="21"/>
      <c r="M245" s="22"/>
      <c r="N245" s="23"/>
      <c r="O245" s="24"/>
      <c r="P245" s="24"/>
      <c r="Q245" s="24"/>
      <c r="R245" s="24"/>
      <c r="S245" s="24"/>
      <c r="T245" s="24"/>
      <c r="U245" s="25"/>
      <c r="X245" s="26"/>
      <c r="Y245" s="27"/>
      <c r="Z245" s="28"/>
      <c r="AA245" s="28"/>
      <c r="AB245" s="28"/>
    </row>
    <row r="246" ht="15.75" customHeight="1">
      <c r="D246" s="21"/>
      <c r="M246" s="22"/>
      <c r="N246" s="23"/>
      <c r="O246" s="24"/>
      <c r="P246" s="24"/>
      <c r="Q246" s="24"/>
      <c r="R246" s="24"/>
      <c r="S246" s="24"/>
      <c r="T246" s="24"/>
      <c r="U246" s="25"/>
      <c r="X246" s="26"/>
      <c r="Y246" s="27"/>
      <c r="Z246" s="28"/>
      <c r="AA246" s="28"/>
      <c r="AB246" s="28"/>
    </row>
    <row r="247" ht="15.75" customHeight="1">
      <c r="D247" s="21"/>
      <c r="M247" s="22"/>
      <c r="N247" s="23"/>
      <c r="O247" s="24"/>
      <c r="P247" s="24"/>
      <c r="Q247" s="24"/>
      <c r="R247" s="24"/>
      <c r="S247" s="24"/>
      <c r="T247" s="24"/>
      <c r="U247" s="25"/>
      <c r="X247" s="26"/>
      <c r="Y247" s="27"/>
      <c r="Z247" s="28"/>
      <c r="AA247" s="28"/>
      <c r="AB247" s="28"/>
    </row>
    <row r="248" ht="15.75" customHeight="1">
      <c r="D248" s="21"/>
      <c r="M248" s="22"/>
      <c r="N248" s="23"/>
      <c r="O248" s="24"/>
      <c r="P248" s="24"/>
      <c r="Q248" s="24"/>
      <c r="R248" s="24"/>
      <c r="S248" s="24"/>
      <c r="T248" s="24"/>
      <c r="U248" s="25"/>
      <c r="X248" s="26"/>
      <c r="Y248" s="27"/>
      <c r="Z248" s="28"/>
      <c r="AA248" s="28"/>
      <c r="AB248" s="28"/>
    </row>
    <row r="249" ht="15.75" customHeight="1">
      <c r="D249" s="21"/>
      <c r="M249" s="22"/>
      <c r="N249" s="23"/>
      <c r="O249" s="24"/>
      <c r="P249" s="24"/>
      <c r="Q249" s="24"/>
      <c r="R249" s="24"/>
      <c r="S249" s="24"/>
      <c r="T249" s="24"/>
      <c r="U249" s="25"/>
      <c r="X249" s="26"/>
      <c r="Y249" s="27"/>
      <c r="Z249" s="28"/>
      <c r="AA249" s="28"/>
      <c r="AB249" s="28"/>
    </row>
    <row r="250" ht="15.75" customHeight="1">
      <c r="D250" s="21"/>
      <c r="M250" s="22"/>
      <c r="N250" s="23"/>
      <c r="O250" s="24"/>
      <c r="P250" s="24"/>
      <c r="Q250" s="24"/>
      <c r="R250" s="24"/>
      <c r="S250" s="24"/>
      <c r="T250" s="24"/>
      <c r="U250" s="25"/>
      <c r="X250" s="26"/>
      <c r="Y250" s="27"/>
      <c r="Z250" s="28"/>
      <c r="AA250" s="28"/>
      <c r="AB250" s="28"/>
    </row>
    <row r="251" ht="15.75" customHeight="1">
      <c r="D251" s="21"/>
      <c r="M251" s="22"/>
      <c r="N251" s="23"/>
      <c r="O251" s="24"/>
      <c r="P251" s="24"/>
      <c r="Q251" s="24"/>
      <c r="R251" s="24"/>
      <c r="S251" s="24"/>
      <c r="T251" s="24"/>
      <c r="U251" s="25"/>
      <c r="X251" s="26"/>
      <c r="Y251" s="27"/>
      <c r="Z251" s="28"/>
      <c r="AA251" s="28"/>
      <c r="AB251" s="28"/>
    </row>
    <row r="252" ht="15.75" customHeight="1">
      <c r="D252" s="21"/>
      <c r="M252" s="22"/>
      <c r="N252" s="23"/>
      <c r="O252" s="24"/>
      <c r="P252" s="24"/>
      <c r="Q252" s="24"/>
      <c r="R252" s="24"/>
      <c r="S252" s="24"/>
      <c r="T252" s="24"/>
      <c r="U252" s="25"/>
      <c r="X252" s="26"/>
      <c r="Y252" s="27"/>
      <c r="Z252" s="28"/>
      <c r="AA252" s="28"/>
      <c r="AB252" s="28"/>
    </row>
    <row r="253" ht="15.75" customHeight="1">
      <c r="D253" s="21"/>
      <c r="M253" s="22"/>
      <c r="N253" s="23"/>
      <c r="O253" s="24"/>
      <c r="P253" s="24"/>
      <c r="Q253" s="24"/>
      <c r="R253" s="24"/>
      <c r="S253" s="24"/>
      <c r="T253" s="24"/>
      <c r="U253" s="25"/>
      <c r="X253" s="26"/>
      <c r="Y253" s="27"/>
      <c r="Z253" s="28"/>
      <c r="AA253" s="28"/>
      <c r="AB253" s="28"/>
    </row>
    <row r="254" ht="15.75" customHeight="1">
      <c r="D254" s="21"/>
      <c r="M254" s="22"/>
      <c r="N254" s="23"/>
      <c r="O254" s="24"/>
      <c r="P254" s="24"/>
      <c r="Q254" s="24"/>
      <c r="R254" s="24"/>
      <c r="S254" s="24"/>
      <c r="T254" s="24"/>
      <c r="U254" s="25"/>
      <c r="X254" s="26"/>
      <c r="Y254" s="27"/>
      <c r="Z254" s="28"/>
      <c r="AA254" s="28"/>
      <c r="AB254" s="28"/>
    </row>
    <row r="255" ht="15.75" customHeight="1">
      <c r="D255" s="21"/>
      <c r="M255" s="22"/>
      <c r="N255" s="23"/>
      <c r="O255" s="24"/>
      <c r="P255" s="24"/>
      <c r="Q255" s="24"/>
      <c r="R255" s="24"/>
      <c r="S255" s="24"/>
      <c r="T255" s="24"/>
      <c r="U255" s="25"/>
      <c r="X255" s="26"/>
      <c r="Y255" s="27"/>
      <c r="Z255" s="28"/>
      <c r="AA255" s="28"/>
      <c r="AB255" s="28"/>
    </row>
    <row r="256" ht="15.75" customHeight="1">
      <c r="D256" s="21"/>
      <c r="M256" s="22"/>
      <c r="N256" s="23"/>
      <c r="O256" s="24"/>
      <c r="P256" s="24"/>
      <c r="Q256" s="24"/>
      <c r="R256" s="24"/>
      <c r="S256" s="24"/>
      <c r="T256" s="24"/>
      <c r="U256" s="25"/>
      <c r="X256" s="26"/>
      <c r="Y256" s="27"/>
      <c r="Z256" s="28"/>
      <c r="AA256" s="28"/>
      <c r="AB256" s="28"/>
    </row>
    <row r="257" ht="15.75" customHeight="1">
      <c r="D257" s="21"/>
      <c r="M257" s="22"/>
      <c r="N257" s="23"/>
      <c r="O257" s="24"/>
      <c r="P257" s="24"/>
      <c r="Q257" s="24"/>
      <c r="R257" s="24"/>
      <c r="S257" s="24"/>
      <c r="T257" s="24"/>
      <c r="U257" s="25"/>
      <c r="X257" s="26"/>
      <c r="Y257" s="27"/>
      <c r="Z257" s="28"/>
      <c r="AA257" s="28"/>
      <c r="AB257" s="28"/>
    </row>
    <row r="258" ht="15.75" customHeight="1">
      <c r="D258" s="21"/>
      <c r="M258" s="22"/>
      <c r="N258" s="23"/>
      <c r="O258" s="24"/>
      <c r="P258" s="24"/>
      <c r="Q258" s="24"/>
      <c r="R258" s="24"/>
      <c r="S258" s="24"/>
      <c r="T258" s="24"/>
      <c r="U258" s="25"/>
      <c r="X258" s="26"/>
      <c r="Y258" s="27"/>
      <c r="Z258" s="28"/>
      <c r="AA258" s="28"/>
      <c r="AB258" s="28"/>
    </row>
    <row r="259" ht="15.75" customHeight="1">
      <c r="D259" s="21"/>
      <c r="M259" s="22"/>
      <c r="N259" s="23"/>
      <c r="O259" s="24"/>
      <c r="P259" s="24"/>
      <c r="Q259" s="24"/>
      <c r="R259" s="24"/>
      <c r="S259" s="24"/>
      <c r="T259" s="24"/>
      <c r="U259" s="25"/>
      <c r="X259" s="26"/>
      <c r="Y259" s="27"/>
      <c r="Z259" s="28"/>
      <c r="AA259" s="28"/>
      <c r="AB259" s="28"/>
    </row>
    <row r="260" ht="15.75" customHeight="1">
      <c r="D260" s="21"/>
      <c r="M260" s="22"/>
      <c r="N260" s="23"/>
      <c r="O260" s="24"/>
      <c r="P260" s="24"/>
      <c r="Q260" s="24"/>
      <c r="R260" s="24"/>
      <c r="S260" s="24"/>
      <c r="T260" s="24"/>
      <c r="U260" s="25"/>
      <c r="X260" s="26"/>
      <c r="Y260" s="27"/>
      <c r="Z260" s="28"/>
      <c r="AA260" s="28"/>
      <c r="AB260" s="28"/>
    </row>
    <row r="261" ht="15.75" customHeight="1">
      <c r="D261" s="21"/>
      <c r="M261" s="22"/>
      <c r="N261" s="23"/>
      <c r="O261" s="24"/>
      <c r="P261" s="24"/>
      <c r="Q261" s="24"/>
      <c r="R261" s="24"/>
      <c r="S261" s="24"/>
      <c r="T261" s="24"/>
      <c r="U261" s="25"/>
      <c r="X261" s="26"/>
      <c r="Y261" s="27"/>
      <c r="Z261" s="28"/>
      <c r="AA261" s="28"/>
      <c r="AB261" s="28"/>
    </row>
    <row r="262" ht="15.75" customHeight="1">
      <c r="D262" s="21"/>
      <c r="M262" s="22"/>
      <c r="N262" s="23"/>
      <c r="O262" s="24"/>
      <c r="P262" s="24"/>
      <c r="Q262" s="24"/>
      <c r="R262" s="24"/>
      <c r="S262" s="24"/>
      <c r="T262" s="24"/>
      <c r="U262" s="25"/>
      <c r="X262" s="26"/>
      <c r="Y262" s="27"/>
      <c r="Z262" s="28"/>
      <c r="AA262" s="28"/>
      <c r="AB262" s="28"/>
    </row>
    <row r="263" ht="15.75" customHeight="1">
      <c r="D263" s="21"/>
      <c r="M263" s="22"/>
      <c r="N263" s="23"/>
      <c r="O263" s="24"/>
      <c r="P263" s="24"/>
      <c r="Q263" s="24"/>
      <c r="R263" s="24"/>
      <c r="S263" s="24"/>
      <c r="T263" s="24"/>
      <c r="U263" s="25"/>
      <c r="X263" s="26"/>
      <c r="Y263" s="27"/>
      <c r="Z263" s="28"/>
      <c r="AA263" s="28"/>
      <c r="AB263" s="28"/>
    </row>
    <row r="264" ht="15.75" customHeight="1">
      <c r="D264" s="21"/>
      <c r="M264" s="22"/>
      <c r="N264" s="23"/>
      <c r="O264" s="24"/>
      <c r="P264" s="24"/>
      <c r="Q264" s="24"/>
      <c r="R264" s="24"/>
      <c r="S264" s="24"/>
      <c r="T264" s="24"/>
      <c r="U264" s="25"/>
      <c r="X264" s="26"/>
      <c r="Y264" s="27"/>
      <c r="Z264" s="28"/>
      <c r="AA264" s="28"/>
      <c r="AB264" s="28"/>
    </row>
    <row r="265" ht="15.75" customHeight="1">
      <c r="D265" s="21"/>
      <c r="M265" s="22"/>
      <c r="N265" s="23"/>
      <c r="O265" s="24"/>
      <c r="P265" s="24"/>
      <c r="Q265" s="24"/>
      <c r="R265" s="24"/>
      <c r="S265" s="24"/>
      <c r="T265" s="24"/>
      <c r="U265" s="25"/>
      <c r="X265" s="26"/>
      <c r="Y265" s="27"/>
      <c r="Z265" s="28"/>
      <c r="AA265" s="28"/>
      <c r="AB265" s="28"/>
    </row>
    <row r="266" ht="15.75" customHeight="1">
      <c r="D266" s="21"/>
      <c r="M266" s="22"/>
      <c r="N266" s="23"/>
      <c r="O266" s="24"/>
      <c r="P266" s="24"/>
      <c r="Q266" s="24"/>
      <c r="R266" s="24"/>
      <c r="S266" s="24"/>
      <c r="T266" s="24"/>
      <c r="U266" s="25"/>
      <c r="X266" s="26"/>
      <c r="Y266" s="27"/>
      <c r="Z266" s="28"/>
      <c r="AA266" s="28"/>
      <c r="AB266" s="28"/>
    </row>
    <row r="267" ht="15.75" customHeight="1">
      <c r="D267" s="21"/>
      <c r="M267" s="22"/>
      <c r="N267" s="23"/>
      <c r="O267" s="24"/>
      <c r="P267" s="24"/>
      <c r="Q267" s="24"/>
      <c r="R267" s="24"/>
      <c r="S267" s="24"/>
      <c r="T267" s="24"/>
      <c r="U267" s="25"/>
      <c r="X267" s="26"/>
      <c r="Y267" s="27"/>
      <c r="Z267" s="28"/>
      <c r="AA267" s="28"/>
      <c r="AB267" s="28"/>
    </row>
    <row r="268" ht="15.75" customHeight="1">
      <c r="D268" s="21"/>
      <c r="M268" s="22"/>
      <c r="N268" s="23"/>
      <c r="O268" s="24"/>
      <c r="P268" s="24"/>
      <c r="Q268" s="24"/>
      <c r="R268" s="24"/>
      <c r="S268" s="24"/>
      <c r="T268" s="24"/>
      <c r="U268" s="25"/>
      <c r="X268" s="26"/>
      <c r="Y268" s="27"/>
      <c r="Z268" s="28"/>
      <c r="AA268" s="28"/>
      <c r="AB268" s="28"/>
    </row>
    <row r="269" ht="15.75" customHeight="1">
      <c r="D269" s="21"/>
      <c r="M269" s="22"/>
      <c r="N269" s="23"/>
      <c r="O269" s="24"/>
      <c r="P269" s="24"/>
      <c r="Q269" s="24"/>
      <c r="R269" s="24"/>
      <c r="S269" s="24"/>
      <c r="T269" s="24"/>
      <c r="U269" s="25"/>
      <c r="X269" s="26"/>
      <c r="Y269" s="27"/>
      <c r="Z269" s="28"/>
      <c r="AA269" s="28"/>
      <c r="AB269" s="28"/>
    </row>
    <row r="270" ht="15.75" customHeight="1">
      <c r="D270" s="21"/>
      <c r="M270" s="22"/>
      <c r="N270" s="23"/>
      <c r="O270" s="24"/>
      <c r="P270" s="24"/>
      <c r="Q270" s="24"/>
      <c r="R270" s="24"/>
      <c r="S270" s="24"/>
      <c r="T270" s="24"/>
      <c r="U270" s="25"/>
      <c r="X270" s="26"/>
      <c r="Y270" s="27"/>
      <c r="Z270" s="28"/>
      <c r="AA270" s="28"/>
      <c r="AB270" s="28"/>
    </row>
    <row r="271" ht="15.75" customHeight="1">
      <c r="D271" s="21"/>
      <c r="M271" s="22"/>
      <c r="N271" s="23"/>
      <c r="O271" s="24"/>
      <c r="P271" s="24"/>
      <c r="Q271" s="24"/>
      <c r="R271" s="24"/>
      <c r="S271" s="24"/>
      <c r="T271" s="24"/>
      <c r="U271" s="25"/>
      <c r="X271" s="26"/>
      <c r="Y271" s="27"/>
      <c r="Z271" s="28"/>
      <c r="AA271" s="28"/>
      <c r="AB271" s="28"/>
    </row>
    <row r="272" ht="15.75" customHeight="1">
      <c r="D272" s="21"/>
      <c r="M272" s="22"/>
      <c r="N272" s="23"/>
      <c r="O272" s="24"/>
      <c r="P272" s="24"/>
      <c r="Q272" s="24"/>
      <c r="R272" s="24"/>
      <c r="S272" s="24"/>
      <c r="T272" s="24"/>
      <c r="U272" s="25"/>
      <c r="X272" s="26"/>
      <c r="Y272" s="27"/>
      <c r="Z272" s="28"/>
      <c r="AA272" s="28"/>
      <c r="AB272" s="28"/>
    </row>
    <row r="273" ht="15.75" customHeight="1">
      <c r="D273" s="21"/>
      <c r="M273" s="22"/>
      <c r="N273" s="23"/>
      <c r="O273" s="24"/>
      <c r="P273" s="24"/>
      <c r="Q273" s="24"/>
      <c r="R273" s="24"/>
      <c r="S273" s="24"/>
      <c r="T273" s="24"/>
      <c r="U273" s="25"/>
      <c r="X273" s="26"/>
      <c r="Y273" s="27"/>
      <c r="Z273" s="28"/>
      <c r="AA273" s="28"/>
      <c r="AB273" s="28"/>
    </row>
    <row r="274" ht="15.75" customHeight="1">
      <c r="D274" s="21"/>
      <c r="M274" s="22"/>
      <c r="N274" s="23"/>
      <c r="O274" s="24"/>
      <c r="P274" s="24"/>
      <c r="Q274" s="24"/>
      <c r="R274" s="24"/>
      <c r="S274" s="24"/>
      <c r="T274" s="24"/>
      <c r="U274" s="25"/>
      <c r="X274" s="26"/>
      <c r="Y274" s="27"/>
      <c r="Z274" s="28"/>
      <c r="AA274" s="28"/>
      <c r="AB274" s="28"/>
    </row>
    <row r="275" ht="15.75" customHeight="1">
      <c r="D275" s="21"/>
      <c r="M275" s="22"/>
      <c r="N275" s="23"/>
      <c r="O275" s="24"/>
      <c r="P275" s="24"/>
      <c r="Q275" s="24"/>
      <c r="R275" s="24"/>
      <c r="S275" s="24"/>
      <c r="T275" s="24"/>
      <c r="U275" s="25"/>
      <c r="X275" s="26"/>
      <c r="Y275" s="27"/>
      <c r="Z275" s="28"/>
      <c r="AA275" s="28"/>
      <c r="AB275" s="28"/>
    </row>
    <row r="276" ht="15.75" customHeight="1">
      <c r="D276" s="21"/>
      <c r="M276" s="22"/>
      <c r="N276" s="23"/>
      <c r="O276" s="24"/>
      <c r="P276" s="24"/>
      <c r="Q276" s="24"/>
      <c r="R276" s="24"/>
      <c r="S276" s="24"/>
      <c r="T276" s="24"/>
      <c r="U276" s="25"/>
      <c r="X276" s="26"/>
      <c r="Y276" s="27"/>
      <c r="Z276" s="28"/>
      <c r="AA276" s="28"/>
      <c r="AB276" s="28"/>
    </row>
    <row r="277" ht="15.75" customHeight="1">
      <c r="D277" s="21"/>
      <c r="M277" s="22"/>
      <c r="N277" s="23"/>
      <c r="O277" s="24"/>
      <c r="P277" s="24"/>
      <c r="Q277" s="24"/>
      <c r="R277" s="24"/>
      <c r="S277" s="24"/>
      <c r="T277" s="24"/>
      <c r="U277" s="25"/>
      <c r="X277" s="26"/>
      <c r="Y277" s="27"/>
      <c r="Z277" s="28"/>
      <c r="AA277" s="28"/>
      <c r="AB277" s="28"/>
    </row>
    <row r="278" ht="15.75" customHeight="1">
      <c r="D278" s="21"/>
      <c r="M278" s="22"/>
      <c r="N278" s="23"/>
      <c r="O278" s="24"/>
      <c r="P278" s="24"/>
      <c r="Q278" s="24"/>
      <c r="R278" s="24"/>
      <c r="S278" s="24"/>
      <c r="T278" s="24"/>
      <c r="U278" s="25"/>
      <c r="X278" s="26"/>
      <c r="Y278" s="27"/>
      <c r="Z278" s="28"/>
      <c r="AA278" s="28"/>
      <c r="AB278" s="28"/>
    </row>
    <row r="279" ht="15.75" customHeight="1">
      <c r="D279" s="21"/>
      <c r="M279" s="22"/>
      <c r="N279" s="23"/>
      <c r="O279" s="24"/>
      <c r="P279" s="24"/>
      <c r="Q279" s="24"/>
      <c r="R279" s="24"/>
      <c r="S279" s="24"/>
      <c r="T279" s="24"/>
      <c r="U279" s="25"/>
      <c r="X279" s="26"/>
      <c r="Y279" s="27"/>
      <c r="Z279" s="28"/>
      <c r="AA279" s="28"/>
      <c r="AB279" s="28"/>
    </row>
    <row r="280" ht="15.75" customHeight="1">
      <c r="D280" s="21"/>
      <c r="M280" s="22"/>
      <c r="N280" s="23"/>
      <c r="O280" s="24"/>
      <c r="P280" s="24"/>
      <c r="Q280" s="24"/>
      <c r="R280" s="24"/>
      <c r="S280" s="24"/>
      <c r="T280" s="24"/>
      <c r="U280" s="25"/>
      <c r="X280" s="26"/>
      <c r="Y280" s="27"/>
      <c r="Z280" s="28"/>
      <c r="AA280" s="28"/>
      <c r="AB280" s="28"/>
    </row>
    <row r="281" ht="15.75" customHeight="1">
      <c r="D281" s="21"/>
      <c r="M281" s="22"/>
      <c r="N281" s="23"/>
      <c r="O281" s="24"/>
      <c r="P281" s="24"/>
      <c r="Q281" s="24"/>
      <c r="R281" s="24"/>
      <c r="S281" s="24"/>
      <c r="T281" s="24"/>
      <c r="U281" s="25"/>
      <c r="X281" s="26"/>
      <c r="Y281" s="27"/>
      <c r="Z281" s="28"/>
      <c r="AA281" s="28"/>
      <c r="AB281" s="28"/>
    </row>
    <row r="282" ht="15.75" customHeight="1">
      <c r="D282" s="21"/>
      <c r="M282" s="22"/>
      <c r="N282" s="23"/>
      <c r="O282" s="24"/>
      <c r="P282" s="24"/>
      <c r="Q282" s="24"/>
      <c r="R282" s="24"/>
      <c r="S282" s="24"/>
      <c r="T282" s="24"/>
      <c r="U282" s="25"/>
      <c r="X282" s="26"/>
      <c r="Y282" s="27"/>
      <c r="Z282" s="28"/>
      <c r="AA282" s="28"/>
      <c r="AB282" s="28"/>
    </row>
    <row r="283" ht="15.75" customHeight="1">
      <c r="D283" s="21"/>
      <c r="M283" s="22"/>
      <c r="N283" s="23"/>
      <c r="O283" s="24"/>
      <c r="P283" s="24"/>
      <c r="Q283" s="24"/>
      <c r="R283" s="24"/>
      <c r="S283" s="24"/>
      <c r="T283" s="24"/>
      <c r="U283" s="25"/>
      <c r="X283" s="26"/>
      <c r="Y283" s="27"/>
      <c r="Z283" s="28"/>
      <c r="AA283" s="28"/>
      <c r="AB283" s="28"/>
    </row>
    <row r="284" ht="15.75" customHeight="1">
      <c r="D284" s="21"/>
      <c r="M284" s="22"/>
      <c r="N284" s="23"/>
      <c r="O284" s="24"/>
      <c r="P284" s="24"/>
      <c r="Q284" s="24"/>
      <c r="R284" s="24"/>
      <c r="S284" s="24"/>
      <c r="T284" s="24"/>
      <c r="U284" s="25"/>
      <c r="X284" s="26"/>
      <c r="Y284" s="27"/>
      <c r="Z284" s="28"/>
      <c r="AA284" s="28"/>
      <c r="AB284" s="28"/>
    </row>
    <row r="285" ht="15.75" customHeight="1">
      <c r="D285" s="21"/>
      <c r="M285" s="22"/>
      <c r="N285" s="23"/>
      <c r="O285" s="24"/>
      <c r="P285" s="24"/>
      <c r="Q285" s="24"/>
      <c r="R285" s="24"/>
      <c r="S285" s="24"/>
      <c r="T285" s="24"/>
      <c r="U285" s="25"/>
      <c r="X285" s="26"/>
      <c r="Y285" s="27"/>
      <c r="Z285" s="28"/>
      <c r="AA285" s="28"/>
      <c r="AB285" s="28"/>
    </row>
    <row r="286" ht="15.75" customHeight="1">
      <c r="D286" s="21"/>
      <c r="M286" s="22"/>
      <c r="N286" s="23"/>
      <c r="O286" s="24"/>
      <c r="P286" s="24"/>
      <c r="Q286" s="24"/>
      <c r="R286" s="24"/>
      <c r="S286" s="24"/>
      <c r="T286" s="24"/>
      <c r="U286" s="25"/>
      <c r="X286" s="26"/>
      <c r="Y286" s="27"/>
      <c r="Z286" s="28"/>
      <c r="AA286" s="28"/>
      <c r="AB286" s="28"/>
    </row>
    <row r="287" ht="15.75" customHeight="1">
      <c r="D287" s="21"/>
      <c r="M287" s="22"/>
      <c r="N287" s="23"/>
      <c r="O287" s="24"/>
      <c r="P287" s="24"/>
      <c r="Q287" s="24"/>
      <c r="R287" s="24"/>
      <c r="S287" s="24"/>
      <c r="T287" s="24"/>
      <c r="U287" s="25"/>
      <c r="X287" s="26"/>
      <c r="Y287" s="27"/>
      <c r="Z287" s="28"/>
      <c r="AA287" s="28"/>
      <c r="AB287" s="28"/>
    </row>
    <row r="288" ht="15.75" customHeight="1">
      <c r="D288" s="21"/>
      <c r="M288" s="22"/>
      <c r="N288" s="23"/>
      <c r="O288" s="24"/>
      <c r="P288" s="24"/>
      <c r="Q288" s="24"/>
      <c r="R288" s="24"/>
      <c r="S288" s="24"/>
      <c r="T288" s="24"/>
      <c r="U288" s="25"/>
      <c r="X288" s="26"/>
      <c r="Y288" s="27"/>
      <c r="Z288" s="28"/>
      <c r="AA288" s="28"/>
      <c r="AB288" s="28"/>
    </row>
    <row r="289" ht="15.75" customHeight="1">
      <c r="D289" s="21"/>
      <c r="M289" s="22"/>
      <c r="N289" s="23"/>
      <c r="O289" s="24"/>
      <c r="P289" s="24"/>
      <c r="Q289" s="24"/>
      <c r="R289" s="24"/>
      <c r="S289" s="24"/>
      <c r="T289" s="24"/>
      <c r="U289" s="25"/>
      <c r="X289" s="26"/>
      <c r="Y289" s="27"/>
      <c r="Z289" s="28"/>
      <c r="AA289" s="28"/>
      <c r="AB289" s="28"/>
    </row>
    <row r="290" ht="15.75" customHeight="1">
      <c r="D290" s="21"/>
      <c r="M290" s="22"/>
      <c r="N290" s="23"/>
      <c r="O290" s="24"/>
      <c r="P290" s="24"/>
      <c r="Q290" s="24"/>
      <c r="R290" s="24"/>
      <c r="S290" s="24"/>
      <c r="T290" s="24"/>
      <c r="U290" s="25"/>
      <c r="X290" s="26"/>
      <c r="Y290" s="27"/>
      <c r="Z290" s="28"/>
      <c r="AA290" s="28"/>
      <c r="AB290" s="28"/>
    </row>
    <row r="291" ht="15.75" customHeight="1">
      <c r="D291" s="21"/>
      <c r="M291" s="22"/>
      <c r="N291" s="23"/>
      <c r="O291" s="24"/>
      <c r="P291" s="24"/>
      <c r="Q291" s="24"/>
      <c r="R291" s="24"/>
      <c r="S291" s="24"/>
      <c r="T291" s="24"/>
      <c r="U291" s="25"/>
      <c r="X291" s="26"/>
      <c r="Y291" s="27"/>
      <c r="Z291" s="28"/>
      <c r="AA291" s="28"/>
      <c r="AB291" s="28"/>
    </row>
    <row r="292" ht="15.75" customHeight="1">
      <c r="D292" s="21"/>
      <c r="M292" s="22"/>
      <c r="N292" s="23"/>
      <c r="O292" s="24"/>
      <c r="P292" s="24"/>
      <c r="Q292" s="24"/>
      <c r="R292" s="24"/>
      <c r="S292" s="24"/>
      <c r="T292" s="24"/>
      <c r="U292" s="25"/>
      <c r="X292" s="26"/>
      <c r="Y292" s="27"/>
      <c r="Z292" s="28"/>
      <c r="AA292" s="28"/>
      <c r="AB292" s="28"/>
    </row>
    <row r="293" ht="15.75" customHeight="1">
      <c r="D293" s="21"/>
      <c r="M293" s="22"/>
      <c r="N293" s="23"/>
      <c r="O293" s="24"/>
      <c r="P293" s="24"/>
      <c r="Q293" s="24"/>
      <c r="R293" s="24"/>
      <c r="S293" s="24"/>
      <c r="T293" s="24"/>
      <c r="U293" s="25"/>
      <c r="X293" s="26"/>
      <c r="Y293" s="27"/>
      <c r="Z293" s="28"/>
      <c r="AA293" s="28"/>
      <c r="AB293" s="28"/>
    </row>
    <row r="294" ht="15.75" customHeight="1">
      <c r="D294" s="21"/>
      <c r="M294" s="22"/>
      <c r="N294" s="23"/>
      <c r="O294" s="24"/>
      <c r="P294" s="24"/>
      <c r="Q294" s="24"/>
      <c r="R294" s="24"/>
      <c r="S294" s="24"/>
      <c r="T294" s="24"/>
      <c r="U294" s="25"/>
      <c r="X294" s="26"/>
      <c r="Y294" s="27"/>
      <c r="Z294" s="28"/>
      <c r="AA294" s="28"/>
      <c r="AB294" s="28"/>
    </row>
    <row r="295" ht="15.75" customHeight="1">
      <c r="D295" s="21"/>
      <c r="M295" s="22"/>
      <c r="N295" s="23"/>
      <c r="O295" s="24"/>
      <c r="P295" s="24"/>
      <c r="Q295" s="24"/>
      <c r="R295" s="24"/>
      <c r="S295" s="24"/>
      <c r="T295" s="24"/>
      <c r="U295" s="25"/>
      <c r="X295" s="26"/>
      <c r="Y295" s="27"/>
      <c r="Z295" s="28"/>
      <c r="AA295" s="28"/>
      <c r="AB295" s="28"/>
    </row>
    <row r="296" ht="15.75" customHeight="1">
      <c r="D296" s="21"/>
      <c r="M296" s="22"/>
      <c r="N296" s="23"/>
      <c r="O296" s="24"/>
      <c r="P296" s="24"/>
      <c r="Q296" s="24"/>
      <c r="R296" s="24"/>
      <c r="S296" s="24"/>
      <c r="T296" s="24"/>
      <c r="U296" s="25"/>
      <c r="X296" s="26"/>
      <c r="Y296" s="27"/>
      <c r="Z296" s="28"/>
      <c r="AA296" s="28"/>
      <c r="AB296" s="28"/>
    </row>
    <row r="297" ht="15.75" customHeight="1">
      <c r="D297" s="21"/>
      <c r="M297" s="22"/>
      <c r="N297" s="23"/>
      <c r="O297" s="24"/>
      <c r="P297" s="24"/>
      <c r="Q297" s="24"/>
      <c r="R297" s="24"/>
      <c r="S297" s="24"/>
      <c r="T297" s="24"/>
      <c r="U297" s="25"/>
      <c r="X297" s="26"/>
      <c r="Y297" s="27"/>
      <c r="Z297" s="28"/>
      <c r="AA297" s="28"/>
      <c r="AB297" s="28"/>
    </row>
    <row r="298" ht="15.75" customHeight="1">
      <c r="D298" s="21"/>
      <c r="M298" s="22"/>
      <c r="N298" s="23"/>
      <c r="O298" s="24"/>
      <c r="P298" s="24"/>
      <c r="Q298" s="24"/>
      <c r="R298" s="24"/>
      <c r="S298" s="24"/>
      <c r="T298" s="24"/>
      <c r="U298" s="25"/>
      <c r="X298" s="26"/>
      <c r="Y298" s="27"/>
      <c r="Z298" s="28"/>
      <c r="AA298" s="28"/>
      <c r="AB298" s="28"/>
    </row>
    <row r="299" ht="15.75" customHeight="1">
      <c r="D299" s="21"/>
      <c r="M299" s="22"/>
      <c r="N299" s="23"/>
      <c r="O299" s="24"/>
      <c r="P299" s="24"/>
      <c r="Q299" s="24"/>
      <c r="R299" s="24"/>
      <c r="S299" s="24"/>
      <c r="T299" s="24"/>
      <c r="U299" s="25"/>
      <c r="X299" s="26"/>
      <c r="Y299" s="27"/>
      <c r="Z299" s="28"/>
      <c r="AA299" s="28"/>
      <c r="AB299" s="28"/>
    </row>
    <row r="300" ht="15.75" customHeight="1">
      <c r="D300" s="21"/>
      <c r="M300" s="22"/>
      <c r="N300" s="23"/>
      <c r="O300" s="24"/>
      <c r="P300" s="24"/>
      <c r="Q300" s="24"/>
      <c r="R300" s="24"/>
      <c r="S300" s="24"/>
      <c r="T300" s="24"/>
      <c r="U300" s="25"/>
      <c r="X300" s="26"/>
      <c r="Y300" s="27"/>
      <c r="Z300" s="28"/>
      <c r="AA300" s="28"/>
      <c r="AB300" s="28"/>
    </row>
    <row r="301" ht="15.75" customHeight="1">
      <c r="D301" s="21"/>
      <c r="M301" s="22"/>
      <c r="N301" s="23"/>
      <c r="O301" s="24"/>
      <c r="P301" s="24"/>
      <c r="Q301" s="24"/>
      <c r="R301" s="24"/>
      <c r="S301" s="24"/>
      <c r="T301" s="24"/>
      <c r="U301" s="25"/>
      <c r="X301" s="26"/>
      <c r="Y301" s="27"/>
      <c r="Z301" s="28"/>
      <c r="AA301" s="28"/>
      <c r="AB301" s="28"/>
    </row>
    <row r="302" ht="15.75" customHeight="1">
      <c r="D302" s="21"/>
      <c r="M302" s="22"/>
      <c r="N302" s="23"/>
      <c r="O302" s="24"/>
      <c r="P302" s="24"/>
      <c r="Q302" s="24"/>
      <c r="R302" s="24"/>
      <c r="S302" s="24"/>
      <c r="T302" s="24"/>
      <c r="U302" s="25"/>
      <c r="X302" s="26"/>
      <c r="Y302" s="27"/>
      <c r="Z302" s="28"/>
      <c r="AA302" s="28"/>
      <c r="AB302" s="28"/>
    </row>
    <row r="303" ht="15.75" customHeight="1">
      <c r="D303" s="21"/>
      <c r="M303" s="22"/>
      <c r="N303" s="23"/>
      <c r="O303" s="24"/>
      <c r="P303" s="24"/>
      <c r="Q303" s="24"/>
      <c r="R303" s="24"/>
      <c r="S303" s="24"/>
      <c r="T303" s="24"/>
      <c r="U303" s="25"/>
      <c r="X303" s="26"/>
      <c r="Y303" s="27"/>
      <c r="Z303" s="28"/>
      <c r="AA303" s="28"/>
      <c r="AB303" s="28"/>
    </row>
    <row r="304" ht="15.75" customHeight="1">
      <c r="D304" s="21"/>
      <c r="M304" s="22"/>
      <c r="N304" s="23"/>
      <c r="O304" s="24"/>
      <c r="P304" s="24"/>
      <c r="Q304" s="24"/>
      <c r="R304" s="24"/>
      <c r="S304" s="24"/>
      <c r="T304" s="24"/>
      <c r="U304" s="25"/>
      <c r="X304" s="26"/>
      <c r="Y304" s="27"/>
      <c r="Z304" s="28"/>
      <c r="AA304" s="28"/>
      <c r="AB304" s="28"/>
    </row>
    <row r="305" ht="15.75" customHeight="1">
      <c r="D305" s="21"/>
      <c r="M305" s="22"/>
      <c r="N305" s="23"/>
      <c r="O305" s="24"/>
      <c r="P305" s="24"/>
      <c r="Q305" s="24"/>
      <c r="R305" s="24"/>
      <c r="S305" s="24"/>
      <c r="T305" s="24"/>
      <c r="U305" s="25"/>
      <c r="X305" s="26"/>
      <c r="Y305" s="27"/>
      <c r="Z305" s="28"/>
      <c r="AA305" s="28"/>
      <c r="AB305" s="28"/>
    </row>
    <row r="306" ht="15.75" customHeight="1">
      <c r="D306" s="21"/>
      <c r="M306" s="22"/>
      <c r="N306" s="23"/>
      <c r="O306" s="24"/>
      <c r="P306" s="24"/>
      <c r="Q306" s="24"/>
      <c r="R306" s="24"/>
      <c r="S306" s="24"/>
      <c r="T306" s="24"/>
      <c r="U306" s="25"/>
      <c r="X306" s="26"/>
      <c r="Y306" s="27"/>
      <c r="Z306" s="28"/>
      <c r="AA306" s="28"/>
      <c r="AB306" s="28"/>
    </row>
    <row r="307" ht="15.75" customHeight="1">
      <c r="D307" s="21"/>
      <c r="M307" s="22"/>
      <c r="N307" s="23"/>
      <c r="O307" s="24"/>
      <c r="P307" s="24"/>
      <c r="Q307" s="24"/>
      <c r="R307" s="24"/>
      <c r="S307" s="24"/>
      <c r="T307" s="24"/>
      <c r="U307" s="25"/>
      <c r="X307" s="26"/>
      <c r="Y307" s="27"/>
      <c r="Z307" s="28"/>
      <c r="AA307" s="28"/>
      <c r="AB307" s="28"/>
    </row>
    <row r="308" ht="15.75" customHeight="1">
      <c r="D308" s="21"/>
      <c r="M308" s="22"/>
      <c r="N308" s="23"/>
      <c r="O308" s="24"/>
      <c r="P308" s="24"/>
      <c r="Q308" s="24"/>
      <c r="R308" s="24"/>
      <c r="S308" s="24"/>
      <c r="T308" s="24"/>
      <c r="U308" s="25"/>
      <c r="X308" s="26"/>
      <c r="Y308" s="27"/>
      <c r="Z308" s="28"/>
      <c r="AA308" s="28"/>
      <c r="AB308" s="28"/>
    </row>
    <row r="309" ht="15.75" customHeight="1">
      <c r="D309" s="21"/>
      <c r="M309" s="22"/>
      <c r="N309" s="23"/>
      <c r="O309" s="24"/>
      <c r="P309" s="24"/>
      <c r="Q309" s="24"/>
      <c r="R309" s="24"/>
      <c r="S309" s="24"/>
      <c r="T309" s="24"/>
      <c r="U309" s="25"/>
      <c r="X309" s="26"/>
      <c r="Y309" s="27"/>
      <c r="Z309" s="28"/>
      <c r="AA309" s="28"/>
      <c r="AB309" s="28"/>
    </row>
    <row r="310" ht="15.75" customHeight="1">
      <c r="D310" s="21"/>
      <c r="M310" s="22"/>
      <c r="N310" s="23"/>
      <c r="O310" s="24"/>
      <c r="P310" s="24"/>
      <c r="Q310" s="24"/>
      <c r="R310" s="24"/>
      <c r="S310" s="24"/>
      <c r="T310" s="24"/>
      <c r="U310" s="25"/>
      <c r="X310" s="26"/>
      <c r="Y310" s="27"/>
      <c r="Z310" s="28"/>
      <c r="AA310" s="28"/>
      <c r="AB310" s="28"/>
    </row>
    <row r="311" ht="15.75" customHeight="1">
      <c r="D311" s="21"/>
      <c r="M311" s="22"/>
      <c r="N311" s="23"/>
      <c r="O311" s="24"/>
      <c r="P311" s="24"/>
      <c r="Q311" s="24"/>
      <c r="R311" s="24"/>
      <c r="S311" s="24"/>
      <c r="T311" s="24"/>
      <c r="U311" s="25"/>
      <c r="X311" s="26"/>
      <c r="Y311" s="27"/>
      <c r="Z311" s="28"/>
      <c r="AA311" s="28"/>
      <c r="AB311" s="28"/>
    </row>
    <row r="312" ht="15.75" customHeight="1">
      <c r="D312" s="21"/>
      <c r="M312" s="22"/>
      <c r="N312" s="23"/>
      <c r="O312" s="24"/>
      <c r="P312" s="24"/>
      <c r="Q312" s="24"/>
      <c r="R312" s="24"/>
      <c r="S312" s="24"/>
      <c r="T312" s="24"/>
      <c r="U312" s="25"/>
      <c r="X312" s="26"/>
      <c r="Y312" s="27"/>
      <c r="Z312" s="28"/>
      <c r="AA312" s="28"/>
      <c r="AB312" s="28"/>
    </row>
    <row r="313" ht="15.75" customHeight="1">
      <c r="D313" s="21"/>
      <c r="M313" s="22"/>
      <c r="N313" s="23"/>
      <c r="O313" s="24"/>
      <c r="P313" s="24"/>
      <c r="Q313" s="24"/>
      <c r="R313" s="24"/>
      <c r="S313" s="24"/>
      <c r="T313" s="24"/>
      <c r="U313" s="25"/>
      <c r="X313" s="26"/>
      <c r="Y313" s="27"/>
      <c r="Z313" s="28"/>
      <c r="AA313" s="28"/>
      <c r="AB313" s="28"/>
    </row>
    <row r="314" ht="15.75" customHeight="1">
      <c r="D314" s="21"/>
      <c r="M314" s="22"/>
      <c r="N314" s="23"/>
      <c r="O314" s="24"/>
      <c r="P314" s="24"/>
      <c r="Q314" s="24"/>
      <c r="R314" s="24"/>
      <c r="S314" s="24"/>
      <c r="T314" s="24"/>
      <c r="U314" s="25"/>
      <c r="X314" s="26"/>
      <c r="Y314" s="27"/>
      <c r="Z314" s="28"/>
      <c r="AA314" s="28"/>
      <c r="AB314" s="28"/>
    </row>
    <row r="315" ht="15.75" customHeight="1">
      <c r="D315" s="21"/>
      <c r="M315" s="22"/>
      <c r="N315" s="23"/>
      <c r="O315" s="24"/>
      <c r="P315" s="24"/>
      <c r="Q315" s="24"/>
      <c r="R315" s="24"/>
      <c r="S315" s="24"/>
      <c r="T315" s="24"/>
      <c r="U315" s="25"/>
      <c r="X315" s="26"/>
      <c r="Y315" s="27"/>
      <c r="Z315" s="28"/>
      <c r="AA315" s="28"/>
      <c r="AB315" s="28"/>
    </row>
    <row r="316" ht="15.75" customHeight="1">
      <c r="D316" s="21"/>
      <c r="M316" s="22"/>
      <c r="N316" s="23"/>
      <c r="O316" s="24"/>
      <c r="P316" s="24"/>
      <c r="Q316" s="24"/>
      <c r="R316" s="24"/>
      <c r="S316" s="24"/>
      <c r="T316" s="24"/>
      <c r="U316" s="25"/>
      <c r="X316" s="26"/>
      <c r="Y316" s="27"/>
      <c r="Z316" s="28"/>
      <c r="AA316" s="28"/>
      <c r="AB316" s="28"/>
    </row>
    <row r="317" ht="15.75" customHeight="1">
      <c r="D317" s="21"/>
      <c r="M317" s="22"/>
      <c r="N317" s="23"/>
      <c r="O317" s="24"/>
      <c r="P317" s="24"/>
      <c r="Q317" s="24"/>
      <c r="R317" s="24"/>
      <c r="S317" s="24"/>
      <c r="T317" s="24"/>
      <c r="U317" s="25"/>
      <c r="X317" s="26"/>
      <c r="Y317" s="27"/>
      <c r="Z317" s="28"/>
      <c r="AA317" s="28"/>
      <c r="AB317" s="28"/>
    </row>
    <row r="318" ht="15.75" customHeight="1">
      <c r="D318" s="21"/>
      <c r="M318" s="22"/>
      <c r="N318" s="23"/>
      <c r="O318" s="24"/>
      <c r="P318" s="24"/>
      <c r="Q318" s="24"/>
      <c r="R318" s="24"/>
      <c r="S318" s="24"/>
      <c r="T318" s="24"/>
      <c r="U318" s="25"/>
      <c r="X318" s="26"/>
      <c r="Y318" s="27"/>
      <c r="Z318" s="28"/>
      <c r="AA318" s="28"/>
      <c r="AB318" s="28"/>
    </row>
    <row r="319" ht="15.75" customHeight="1">
      <c r="D319" s="21"/>
      <c r="M319" s="22"/>
      <c r="N319" s="23"/>
      <c r="O319" s="24"/>
      <c r="P319" s="24"/>
      <c r="Q319" s="24"/>
      <c r="R319" s="24"/>
      <c r="S319" s="24"/>
      <c r="T319" s="24"/>
      <c r="U319" s="25"/>
      <c r="X319" s="26"/>
      <c r="Y319" s="27"/>
      <c r="Z319" s="28"/>
      <c r="AA319" s="28"/>
      <c r="AB319" s="28"/>
    </row>
    <row r="320" ht="15.75" customHeight="1">
      <c r="D320" s="21"/>
      <c r="M320" s="22"/>
      <c r="N320" s="23"/>
      <c r="O320" s="24"/>
      <c r="P320" s="24"/>
      <c r="Q320" s="24"/>
      <c r="R320" s="24"/>
      <c r="S320" s="24"/>
      <c r="T320" s="24"/>
      <c r="U320" s="25"/>
      <c r="X320" s="26"/>
      <c r="Y320" s="27"/>
      <c r="Z320" s="28"/>
      <c r="AA320" s="28"/>
      <c r="AB320" s="28"/>
    </row>
    <row r="321" ht="15.75" customHeight="1">
      <c r="D321" s="21"/>
      <c r="M321" s="22"/>
      <c r="N321" s="23"/>
      <c r="O321" s="24"/>
      <c r="P321" s="24"/>
      <c r="Q321" s="24"/>
      <c r="R321" s="24"/>
      <c r="S321" s="24"/>
      <c r="T321" s="24"/>
      <c r="U321" s="25"/>
      <c r="X321" s="26"/>
      <c r="Y321" s="27"/>
      <c r="Z321" s="28"/>
      <c r="AA321" s="28"/>
      <c r="AB321" s="28"/>
    </row>
    <row r="322" ht="15.75" customHeight="1">
      <c r="D322" s="21"/>
      <c r="M322" s="22"/>
      <c r="N322" s="23"/>
      <c r="O322" s="24"/>
      <c r="P322" s="24"/>
      <c r="Q322" s="24"/>
      <c r="R322" s="24"/>
      <c r="S322" s="24"/>
      <c r="T322" s="24"/>
      <c r="U322" s="25"/>
      <c r="X322" s="26"/>
      <c r="Y322" s="27"/>
      <c r="Z322" s="28"/>
      <c r="AA322" s="28"/>
      <c r="AB322" s="28"/>
    </row>
    <row r="323" ht="15.75" customHeight="1">
      <c r="D323" s="21"/>
      <c r="M323" s="22"/>
      <c r="N323" s="23"/>
      <c r="O323" s="24"/>
      <c r="P323" s="24"/>
      <c r="Q323" s="24"/>
      <c r="R323" s="24"/>
      <c r="S323" s="24"/>
      <c r="T323" s="24"/>
      <c r="U323" s="25"/>
      <c r="X323" s="26"/>
      <c r="Y323" s="27"/>
      <c r="Z323" s="28"/>
      <c r="AA323" s="28"/>
      <c r="AB323" s="28"/>
    </row>
    <row r="324" ht="15.75" customHeight="1">
      <c r="D324" s="21"/>
      <c r="M324" s="22"/>
      <c r="N324" s="23"/>
      <c r="O324" s="24"/>
      <c r="P324" s="24"/>
      <c r="Q324" s="24"/>
      <c r="R324" s="24"/>
      <c r="S324" s="24"/>
      <c r="T324" s="24"/>
      <c r="U324" s="25"/>
      <c r="X324" s="26"/>
      <c r="Y324" s="27"/>
      <c r="Z324" s="28"/>
      <c r="AA324" s="28"/>
      <c r="AB324" s="28"/>
    </row>
    <row r="325" ht="15.75" customHeight="1">
      <c r="D325" s="21"/>
      <c r="M325" s="22"/>
      <c r="N325" s="23"/>
      <c r="O325" s="24"/>
      <c r="P325" s="24"/>
      <c r="Q325" s="24"/>
      <c r="R325" s="24"/>
      <c r="S325" s="24"/>
      <c r="T325" s="24"/>
      <c r="U325" s="25"/>
      <c r="X325" s="26"/>
      <c r="Y325" s="27"/>
      <c r="Z325" s="28"/>
      <c r="AA325" s="28"/>
      <c r="AB325" s="28"/>
    </row>
    <row r="326" ht="15.75" customHeight="1">
      <c r="D326" s="21"/>
      <c r="M326" s="22"/>
      <c r="N326" s="23"/>
      <c r="O326" s="24"/>
      <c r="P326" s="24"/>
      <c r="Q326" s="24"/>
      <c r="R326" s="24"/>
      <c r="S326" s="24"/>
      <c r="T326" s="24"/>
      <c r="U326" s="25"/>
      <c r="X326" s="26"/>
      <c r="Y326" s="27"/>
      <c r="Z326" s="28"/>
      <c r="AA326" s="28"/>
      <c r="AB326" s="28"/>
    </row>
    <row r="327" ht="15.75" customHeight="1">
      <c r="D327" s="21"/>
      <c r="M327" s="22"/>
      <c r="N327" s="23"/>
      <c r="O327" s="24"/>
      <c r="P327" s="24"/>
      <c r="Q327" s="24"/>
      <c r="R327" s="24"/>
      <c r="S327" s="24"/>
      <c r="T327" s="24"/>
      <c r="U327" s="25"/>
      <c r="X327" s="26"/>
      <c r="Y327" s="27"/>
      <c r="Z327" s="28"/>
      <c r="AA327" s="28"/>
      <c r="AB327" s="28"/>
    </row>
    <row r="328" ht="15.75" customHeight="1">
      <c r="D328" s="21"/>
      <c r="M328" s="22"/>
      <c r="N328" s="23"/>
      <c r="O328" s="24"/>
      <c r="P328" s="24"/>
      <c r="Q328" s="24"/>
      <c r="R328" s="24"/>
      <c r="S328" s="24"/>
      <c r="T328" s="24"/>
      <c r="U328" s="25"/>
      <c r="X328" s="26"/>
      <c r="Y328" s="27"/>
      <c r="Z328" s="28"/>
      <c r="AA328" s="28"/>
      <c r="AB328" s="28"/>
    </row>
    <row r="329" ht="15.75" customHeight="1">
      <c r="D329" s="21"/>
      <c r="M329" s="22"/>
      <c r="N329" s="23"/>
      <c r="O329" s="24"/>
      <c r="P329" s="24"/>
      <c r="Q329" s="24"/>
      <c r="R329" s="24"/>
      <c r="S329" s="24"/>
      <c r="T329" s="24"/>
      <c r="U329" s="25"/>
      <c r="X329" s="26"/>
      <c r="Y329" s="27"/>
      <c r="Z329" s="28"/>
      <c r="AA329" s="28"/>
      <c r="AB329" s="28"/>
    </row>
    <row r="330" ht="15.75" customHeight="1">
      <c r="D330" s="21"/>
      <c r="M330" s="22"/>
      <c r="N330" s="23"/>
      <c r="O330" s="24"/>
      <c r="P330" s="24"/>
      <c r="Q330" s="24"/>
      <c r="R330" s="24"/>
      <c r="S330" s="24"/>
      <c r="T330" s="24"/>
      <c r="U330" s="25"/>
      <c r="X330" s="26"/>
      <c r="Y330" s="27"/>
      <c r="Z330" s="28"/>
      <c r="AA330" s="28"/>
      <c r="AB330" s="28"/>
    </row>
    <row r="331" ht="15.75" customHeight="1">
      <c r="D331" s="21"/>
      <c r="M331" s="22"/>
      <c r="N331" s="23"/>
      <c r="O331" s="24"/>
      <c r="P331" s="24"/>
      <c r="Q331" s="24"/>
      <c r="R331" s="24"/>
      <c r="S331" s="24"/>
      <c r="T331" s="24"/>
      <c r="U331" s="25"/>
      <c r="X331" s="26"/>
      <c r="Y331" s="27"/>
      <c r="Z331" s="28"/>
      <c r="AA331" s="28"/>
      <c r="AB331" s="28"/>
    </row>
    <row r="332" ht="15.75" customHeight="1">
      <c r="D332" s="21"/>
      <c r="M332" s="22"/>
      <c r="N332" s="23"/>
      <c r="O332" s="24"/>
      <c r="P332" s="24"/>
      <c r="Q332" s="24"/>
      <c r="R332" s="24"/>
      <c r="S332" s="24"/>
      <c r="T332" s="24"/>
      <c r="U332" s="25"/>
      <c r="X332" s="26"/>
      <c r="Y332" s="27"/>
      <c r="Z332" s="28"/>
      <c r="AA332" s="28"/>
      <c r="AB332" s="28"/>
    </row>
    <row r="333" ht="15.75" customHeight="1">
      <c r="D333" s="21"/>
      <c r="M333" s="22"/>
      <c r="N333" s="23"/>
      <c r="O333" s="24"/>
      <c r="P333" s="24"/>
      <c r="Q333" s="24"/>
      <c r="R333" s="24"/>
      <c r="S333" s="24"/>
      <c r="T333" s="24"/>
      <c r="U333" s="25"/>
      <c r="X333" s="26"/>
      <c r="Y333" s="27"/>
      <c r="Z333" s="28"/>
      <c r="AA333" s="28"/>
      <c r="AB333" s="28"/>
    </row>
    <row r="334" ht="15.75" customHeight="1">
      <c r="D334" s="21"/>
      <c r="M334" s="22"/>
      <c r="N334" s="23"/>
      <c r="O334" s="24"/>
      <c r="P334" s="24"/>
      <c r="Q334" s="24"/>
      <c r="R334" s="24"/>
      <c r="S334" s="24"/>
      <c r="T334" s="24"/>
      <c r="U334" s="25"/>
      <c r="X334" s="26"/>
      <c r="Y334" s="27"/>
      <c r="Z334" s="28"/>
      <c r="AA334" s="28"/>
      <c r="AB334" s="28"/>
    </row>
    <row r="335" ht="15.75" customHeight="1">
      <c r="D335" s="21"/>
      <c r="M335" s="22"/>
      <c r="N335" s="23"/>
      <c r="O335" s="24"/>
      <c r="P335" s="24"/>
      <c r="Q335" s="24"/>
      <c r="R335" s="24"/>
      <c r="S335" s="24"/>
      <c r="T335" s="24"/>
      <c r="U335" s="25"/>
      <c r="X335" s="26"/>
      <c r="Y335" s="27"/>
      <c r="Z335" s="28"/>
      <c r="AA335" s="28"/>
      <c r="AB335" s="28"/>
    </row>
    <row r="336" ht="15.75" customHeight="1">
      <c r="D336" s="21"/>
      <c r="M336" s="22"/>
      <c r="N336" s="23"/>
      <c r="O336" s="24"/>
      <c r="P336" s="24"/>
      <c r="Q336" s="24"/>
      <c r="R336" s="24"/>
      <c r="S336" s="24"/>
      <c r="T336" s="24"/>
      <c r="U336" s="25"/>
      <c r="X336" s="26"/>
      <c r="Y336" s="27"/>
      <c r="Z336" s="28"/>
      <c r="AA336" s="28"/>
      <c r="AB336" s="28"/>
    </row>
    <row r="337" ht="15.75" customHeight="1">
      <c r="D337" s="21"/>
      <c r="M337" s="22"/>
      <c r="N337" s="23"/>
      <c r="O337" s="24"/>
      <c r="P337" s="24"/>
      <c r="Q337" s="24"/>
      <c r="R337" s="24"/>
      <c r="S337" s="24"/>
      <c r="T337" s="24"/>
      <c r="U337" s="25"/>
      <c r="X337" s="26"/>
      <c r="Y337" s="27"/>
      <c r="Z337" s="28"/>
      <c r="AA337" s="28"/>
      <c r="AB337" s="28"/>
    </row>
    <row r="338" ht="15.75" customHeight="1">
      <c r="D338" s="21"/>
      <c r="M338" s="22"/>
      <c r="N338" s="23"/>
      <c r="O338" s="24"/>
      <c r="P338" s="24"/>
      <c r="Q338" s="24"/>
      <c r="R338" s="24"/>
      <c r="S338" s="24"/>
      <c r="T338" s="24"/>
      <c r="U338" s="25"/>
      <c r="X338" s="26"/>
      <c r="Y338" s="27"/>
      <c r="Z338" s="28"/>
      <c r="AA338" s="28"/>
      <c r="AB338" s="28"/>
    </row>
    <row r="339" ht="15.75" customHeight="1">
      <c r="D339" s="21"/>
      <c r="M339" s="22"/>
      <c r="N339" s="23"/>
      <c r="O339" s="24"/>
      <c r="P339" s="24"/>
      <c r="Q339" s="24"/>
      <c r="R339" s="24"/>
      <c r="S339" s="24"/>
      <c r="T339" s="24"/>
      <c r="U339" s="25"/>
      <c r="X339" s="26"/>
      <c r="Y339" s="27"/>
      <c r="Z339" s="28"/>
      <c r="AA339" s="28"/>
      <c r="AB339" s="28"/>
    </row>
    <row r="340" ht="15.75" customHeight="1">
      <c r="D340" s="21"/>
      <c r="M340" s="22"/>
      <c r="N340" s="23"/>
      <c r="O340" s="24"/>
      <c r="P340" s="24"/>
      <c r="Q340" s="24"/>
      <c r="R340" s="24"/>
      <c r="S340" s="24"/>
      <c r="T340" s="24"/>
      <c r="U340" s="25"/>
      <c r="X340" s="26"/>
      <c r="Y340" s="27"/>
      <c r="Z340" s="28"/>
      <c r="AA340" s="28"/>
      <c r="AB340" s="28"/>
    </row>
    <row r="341" ht="15.75" customHeight="1">
      <c r="D341" s="21"/>
      <c r="M341" s="22"/>
      <c r="N341" s="23"/>
      <c r="O341" s="24"/>
      <c r="P341" s="24"/>
      <c r="Q341" s="24"/>
      <c r="R341" s="24"/>
      <c r="S341" s="24"/>
      <c r="T341" s="24"/>
      <c r="U341" s="25"/>
      <c r="X341" s="26"/>
      <c r="Y341" s="27"/>
      <c r="Z341" s="28"/>
      <c r="AA341" s="28"/>
      <c r="AB341" s="28"/>
    </row>
    <row r="342" ht="15.75" customHeight="1">
      <c r="D342" s="21"/>
      <c r="M342" s="22"/>
      <c r="N342" s="23"/>
      <c r="O342" s="24"/>
      <c r="P342" s="24"/>
      <c r="Q342" s="24"/>
      <c r="R342" s="24"/>
      <c r="S342" s="24"/>
      <c r="T342" s="24"/>
      <c r="U342" s="25"/>
      <c r="X342" s="26"/>
      <c r="Y342" s="27"/>
      <c r="Z342" s="28"/>
      <c r="AA342" s="28"/>
      <c r="AB342" s="28"/>
    </row>
    <row r="343" ht="15.75" customHeight="1">
      <c r="D343" s="21"/>
      <c r="M343" s="22"/>
      <c r="N343" s="23"/>
      <c r="O343" s="24"/>
      <c r="P343" s="24"/>
      <c r="Q343" s="24"/>
      <c r="R343" s="24"/>
      <c r="S343" s="24"/>
      <c r="T343" s="24"/>
      <c r="U343" s="25"/>
      <c r="X343" s="26"/>
      <c r="Y343" s="27"/>
      <c r="Z343" s="28"/>
      <c r="AA343" s="28"/>
      <c r="AB343" s="28"/>
    </row>
    <row r="344" ht="15.75" customHeight="1">
      <c r="D344" s="21"/>
      <c r="M344" s="22"/>
      <c r="N344" s="23"/>
      <c r="O344" s="24"/>
      <c r="P344" s="24"/>
      <c r="Q344" s="24"/>
      <c r="R344" s="24"/>
      <c r="S344" s="24"/>
      <c r="T344" s="24"/>
      <c r="U344" s="25"/>
      <c r="X344" s="26"/>
      <c r="Y344" s="27"/>
      <c r="Z344" s="28"/>
      <c r="AA344" s="28"/>
      <c r="AB344" s="28"/>
    </row>
    <row r="345" ht="15.75" customHeight="1">
      <c r="D345" s="21"/>
      <c r="M345" s="22"/>
      <c r="N345" s="23"/>
      <c r="O345" s="24"/>
      <c r="P345" s="24"/>
      <c r="Q345" s="24"/>
      <c r="R345" s="24"/>
      <c r="S345" s="24"/>
      <c r="T345" s="24"/>
      <c r="U345" s="25"/>
      <c r="X345" s="26"/>
      <c r="Y345" s="27"/>
      <c r="Z345" s="28"/>
      <c r="AA345" s="28"/>
      <c r="AB345" s="28"/>
    </row>
    <row r="346" ht="15.75" customHeight="1">
      <c r="D346" s="21"/>
      <c r="M346" s="22"/>
      <c r="N346" s="23"/>
      <c r="O346" s="24"/>
      <c r="P346" s="24"/>
      <c r="Q346" s="24"/>
      <c r="R346" s="24"/>
      <c r="S346" s="24"/>
      <c r="T346" s="24"/>
      <c r="U346" s="25"/>
      <c r="X346" s="26"/>
      <c r="Y346" s="27"/>
      <c r="Z346" s="28"/>
      <c r="AA346" s="28"/>
      <c r="AB346" s="28"/>
    </row>
    <row r="347" ht="15.75" customHeight="1">
      <c r="D347" s="21"/>
      <c r="M347" s="22"/>
      <c r="N347" s="23"/>
      <c r="O347" s="24"/>
      <c r="P347" s="24"/>
      <c r="Q347" s="24"/>
      <c r="R347" s="24"/>
      <c r="S347" s="24"/>
      <c r="T347" s="24"/>
      <c r="U347" s="25"/>
      <c r="X347" s="26"/>
      <c r="Y347" s="27"/>
      <c r="Z347" s="28"/>
      <c r="AA347" s="28"/>
      <c r="AB347" s="28"/>
    </row>
    <row r="348" ht="15.75" customHeight="1">
      <c r="D348" s="21"/>
      <c r="M348" s="22"/>
      <c r="N348" s="23"/>
      <c r="O348" s="24"/>
      <c r="P348" s="24"/>
      <c r="Q348" s="24"/>
      <c r="R348" s="24"/>
      <c r="S348" s="24"/>
      <c r="T348" s="24"/>
      <c r="U348" s="25"/>
      <c r="X348" s="26"/>
      <c r="Y348" s="27"/>
      <c r="Z348" s="28"/>
      <c r="AA348" s="28"/>
      <c r="AB348" s="28"/>
    </row>
    <row r="349" ht="15.75" customHeight="1">
      <c r="D349" s="21"/>
      <c r="M349" s="22"/>
      <c r="N349" s="23"/>
      <c r="O349" s="24"/>
      <c r="P349" s="24"/>
      <c r="Q349" s="24"/>
      <c r="R349" s="24"/>
      <c r="S349" s="24"/>
      <c r="T349" s="24"/>
      <c r="U349" s="25"/>
      <c r="X349" s="26"/>
      <c r="Y349" s="27"/>
      <c r="Z349" s="28"/>
      <c r="AA349" s="28"/>
      <c r="AB349" s="28"/>
    </row>
    <row r="350" ht="15.75" customHeight="1">
      <c r="D350" s="21"/>
      <c r="M350" s="22"/>
      <c r="N350" s="23"/>
      <c r="O350" s="24"/>
      <c r="P350" s="24"/>
      <c r="Q350" s="24"/>
      <c r="R350" s="24"/>
      <c r="S350" s="24"/>
      <c r="T350" s="24"/>
      <c r="U350" s="25"/>
      <c r="X350" s="26"/>
      <c r="Y350" s="27"/>
      <c r="Z350" s="28"/>
      <c r="AA350" s="28"/>
      <c r="AB350" s="28"/>
    </row>
    <row r="351" ht="15.75" customHeight="1">
      <c r="D351" s="21"/>
      <c r="M351" s="22"/>
      <c r="N351" s="23"/>
      <c r="O351" s="24"/>
      <c r="P351" s="24"/>
      <c r="Q351" s="24"/>
      <c r="R351" s="24"/>
      <c r="S351" s="24"/>
      <c r="T351" s="24"/>
      <c r="U351" s="25"/>
      <c r="X351" s="26"/>
      <c r="Y351" s="27"/>
      <c r="Z351" s="28"/>
      <c r="AA351" s="28"/>
      <c r="AB351" s="28"/>
    </row>
    <row r="352" ht="15.75" customHeight="1">
      <c r="D352" s="21"/>
      <c r="M352" s="22"/>
      <c r="N352" s="23"/>
      <c r="O352" s="24"/>
      <c r="P352" s="24"/>
      <c r="Q352" s="24"/>
      <c r="R352" s="24"/>
      <c r="S352" s="24"/>
      <c r="T352" s="24"/>
      <c r="U352" s="25"/>
      <c r="X352" s="26"/>
      <c r="Y352" s="27"/>
      <c r="Z352" s="28"/>
      <c r="AA352" s="28"/>
      <c r="AB352" s="28"/>
    </row>
    <row r="353" ht="15.75" customHeight="1">
      <c r="D353" s="21"/>
      <c r="M353" s="22"/>
      <c r="N353" s="23"/>
      <c r="O353" s="24"/>
      <c r="P353" s="24"/>
      <c r="Q353" s="24"/>
      <c r="R353" s="24"/>
      <c r="S353" s="24"/>
      <c r="T353" s="24"/>
      <c r="U353" s="25"/>
      <c r="X353" s="26"/>
      <c r="Y353" s="27"/>
      <c r="Z353" s="28"/>
      <c r="AA353" s="28"/>
      <c r="AB353" s="28"/>
    </row>
    <row r="354" ht="15.75" customHeight="1">
      <c r="D354" s="21"/>
      <c r="M354" s="22"/>
      <c r="N354" s="23"/>
      <c r="O354" s="24"/>
      <c r="P354" s="24"/>
      <c r="Q354" s="24"/>
      <c r="R354" s="24"/>
      <c r="S354" s="24"/>
      <c r="T354" s="24"/>
      <c r="U354" s="25"/>
      <c r="X354" s="26"/>
      <c r="Y354" s="27"/>
      <c r="Z354" s="28"/>
      <c r="AA354" s="28"/>
      <c r="AB354" s="28"/>
    </row>
    <row r="355" ht="15.75" customHeight="1">
      <c r="D355" s="21"/>
      <c r="M355" s="22"/>
      <c r="N355" s="23"/>
      <c r="O355" s="24"/>
      <c r="P355" s="24"/>
      <c r="Q355" s="24"/>
      <c r="R355" s="24"/>
      <c r="S355" s="24"/>
      <c r="T355" s="24"/>
      <c r="U355" s="25"/>
      <c r="X355" s="26"/>
      <c r="Y355" s="27"/>
      <c r="Z355" s="28"/>
      <c r="AA355" s="28"/>
      <c r="AB355" s="28"/>
    </row>
    <row r="356" ht="15.75" customHeight="1">
      <c r="D356" s="21"/>
      <c r="M356" s="22"/>
      <c r="N356" s="23"/>
      <c r="O356" s="24"/>
      <c r="P356" s="24"/>
      <c r="Q356" s="24"/>
      <c r="R356" s="24"/>
      <c r="S356" s="24"/>
      <c r="T356" s="24"/>
      <c r="U356" s="25"/>
      <c r="X356" s="26"/>
      <c r="Y356" s="27"/>
      <c r="Z356" s="28"/>
      <c r="AA356" s="28"/>
      <c r="AB356" s="28"/>
    </row>
    <row r="357" ht="15.75" customHeight="1">
      <c r="D357" s="21"/>
      <c r="M357" s="22"/>
      <c r="N357" s="23"/>
      <c r="O357" s="24"/>
      <c r="P357" s="24"/>
      <c r="Q357" s="24"/>
      <c r="R357" s="24"/>
      <c r="S357" s="24"/>
      <c r="T357" s="24"/>
      <c r="U357" s="25"/>
      <c r="X357" s="26"/>
      <c r="Y357" s="27"/>
      <c r="Z357" s="28"/>
      <c r="AA357" s="28"/>
      <c r="AB357" s="28"/>
    </row>
    <row r="358" ht="15.75" customHeight="1">
      <c r="D358" s="21"/>
      <c r="M358" s="22"/>
      <c r="N358" s="23"/>
      <c r="O358" s="24"/>
      <c r="P358" s="24"/>
      <c r="Q358" s="24"/>
      <c r="R358" s="24"/>
      <c r="S358" s="24"/>
      <c r="T358" s="24"/>
      <c r="U358" s="25"/>
      <c r="X358" s="26"/>
      <c r="Y358" s="27"/>
      <c r="Z358" s="28"/>
      <c r="AA358" s="28"/>
      <c r="AB358" s="28"/>
    </row>
    <row r="359" ht="15.75" customHeight="1">
      <c r="D359" s="21"/>
      <c r="M359" s="22"/>
      <c r="N359" s="23"/>
      <c r="O359" s="24"/>
      <c r="P359" s="24"/>
      <c r="Q359" s="24"/>
      <c r="R359" s="24"/>
      <c r="S359" s="24"/>
      <c r="T359" s="24"/>
      <c r="U359" s="25"/>
      <c r="X359" s="26"/>
      <c r="Y359" s="27"/>
      <c r="Z359" s="28"/>
      <c r="AA359" s="28"/>
      <c r="AB359" s="28"/>
    </row>
    <row r="360" ht="15.75" customHeight="1">
      <c r="D360" s="21"/>
      <c r="M360" s="22"/>
      <c r="N360" s="23"/>
      <c r="O360" s="24"/>
      <c r="P360" s="24"/>
      <c r="Q360" s="24"/>
      <c r="R360" s="24"/>
      <c r="S360" s="24"/>
      <c r="T360" s="24"/>
      <c r="U360" s="25"/>
      <c r="X360" s="26"/>
      <c r="Y360" s="27"/>
      <c r="Z360" s="28"/>
      <c r="AA360" s="28"/>
      <c r="AB360" s="28"/>
    </row>
    <row r="361" ht="15.75" customHeight="1">
      <c r="D361" s="21"/>
      <c r="M361" s="22"/>
      <c r="N361" s="23"/>
      <c r="O361" s="24"/>
      <c r="P361" s="24"/>
      <c r="Q361" s="24"/>
      <c r="R361" s="24"/>
      <c r="S361" s="24"/>
      <c r="T361" s="24"/>
      <c r="U361" s="25"/>
      <c r="X361" s="26"/>
      <c r="Y361" s="27"/>
      <c r="Z361" s="28"/>
      <c r="AA361" s="28"/>
      <c r="AB361" s="28"/>
    </row>
    <row r="362" ht="15.75" customHeight="1">
      <c r="D362" s="21"/>
      <c r="M362" s="22"/>
      <c r="N362" s="23"/>
      <c r="O362" s="24"/>
      <c r="P362" s="24"/>
      <c r="Q362" s="24"/>
      <c r="R362" s="24"/>
      <c r="S362" s="24"/>
      <c r="T362" s="24"/>
      <c r="U362" s="25"/>
      <c r="X362" s="26"/>
      <c r="Y362" s="27"/>
      <c r="Z362" s="28"/>
      <c r="AA362" s="28"/>
      <c r="AB362" s="28"/>
    </row>
    <row r="363" ht="15.75" customHeight="1">
      <c r="D363" s="21"/>
      <c r="M363" s="22"/>
      <c r="N363" s="23"/>
      <c r="O363" s="24"/>
      <c r="P363" s="24"/>
      <c r="Q363" s="24"/>
      <c r="R363" s="24"/>
      <c r="S363" s="24"/>
      <c r="T363" s="24"/>
      <c r="U363" s="25"/>
      <c r="X363" s="26"/>
      <c r="Y363" s="27"/>
      <c r="Z363" s="28"/>
      <c r="AA363" s="28"/>
      <c r="AB363" s="28"/>
    </row>
    <row r="364" ht="15.75" customHeight="1">
      <c r="D364" s="21"/>
      <c r="M364" s="22"/>
      <c r="N364" s="23"/>
      <c r="O364" s="24"/>
      <c r="P364" s="24"/>
      <c r="Q364" s="24"/>
      <c r="R364" s="24"/>
      <c r="S364" s="24"/>
      <c r="T364" s="24"/>
      <c r="U364" s="25"/>
      <c r="X364" s="26"/>
      <c r="Y364" s="27"/>
      <c r="Z364" s="28"/>
      <c r="AA364" s="28"/>
      <c r="AB364" s="28"/>
    </row>
    <row r="365" ht="15.75" customHeight="1">
      <c r="D365" s="21"/>
      <c r="M365" s="22"/>
      <c r="N365" s="23"/>
      <c r="O365" s="24"/>
      <c r="P365" s="24"/>
      <c r="Q365" s="24"/>
      <c r="R365" s="24"/>
      <c r="S365" s="24"/>
      <c r="T365" s="24"/>
      <c r="U365" s="25"/>
      <c r="X365" s="26"/>
      <c r="Y365" s="27"/>
      <c r="Z365" s="28"/>
      <c r="AA365" s="28"/>
      <c r="AB365" s="28"/>
    </row>
    <row r="366" ht="15.75" customHeight="1">
      <c r="D366" s="21"/>
      <c r="M366" s="22"/>
      <c r="N366" s="23"/>
      <c r="O366" s="24"/>
      <c r="P366" s="24"/>
      <c r="Q366" s="24"/>
      <c r="R366" s="24"/>
      <c r="S366" s="24"/>
      <c r="T366" s="24"/>
      <c r="U366" s="25"/>
      <c r="X366" s="26"/>
      <c r="Y366" s="27"/>
      <c r="Z366" s="28"/>
      <c r="AA366" s="28"/>
      <c r="AB366" s="28"/>
    </row>
    <row r="367" ht="15.75" customHeight="1">
      <c r="D367" s="21"/>
      <c r="M367" s="22"/>
      <c r="N367" s="23"/>
      <c r="O367" s="24"/>
      <c r="P367" s="24"/>
      <c r="Q367" s="24"/>
      <c r="R367" s="24"/>
      <c r="S367" s="24"/>
      <c r="T367" s="24"/>
      <c r="U367" s="25"/>
      <c r="X367" s="26"/>
      <c r="Y367" s="27"/>
      <c r="Z367" s="28"/>
      <c r="AA367" s="28"/>
      <c r="AB367" s="28"/>
    </row>
    <row r="368" ht="15.75" customHeight="1">
      <c r="D368" s="21"/>
      <c r="M368" s="22"/>
      <c r="N368" s="23"/>
      <c r="O368" s="24"/>
      <c r="P368" s="24"/>
      <c r="Q368" s="24"/>
      <c r="R368" s="24"/>
      <c r="S368" s="24"/>
      <c r="T368" s="24"/>
      <c r="U368" s="25"/>
      <c r="X368" s="26"/>
      <c r="Y368" s="27"/>
      <c r="Z368" s="28"/>
      <c r="AA368" s="28"/>
      <c r="AB368" s="28"/>
    </row>
    <row r="369" ht="15.75" customHeight="1">
      <c r="D369" s="21"/>
      <c r="M369" s="22"/>
      <c r="N369" s="23"/>
      <c r="O369" s="24"/>
      <c r="P369" s="24"/>
      <c r="Q369" s="24"/>
      <c r="R369" s="24"/>
      <c r="S369" s="24"/>
      <c r="T369" s="24"/>
      <c r="U369" s="25"/>
      <c r="X369" s="26"/>
      <c r="Y369" s="27"/>
      <c r="Z369" s="28"/>
      <c r="AA369" s="28"/>
      <c r="AB369" s="28"/>
    </row>
    <row r="370" ht="15.75" customHeight="1">
      <c r="D370" s="21"/>
      <c r="M370" s="22"/>
      <c r="N370" s="23"/>
      <c r="O370" s="24"/>
      <c r="P370" s="24"/>
      <c r="Q370" s="24"/>
      <c r="R370" s="24"/>
      <c r="S370" s="24"/>
      <c r="T370" s="24"/>
      <c r="U370" s="25"/>
      <c r="X370" s="26"/>
      <c r="Y370" s="27"/>
      <c r="Z370" s="28"/>
      <c r="AA370" s="28"/>
      <c r="AB370" s="28"/>
    </row>
    <row r="371" ht="15.75" customHeight="1">
      <c r="D371" s="21"/>
      <c r="M371" s="22"/>
      <c r="N371" s="23"/>
      <c r="O371" s="24"/>
      <c r="P371" s="24"/>
      <c r="Q371" s="24"/>
      <c r="R371" s="24"/>
      <c r="S371" s="24"/>
      <c r="T371" s="24"/>
      <c r="U371" s="25"/>
      <c r="X371" s="26"/>
      <c r="Y371" s="27"/>
      <c r="Z371" s="28"/>
      <c r="AA371" s="28"/>
      <c r="AB371" s="28"/>
    </row>
    <row r="372" ht="15.75" customHeight="1">
      <c r="D372" s="21"/>
      <c r="M372" s="22"/>
      <c r="N372" s="23"/>
      <c r="O372" s="24"/>
      <c r="P372" s="24"/>
      <c r="Q372" s="24"/>
      <c r="R372" s="24"/>
      <c r="S372" s="24"/>
      <c r="T372" s="24"/>
      <c r="U372" s="25"/>
      <c r="X372" s="26"/>
      <c r="Y372" s="27"/>
      <c r="Z372" s="28"/>
      <c r="AA372" s="28"/>
      <c r="AB372" s="28"/>
    </row>
    <row r="373" ht="15.75" customHeight="1">
      <c r="D373" s="21"/>
      <c r="M373" s="22"/>
      <c r="N373" s="23"/>
      <c r="O373" s="24"/>
      <c r="P373" s="24"/>
      <c r="Q373" s="24"/>
      <c r="R373" s="24"/>
      <c r="S373" s="24"/>
      <c r="T373" s="24"/>
      <c r="U373" s="25"/>
      <c r="X373" s="26"/>
      <c r="Y373" s="27"/>
      <c r="Z373" s="28"/>
      <c r="AA373" s="28"/>
      <c r="AB373" s="28"/>
    </row>
    <row r="374" ht="15.75" customHeight="1">
      <c r="D374" s="21"/>
      <c r="M374" s="22"/>
      <c r="N374" s="23"/>
      <c r="O374" s="24"/>
      <c r="P374" s="24"/>
      <c r="Q374" s="24"/>
      <c r="R374" s="24"/>
      <c r="S374" s="24"/>
      <c r="T374" s="24"/>
      <c r="U374" s="25"/>
      <c r="X374" s="26"/>
      <c r="Y374" s="27"/>
      <c r="Z374" s="28"/>
      <c r="AA374" s="28"/>
      <c r="AB374" s="28"/>
    </row>
    <row r="375" ht="15.75" customHeight="1">
      <c r="D375" s="21"/>
      <c r="M375" s="22"/>
      <c r="N375" s="23"/>
      <c r="O375" s="24"/>
      <c r="P375" s="24"/>
      <c r="Q375" s="24"/>
      <c r="R375" s="24"/>
      <c r="S375" s="24"/>
      <c r="T375" s="24"/>
      <c r="U375" s="25"/>
      <c r="X375" s="26"/>
      <c r="Y375" s="27"/>
      <c r="Z375" s="28"/>
      <c r="AA375" s="28"/>
      <c r="AB375" s="28"/>
    </row>
    <row r="376" ht="15.75" customHeight="1">
      <c r="D376" s="21"/>
      <c r="M376" s="22"/>
      <c r="N376" s="23"/>
      <c r="O376" s="24"/>
      <c r="P376" s="24"/>
      <c r="Q376" s="24"/>
      <c r="R376" s="24"/>
      <c r="S376" s="24"/>
      <c r="T376" s="24"/>
      <c r="U376" s="25"/>
      <c r="X376" s="26"/>
      <c r="Y376" s="27"/>
      <c r="Z376" s="28"/>
      <c r="AA376" s="28"/>
      <c r="AB376" s="28"/>
    </row>
    <row r="377" ht="15.75" customHeight="1">
      <c r="D377" s="21"/>
      <c r="M377" s="22"/>
      <c r="N377" s="23"/>
      <c r="O377" s="24"/>
      <c r="P377" s="24"/>
      <c r="Q377" s="24"/>
      <c r="R377" s="24"/>
      <c r="S377" s="24"/>
      <c r="T377" s="24"/>
      <c r="U377" s="25"/>
      <c r="X377" s="26"/>
      <c r="Y377" s="27"/>
      <c r="Z377" s="28"/>
      <c r="AA377" s="28"/>
      <c r="AB377" s="28"/>
    </row>
    <row r="378" ht="15.75" customHeight="1">
      <c r="D378" s="21"/>
      <c r="M378" s="22"/>
      <c r="N378" s="23"/>
      <c r="O378" s="24"/>
      <c r="P378" s="24"/>
      <c r="Q378" s="24"/>
      <c r="R378" s="24"/>
      <c r="S378" s="24"/>
      <c r="T378" s="24"/>
      <c r="U378" s="25"/>
      <c r="X378" s="26"/>
      <c r="Y378" s="27"/>
      <c r="Z378" s="28"/>
      <c r="AA378" s="28"/>
      <c r="AB378" s="28"/>
    </row>
    <row r="379" ht="15.75" customHeight="1">
      <c r="D379" s="21"/>
      <c r="M379" s="22"/>
      <c r="N379" s="23"/>
      <c r="O379" s="24"/>
      <c r="P379" s="24"/>
      <c r="Q379" s="24"/>
      <c r="R379" s="24"/>
      <c r="S379" s="24"/>
      <c r="T379" s="24"/>
      <c r="U379" s="25"/>
      <c r="X379" s="26"/>
      <c r="Y379" s="27"/>
      <c r="Z379" s="28"/>
      <c r="AA379" s="28"/>
      <c r="AB379" s="28"/>
    </row>
    <row r="380" ht="15.75" customHeight="1">
      <c r="D380" s="21"/>
      <c r="M380" s="22"/>
      <c r="N380" s="23"/>
      <c r="O380" s="24"/>
      <c r="P380" s="24"/>
      <c r="Q380" s="24"/>
      <c r="R380" s="24"/>
      <c r="S380" s="24"/>
      <c r="T380" s="24"/>
      <c r="U380" s="25"/>
      <c r="X380" s="26"/>
      <c r="Y380" s="27"/>
      <c r="Z380" s="28"/>
      <c r="AA380" s="28"/>
      <c r="AB380" s="28"/>
    </row>
    <row r="381" ht="15.75" customHeight="1">
      <c r="D381" s="21"/>
      <c r="M381" s="22"/>
      <c r="N381" s="23"/>
      <c r="O381" s="24"/>
      <c r="P381" s="24"/>
      <c r="Q381" s="24"/>
      <c r="R381" s="24"/>
      <c r="S381" s="24"/>
      <c r="T381" s="24"/>
      <c r="U381" s="25"/>
      <c r="X381" s="26"/>
      <c r="Y381" s="27"/>
      <c r="Z381" s="28"/>
      <c r="AA381" s="28"/>
      <c r="AB381" s="28"/>
    </row>
    <row r="382" ht="15.75" customHeight="1">
      <c r="D382" s="21"/>
      <c r="M382" s="22"/>
      <c r="N382" s="23"/>
      <c r="O382" s="24"/>
      <c r="P382" s="24"/>
      <c r="Q382" s="24"/>
      <c r="R382" s="24"/>
      <c r="S382" s="24"/>
      <c r="T382" s="24"/>
      <c r="U382" s="25"/>
      <c r="X382" s="26"/>
      <c r="Y382" s="27"/>
      <c r="Z382" s="28"/>
      <c r="AA382" s="28"/>
      <c r="AB382" s="28"/>
    </row>
    <row r="383" ht="15.75" customHeight="1">
      <c r="D383" s="21"/>
      <c r="M383" s="22"/>
      <c r="N383" s="23"/>
      <c r="O383" s="24"/>
      <c r="P383" s="24"/>
      <c r="Q383" s="24"/>
      <c r="R383" s="24"/>
      <c r="S383" s="24"/>
      <c r="T383" s="24"/>
      <c r="U383" s="25"/>
      <c r="X383" s="26"/>
      <c r="Y383" s="27"/>
      <c r="Z383" s="28"/>
      <c r="AA383" s="28"/>
      <c r="AB383" s="28"/>
    </row>
    <row r="384" ht="15.75" customHeight="1">
      <c r="D384" s="21"/>
      <c r="M384" s="22"/>
      <c r="N384" s="23"/>
      <c r="O384" s="24"/>
      <c r="P384" s="24"/>
      <c r="Q384" s="24"/>
      <c r="R384" s="24"/>
      <c r="S384" s="24"/>
      <c r="T384" s="24"/>
      <c r="U384" s="25"/>
      <c r="X384" s="26"/>
      <c r="Y384" s="27"/>
      <c r="Z384" s="28"/>
      <c r="AA384" s="28"/>
      <c r="AB384" s="28"/>
    </row>
    <row r="385" ht="15.75" customHeight="1">
      <c r="D385" s="21"/>
      <c r="M385" s="22"/>
      <c r="N385" s="23"/>
      <c r="O385" s="24"/>
      <c r="P385" s="24"/>
      <c r="Q385" s="24"/>
      <c r="R385" s="24"/>
      <c r="S385" s="24"/>
      <c r="T385" s="24"/>
      <c r="U385" s="25"/>
      <c r="X385" s="26"/>
      <c r="Y385" s="27"/>
      <c r="Z385" s="28"/>
      <c r="AA385" s="28"/>
      <c r="AB385" s="28"/>
    </row>
    <row r="386" ht="15.75" customHeight="1">
      <c r="D386" s="21"/>
      <c r="M386" s="22"/>
      <c r="N386" s="23"/>
      <c r="O386" s="24"/>
      <c r="P386" s="24"/>
      <c r="Q386" s="24"/>
      <c r="R386" s="24"/>
      <c r="S386" s="24"/>
      <c r="T386" s="24"/>
      <c r="U386" s="25"/>
      <c r="X386" s="26"/>
      <c r="Y386" s="27"/>
      <c r="Z386" s="28"/>
      <c r="AA386" s="28"/>
      <c r="AB386" s="28"/>
    </row>
    <row r="387" ht="15.75" customHeight="1">
      <c r="D387" s="21"/>
      <c r="M387" s="22"/>
      <c r="N387" s="23"/>
      <c r="O387" s="24"/>
      <c r="P387" s="24"/>
      <c r="Q387" s="24"/>
      <c r="R387" s="24"/>
      <c r="S387" s="24"/>
      <c r="T387" s="24"/>
      <c r="U387" s="25"/>
      <c r="X387" s="26"/>
      <c r="Y387" s="27"/>
      <c r="Z387" s="28"/>
      <c r="AA387" s="28"/>
      <c r="AB387" s="28"/>
    </row>
    <row r="388" ht="15.75" customHeight="1">
      <c r="D388" s="21"/>
      <c r="M388" s="22"/>
      <c r="N388" s="23"/>
      <c r="O388" s="24"/>
      <c r="P388" s="24"/>
      <c r="Q388" s="24"/>
      <c r="R388" s="24"/>
      <c r="S388" s="24"/>
      <c r="T388" s="24"/>
      <c r="U388" s="25"/>
      <c r="X388" s="26"/>
      <c r="Y388" s="27"/>
      <c r="Z388" s="28"/>
      <c r="AA388" s="28"/>
      <c r="AB388" s="28"/>
    </row>
    <row r="389" ht="15.75" customHeight="1">
      <c r="D389" s="21"/>
      <c r="M389" s="22"/>
      <c r="N389" s="23"/>
      <c r="O389" s="24"/>
      <c r="P389" s="24"/>
      <c r="Q389" s="24"/>
      <c r="R389" s="24"/>
      <c r="S389" s="24"/>
      <c r="T389" s="24"/>
      <c r="U389" s="25"/>
      <c r="X389" s="26"/>
      <c r="Y389" s="27"/>
      <c r="Z389" s="28"/>
      <c r="AA389" s="28"/>
      <c r="AB389" s="28"/>
    </row>
    <row r="390" ht="15.75" customHeight="1">
      <c r="D390" s="21"/>
      <c r="M390" s="22"/>
      <c r="N390" s="23"/>
      <c r="O390" s="24"/>
      <c r="P390" s="24"/>
      <c r="Q390" s="24"/>
      <c r="R390" s="24"/>
      <c r="S390" s="24"/>
      <c r="T390" s="24"/>
      <c r="U390" s="25"/>
      <c r="X390" s="26"/>
      <c r="Y390" s="27"/>
      <c r="Z390" s="28"/>
      <c r="AA390" s="28"/>
      <c r="AB390" s="28"/>
    </row>
    <row r="391" ht="15.75" customHeight="1">
      <c r="D391" s="21"/>
      <c r="M391" s="22"/>
      <c r="N391" s="23"/>
      <c r="O391" s="24"/>
      <c r="P391" s="24"/>
      <c r="Q391" s="24"/>
      <c r="R391" s="24"/>
      <c r="S391" s="24"/>
      <c r="T391" s="24"/>
      <c r="U391" s="25"/>
      <c r="X391" s="26"/>
      <c r="Y391" s="27"/>
      <c r="Z391" s="28"/>
      <c r="AA391" s="28"/>
      <c r="AB391" s="28"/>
    </row>
    <row r="392" ht="15.75" customHeight="1">
      <c r="D392" s="21"/>
      <c r="M392" s="22"/>
      <c r="N392" s="23"/>
      <c r="O392" s="24"/>
      <c r="P392" s="24"/>
      <c r="Q392" s="24"/>
      <c r="R392" s="24"/>
      <c r="S392" s="24"/>
      <c r="T392" s="24"/>
      <c r="U392" s="25"/>
      <c r="X392" s="26"/>
      <c r="Y392" s="27"/>
      <c r="Z392" s="28"/>
      <c r="AA392" s="28"/>
      <c r="AB392" s="28"/>
    </row>
    <row r="393" ht="15.75" customHeight="1">
      <c r="D393" s="21"/>
      <c r="M393" s="22"/>
      <c r="N393" s="23"/>
      <c r="O393" s="24"/>
      <c r="P393" s="24"/>
      <c r="Q393" s="24"/>
      <c r="R393" s="24"/>
      <c r="S393" s="24"/>
      <c r="T393" s="24"/>
      <c r="U393" s="25"/>
      <c r="X393" s="26"/>
      <c r="Y393" s="27"/>
      <c r="Z393" s="28"/>
      <c r="AA393" s="28"/>
      <c r="AB393" s="28"/>
    </row>
    <row r="394" ht="15.75" customHeight="1">
      <c r="D394" s="21"/>
      <c r="M394" s="22"/>
      <c r="N394" s="23"/>
      <c r="O394" s="24"/>
      <c r="P394" s="24"/>
      <c r="Q394" s="24"/>
      <c r="R394" s="24"/>
      <c r="S394" s="24"/>
      <c r="T394" s="24"/>
      <c r="U394" s="25"/>
      <c r="X394" s="26"/>
      <c r="Y394" s="27"/>
      <c r="Z394" s="28"/>
      <c r="AA394" s="28"/>
      <c r="AB394" s="28"/>
    </row>
    <row r="395" ht="15.75" customHeight="1">
      <c r="D395" s="21"/>
      <c r="M395" s="22"/>
      <c r="N395" s="23"/>
      <c r="O395" s="24"/>
      <c r="P395" s="24"/>
      <c r="Q395" s="24"/>
      <c r="R395" s="24"/>
      <c r="S395" s="24"/>
      <c r="T395" s="24"/>
      <c r="U395" s="25"/>
      <c r="X395" s="26"/>
      <c r="Y395" s="27"/>
      <c r="Z395" s="28"/>
      <c r="AA395" s="28"/>
      <c r="AB395" s="28"/>
    </row>
    <row r="396" ht="15.75" customHeight="1">
      <c r="D396" s="21"/>
      <c r="M396" s="22"/>
      <c r="N396" s="23"/>
      <c r="O396" s="24"/>
      <c r="P396" s="24"/>
      <c r="Q396" s="24"/>
      <c r="R396" s="24"/>
      <c r="S396" s="24"/>
      <c r="T396" s="24"/>
      <c r="U396" s="25"/>
      <c r="X396" s="26"/>
      <c r="Y396" s="27"/>
      <c r="Z396" s="28"/>
      <c r="AA396" s="28"/>
      <c r="AB396" s="28"/>
    </row>
    <row r="397" ht="15.75" customHeight="1">
      <c r="D397" s="21"/>
      <c r="M397" s="22"/>
      <c r="N397" s="23"/>
      <c r="O397" s="24"/>
      <c r="P397" s="24"/>
      <c r="Q397" s="24"/>
      <c r="R397" s="24"/>
      <c r="S397" s="24"/>
      <c r="T397" s="24"/>
      <c r="U397" s="25"/>
      <c r="X397" s="26"/>
      <c r="Y397" s="27"/>
      <c r="Z397" s="28"/>
      <c r="AA397" s="28"/>
      <c r="AB397" s="28"/>
    </row>
    <row r="398" ht="15.75" customHeight="1">
      <c r="D398" s="21"/>
      <c r="M398" s="22"/>
      <c r="N398" s="23"/>
      <c r="O398" s="24"/>
      <c r="P398" s="24"/>
      <c r="Q398" s="24"/>
      <c r="R398" s="24"/>
      <c r="S398" s="24"/>
      <c r="T398" s="24"/>
      <c r="U398" s="25"/>
      <c r="X398" s="26"/>
      <c r="Y398" s="27"/>
      <c r="Z398" s="28"/>
      <c r="AA398" s="28"/>
      <c r="AB398" s="28"/>
    </row>
    <row r="399" ht="15.75" customHeight="1">
      <c r="D399" s="21"/>
      <c r="M399" s="22"/>
      <c r="N399" s="23"/>
      <c r="O399" s="24"/>
      <c r="P399" s="24"/>
      <c r="Q399" s="24"/>
      <c r="R399" s="24"/>
      <c r="S399" s="24"/>
      <c r="T399" s="24"/>
      <c r="U399" s="25"/>
      <c r="X399" s="26"/>
      <c r="Y399" s="27"/>
      <c r="Z399" s="28"/>
      <c r="AA399" s="28"/>
      <c r="AB399" s="28"/>
    </row>
    <row r="400" ht="15.75" customHeight="1">
      <c r="D400" s="21"/>
      <c r="M400" s="22"/>
      <c r="N400" s="23"/>
      <c r="O400" s="24"/>
      <c r="P400" s="24"/>
      <c r="Q400" s="24"/>
      <c r="R400" s="24"/>
      <c r="S400" s="24"/>
      <c r="T400" s="24"/>
      <c r="U400" s="25"/>
      <c r="X400" s="26"/>
      <c r="Y400" s="27"/>
      <c r="Z400" s="28"/>
      <c r="AA400" s="28"/>
      <c r="AB400" s="28"/>
    </row>
    <row r="401" ht="15.75" customHeight="1">
      <c r="D401" s="21"/>
      <c r="M401" s="22"/>
      <c r="N401" s="23"/>
      <c r="O401" s="24"/>
      <c r="P401" s="24"/>
      <c r="Q401" s="24"/>
      <c r="R401" s="24"/>
      <c r="S401" s="24"/>
      <c r="T401" s="24"/>
      <c r="U401" s="25"/>
      <c r="X401" s="26"/>
      <c r="Y401" s="27"/>
      <c r="Z401" s="28"/>
      <c r="AA401" s="28"/>
      <c r="AB401" s="28"/>
    </row>
    <row r="402" ht="15.75" customHeight="1">
      <c r="D402" s="21"/>
      <c r="M402" s="22"/>
      <c r="N402" s="23"/>
      <c r="O402" s="24"/>
      <c r="P402" s="24"/>
      <c r="Q402" s="24"/>
      <c r="R402" s="24"/>
      <c r="S402" s="24"/>
      <c r="T402" s="24"/>
      <c r="U402" s="25"/>
      <c r="X402" s="26"/>
      <c r="Y402" s="27"/>
      <c r="Z402" s="28"/>
      <c r="AA402" s="28"/>
      <c r="AB402" s="28"/>
    </row>
    <row r="403" ht="15.75" customHeight="1">
      <c r="D403" s="21"/>
      <c r="M403" s="22"/>
      <c r="N403" s="23"/>
      <c r="O403" s="24"/>
      <c r="P403" s="24"/>
      <c r="Q403" s="24"/>
      <c r="R403" s="24"/>
      <c r="S403" s="24"/>
      <c r="T403" s="24"/>
      <c r="U403" s="25"/>
      <c r="X403" s="26"/>
      <c r="Y403" s="27"/>
      <c r="Z403" s="28"/>
      <c r="AA403" s="28"/>
      <c r="AB403" s="28"/>
    </row>
    <row r="404" ht="15.75" customHeight="1">
      <c r="D404" s="21"/>
      <c r="M404" s="22"/>
      <c r="N404" s="23"/>
      <c r="O404" s="24"/>
      <c r="P404" s="24"/>
      <c r="Q404" s="24"/>
      <c r="R404" s="24"/>
      <c r="S404" s="24"/>
      <c r="T404" s="24"/>
      <c r="U404" s="25"/>
      <c r="X404" s="26"/>
      <c r="Y404" s="27"/>
      <c r="Z404" s="28"/>
      <c r="AA404" s="28"/>
      <c r="AB404" s="28"/>
    </row>
    <row r="405" ht="15.75" customHeight="1">
      <c r="D405" s="21"/>
      <c r="M405" s="22"/>
      <c r="N405" s="23"/>
      <c r="O405" s="24"/>
      <c r="P405" s="24"/>
      <c r="Q405" s="24"/>
      <c r="R405" s="24"/>
      <c r="S405" s="24"/>
      <c r="T405" s="24"/>
      <c r="U405" s="25"/>
      <c r="X405" s="26"/>
      <c r="Y405" s="27"/>
      <c r="Z405" s="28"/>
      <c r="AA405" s="28"/>
      <c r="AB405" s="28"/>
    </row>
    <row r="406" ht="15.75" customHeight="1">
      <c r="D406" s="21"/>
      <c r="M406" s="22"/>
      <c r="N406" s="23"/>
      <c r="O406" s="24"/>
      <c r="P406" s="24"/>
      <c r="Q406" s="24"/>
      <c r="R406" s="24"/>
      <c r="S406" s="24"/>
      <c r="T406" s="24"/>
      <c r="U406" s="25"/>
      <c r="X406" s="26"/>
      <c r="Y406" s="27"/>
      <c r="Z406" s="28"/>
      <c r="AA406" s="28"/>
      <c r="AB406" s="28"/>
    </row>
    <row r="407" ht="15.75" customHeight="1">
      <c r="D407" s="21"/>
      <c r="M407" s="22"/>
      <c r="N407" s="23"/>
      <c r="O407" s="24"/>
      <c r="P407" s="24"/>
      <c r="Q407" s="24"/>
      <c r="R407" s="24"/>
      <c r="S407" s="24"/>
      <c r="T407" s="24"/>
      <c r="U407" s="25"/>
      <c r="X407" s="26"/>
      <c r="Y407" s="27"/>
      <c r="Z407" s="28"/>
      <c r="AA407" s="28"/>
      <c r="AB407" s="28"/>
    </row>
    <row r="408" ht="15.75" customHeight="1">
      <c r="D408" s="21"/>
      <c r="M408" s="22"/>
      <c r="N408" s="23"/>
      <c r="O408" s="24"/>
      <c r="P408" s="24"/>
      <c r="Q408" s="24"/>
      <c r="R408" s="24"/>
      <c r="S408" s="24"/>
      <c r="T408" s="24"/>
      <c r="U408" s="25"/>
      <c r="X408" s="26"/>
      <c r="Y408" s="27"/>
      <c r="Z408" s="28"/>
      <c r="AA408" s="28"/>
      <c r="AB408" s="28"/>
    </row>
    <row r="409" ht="15.75" customHeight="1">
      <c r="D409" s="21"/>
      <c r="M409" s="22"/>
      <c r="N409" s="23"/>
      <c r="O409" s="24"/>
      <c r="P409" s="24"/>
      <c r="Q409" s="24"/>
      <c r="R409" s="24"/>
      <c r="S409" s="24"/>
      <c r="T409" s="24"/>
      <c r="U409" s="25"/>
      <c r="X409" s="26"/>
      <c r="Y409" s="27"/>
      <c r="Z409" s="28"/>
      <c r="AA409" s="28"/>
      <c r="AB409" s="28"/>
    </row>
    <row r="410" ht="15.75" customHeight="1">
      <c r="D410" s="21"/>
      <c r="M410" s="22"/>
      <c r="N410" s="23"/>
      <c r="O410" s="24"/>
      <c r="P410" s="24"/>
      <c r="Q410" s="24"/>
      <c r="R410" s="24"/>
      <c r="S410" s="24"/>
      <c r="T410" s="24"/>
      <c r="U410" s="25"/>
      <c r="X410" s="26"/>
      <c r="Y410" s="27"/>
      <c r="Z410" s="28"/>
      <c r="AA410" s="28"/>
      <c r="AB410" s="28"/>
    </row>
    <row r="411" ht="15.75" customHeight="1">
      <c r="D411" s="21"/>
      <c r="M411" s="22"/>
      <c r="N411" s="23"/>
      <c r="O411" s="24"/>
      <c r="P411" s="24"/>
      <c r="Q411" s="24"/>
      <c r="R411" s="24"/>
      <c r="S411" s="24"/>
      <c r="T411" s="24"/>
      <c r="U411" s="25"/>
      <c r="X411" s="26"/>
      <c r="Y411" s="27"/>
      <c r="Z411" s="28"/>
      <c r="AA411" s="28"/>
      <c r="AB411" s="28"/>
    </row>
    <row r="412" ht="15.75" customHeight="1">
      <c r="D412" s="21"/>
      <c r="M412" s="22"/>
      <c r="N412" s="23"/>
      <c r="O412" s="24"/>
      <c r="P412" s="24"/>
      <c r="Q412" s="24"/>
      <c r="R412" s="24"/>
      <c r="S412" s="24"/>
      <c r="T412" s="24"/>
      <c r="U412" s="25"/>
      <c r="X412" s="26"/>
      <c r="Y412" s="27"/>
      <c r="Z412" s="28"/>
      <c r="AA412" s="28"/>
      <c r="AB412" s="28"/>
    </row>
    <row r="413" ht="15.75" customHeight="1">
      <c r="D413" s="21"/>
      <c r="M413" s="22"/>
      <c r="N413" s="23"/>
      <c r="O413" s="24"/>
      <c r="P413" s="24"/>
      <c r="Q413" s="24"/>
      <c r="R413" s="24"/>
      <c r="S413" s="24"/>
      <c r="T413" s="24"/>
      <c r="U413" s="25"/>
      <c r="X413" s="26"/>
      <c r="Y413" s="27"/>
      <c r="Z413" s="28"/>
      <c r="AA413" s="28"/>
      <c r="AB413" s="28"/>
    </row>
    <row r="414" ht="15.75" customHeight="1">
      <c r="D414" s="21"/>
      <c r="M414" s="22"/>
      <c r="N414" s="23"/>
      <c r="O414" s="24"/>
      <c r="P414" s="24"/>
      <c r="Q414" s="24"/>
      <c r="R414" s="24"/>
      <c r="S414" s="24"/>
      <c r="T414" s="24"/>
      <c r="U414" s="25"/>
      <c r="X414" s="26"/>
      <c r="Y414" s="27"/>
      <c r="Z414" s="28"/>
      <c r="AA414" s="28"/>
      <c r="AB414" s="28"/>
    </row>
    <row r="415" ht="15.75" customHeight="1">
      <c r="D415" s="21"/>
      <c r="M415" s="22"/>
      <c r="N415" s="23"/>
      <c r="O415" s="24"/>
      <c r="P415" s="24"/>
      <c r="Q415" s="24"/>
      <c r="R415" s="24"/>
      <c r="S415" s="24"/>
      <c r="T415" s="24"/>
      <c r="U415" s="25"/>
      <c r="X415" s="26"/>
      <c r="Y415" s="27"/>
      <c r="Z415" s="28"/>
      <c r="AA415" s="28"/>
      <c r="AB415" s="28"/>
    </row>
    <row r="416" ht="15.75" customHeight="1">
      <c r="D416" s="21"/>
      <c r="M416" s="22"/>
      <c r="N416" s="23"/>
      <c r="O416" s="24"/>
      <c r="P416" s="24"/>
      <c r="Q416" s="24"/>
      <c r="R416" s="24"/>
      <c r="S416" s="24"/>
      <c r="T416" s="24"/>
      <c r="U416" s="25"/>
      <c r="X416" s="26"/>
      <c r="Y416" s="27"/>
      <c r="Z416" s="28"/>
      <c r="AA416" s="28"/>
      <c r="AB416" s="28"/>
    </row>
    <row r="417" ht="15.75" customHeight="1">
      <c r="D417" s="21"/>
      <c r="M417" s="22"/>
      <c r="N417" s="23"/>
      <c r="O417" s="24"/>
      <c r="P417" s="24"/>
      <c r="Q417" s="24"/>
      <c r="R417" s="24"/>
      <c r="S417" s="24"/>
      <c r="T417" s="24"/>
      <c r="U417" s="25"/>
      <c r="X417" s="26"/>
      <c r="Y417" s="27"/>
      <c r="Z417" s="28"/>
      <c r="AA417" s="28"/>
      <c r="AB417" s="28"/>
    </row>
    <row r="418" ht="15.75" customHeight="1">
      <c r="D418" s="21"/>
      <c r="M418" s="22"/>
      <c r="N418" s="23"/>
      <c r="O418" s="24"/>
      <c r="P418" s="24"/>
      <c r="Q418" s="24"/>
      <c r="R418" s="24"/>
      <c r="S418" s="24"/>
      <c r="T418" s="24"/>
      <c r="U418" s="25"/>
      <c r="X418" s="26"/>
      <c r="Y418" s="27"/>
      <c r="Z418" s="28"/>
      <c r="AA418" s="28"/>
      <c r="AB418" s="28"/>
    </row>
    <row r="419" ht="15.75" customHeight="1">
      <c r="D419" s="21"/>
      <c r="M419" s="22"/>
      <c r="N419" s="23"/>
      <c r="O419" s="24"/>
      <c r="P419" s="24"/>
      <c r="Q419" s="24"/>
      <c r="R419" s="24"/>
      <c r="S419" s="24"/>
      <c r="T419" s="24"/>
      <c r="U419" s="25"/>
      <c r="X419" s="26"/>
      <c r="Y419" s="27"/>
      <c r="Z419" s="28"/>
      <c r="AA419" s="28"/>
      <c r="AB419" s="28"/>
    </row>
    <row r="420" ht="15.75" customHeight="1">
      <c r="D420" s="21"/>
      <c r="M420" s="22"/>
      <c r="N420" s="23"/>
      <c r="O420" s="24"/>
      <c r="P420" s="24"/>
      <c r="Q420" s="24"/>
      <c r="R420" s="24"/>
      <c r="S420" s="24"/>
      <c r="T420" s="24"/>
      <c r="U420" s="25"/>
      <c r="X420" s="26"/>
      <c r="Y420" s="27"/>
      <c r="Z420" s="28"/>
      <c r="AA420" s="28"/>
      <c r="AB420" s="28"/>
    </row>
    <row r="421" ht="15.75" customHeight="1">
      <c r="D421" s="21"/>
      <c r="M421" s="22"/>
      <c r="N421" s="23"/>
      <c r="O421" s="24"/>
      <c r="P421" s="24"/>
      <c r="Q421" s="24"/>
      <c r="R421" s="24"/>
      <c r="S421" s="24"/>
      <c r="T421" s="24"/>
      <c r="U421" s="25"/>
      <c r="X421" s="26"/>
      <c r="Y421" s="27"/>
      <c r="Z421" s="28"/>
      <c r="AA421" s="28"/>
      <c r="AB421" s="28"/>
    </row>
    <row r="422" ht="15.75" customHeight="1">
      <c r="D422" s="21"/>
      <c r="M422" s="22"/>
      <c r="N422" s="23"/>
      <c r="O422" s="24"/>
      <c r="P422" s="24"/>
      <c r="Q422" s="24"/>
      <c r="R422" s="24"/>
      <c r="S422" s="24"/>
      <c r="T422" s="24"/>
      <c r="U422" s="25"/>
      <c r="X422" s="26"/>
      <c r="Y422" s="27"/>
      <c r="Z422" s="28"/>
      <c r="AA422" s="28"/>
      <c r="AB422" s="28"/>
    </row>
    <row r="423" ht="15.75" customHeight="1">
      <c r="D423" s="21"/>
      <c r="M423" s="22"/>
      <c r="N423" s="23"/>
      <c r="O423" s="24"/>
      <c r="P423" s="24"/>
      <c r="Q423" s="24"/>
      <c r="R423" s="24"/>
      <c r="S423" s="24"/>
      <c r="T423" s="24"/>
      <c r="U423" s="25"/>
      <c r="X423" s="26"/>
      <c r="Y423" s="27"/>
      <c r="Z423" s="28"/>
      <c r="AA423" s="28"/>
      <c r="AB423" s="28"/>
    </row>
    <row r="424" ht="15.75" customHeight="1">
      <c r="D424" s="21"/>
      <c r="M424" s="22"/>
      <c r="N424" s="23"/>
      <c r="O424" s="24"/>
      <c r="P424" s="24"/>
      <c r="Q424" s="24"/>
      <c r="R424" s="24"/>
      <c r="S424" s="24"/>
      <c r="T424" s="24"/>
      <c r="U424" s="25"/>
      <c r="X424" s="26"/>
      <c r="Y424" s="27"/>
      <c r="Z424" s="28"/>
      <c r="AA424" s="28"/>
      <c r="AB424" s="28"/>
    </row>
    <row r="425" ht="15.75" customHeight="1">
      <c r="D425" s="21"/>
      <c r="M425" s="22"/>
      <c r="N425" s="23"/>
      <c r="O425" s="24"/>
      <c r="P425" s="24"/>
      <c r="Q425" s="24"/>
      <c r="R425" s="24"/>
      <c r="S425" s="24"/>
      <c r="T425" s="24"/>
      <c r="U425" s="25"/>
      <c r="X425" s="26"/>
      <c r="Y425" s="27"/>
      <c r="Z425" s="28"/>
      <c r="AA425" s="28"/>
      <c r="AB425" s="28"/>
    </row>
    <row r="426" ht="15.75" customHeight="1">
      <c r="D426" s="21"/>
      <c r="M426" s="22"/>
      <c r="N426" s="23"/>
      <c r="O426" s="24"/>
      <c r="P426" s="24"/>
      <c r="Q426" s="24"/>
      <c r="R426" s="24"/>
      <c r="S426" s="24"/>
      <c r="T426" s="24"/>
      <c r="U426" s="25"/>
      <c r="X426" s="26"/>
      <c r="Y426" s="27"/>
      <c r="Z426" s="28"/>
      <c r="AA426" s="28"/>
      <c r="AB426" s="28"/>
    </row>
    <row r="427" ht="15.75" customHeight="1">
      <c r="D427" s="21"/>
      <c r="M427" s="22"/>
      <c r="N427" s="23"/>
      <c r="O427" s="24"/>
      <c r="P427" s="24"/>
      <c r="Q427" s="24"/>
      <c r="R427" s="24"/>
      <c r="S427" s="24"/>
      <c r="T427" s="24"/>
      <c r="U427" s="25"/>
      <c r="X427" s="26"/>
      <c r="Y427" s="27"/>
      <c r="Z427" s="28"/>
      <c r="AA427" s="28"/>
      <c r="AB427" s="28"/>
    </row>
    <row r="428" ht="15.75" customHeight="1">
      <c r="D428" s="21"/>
      <c r="M428" s="22"/>
      <c r="N428" s="23"/>
      <c r="O428" s="24"/>
      <c r="P428" s="24"/>
      <c r="Q428" s="24"/>
      <c r="R428" s="24"/>
      <c r="S428" s="24"/>
      <c r="T428" s="24"/>
      <c r="U428" s="25"/>
      <c r="X428" s="26"/>
      <c r="Y428" s="27"/>
      <c r="Z428" s="28"/>
      <c r="AA428" s="28"/>
      <c r="AB428" s="28"/>
    </row>
    <row r="429" ht="15.75" customHeight="1">
      <c r="D429" s="21"/>
      <c r="M429" s="22"/>
      <c r="N429" s="23"/>
      <c r="O429" s="24"/>
      <c r="P429" s="24"/>
      <c r="Q429" s="24"/>
      <c r="R429" s="24"/>
      <c r="S429" s="24"/>
      <c r="T429" s="24"/>
      <c r="U429" s="25"/>
      <c r="X429" s="26"/>
      <c r="Y429" s="27"/>
      <c r="Z429" s="28"/>
      <c r="AA429" s="28"/>
      <c r="AB429" s="28"/>
    </row>
    <row r="430" ht="15.75" customHeight="1">
      <c r="D430" s="21"/>
      <c r="M430" s="22"/>
      <c r="N430" s="23"/>
      <c r="O430" s="24"/>
      <c r="P430" s="24"/>
      <c r="Q430" s="24"/>
      <c r="R430" s="24"/>
      <c r="S430" s="24"/>
      <c r="T430" s="24"/>
      <c r="U430" s="25"/>
      <c r="X430" s="26"/>
      <c r="Y430" s="27"/>
      <c r="Z430" s="28"/>
      <c r="AA430" s="28"/>
      <c r="AB430" s="28"/>
    </row>
    <row r="431" ht="15.75" customHeight="1">
      <c r="D431" s="21"/>
      <c r="M431" s="22"/>
      <c r="N431" s="23"/>
      <c r="O431" s="24"/>
      <c r="P431" s="24"/>
      <c r="Q431" s="24"/>
      <c r="R431" s="24"/>
      <c r="S431" s="24"/>
      <c r="T431" s="24"/>
      <c r="U431" s="25"/>
      <c r="X431" s="26"/>
      <c r="Y431" s="27"/>
      <c r="Z431" s="28"/>
      <c r="AA431" s="28"/>
      <c r="AB431" s="28"/>
    </row>
    <row r="432" ht="15.75" customHeight="1">
      <c r="D432" s="21"/>
      <c r="M432" s="22"/>
      <c r="N432" s="23"/>
      <c r="O432" s="24"/>
      <c r="P432" s="24"/>
      <c r="Q432" s="24"/>
      <c r="R432" s="24"/>
      <c r="S432" s="24"/>
      <c r="T432" s="24"/>
      <c r="U432" s="25"/>
      <c r="X432" s="26"/>
      <c r="Y432" s="27"/>
      <c r="Z432" s="28"/>
      <c r="AA432" s="28"/>
      <c r="AB432" s="28"/>
    </row>
    <row r="433" ht="15.75" customHeight="1">
      <c r="D433" s="21"/>
      <c r="M433" s="22"/>
      <c r="N433" s="23"/>
      <c r="O433" s="24"/>
      <c r="P433" s="24"/>
      <c r="Q433" s="24"/>
      <c r="R433" s="24"/>
      <c r="S433" s="24"/>
      <c r="T433" s="24"/>
      <c r="U433" s="25"/>
      <c r="X433" s="26"/>
      <c r="Y433" s="27"/>
      <c r="Z433" s="28"/>
      <c r="AA433" s="28"/>
      <c r="AB433" s="28"/>
    </row>
    <row r="434" ht="15.75" customHeight="1">
      <c r="D434" s="21"/>
      <c r="M434" s="22"/>
      <c r="N434" s="23"/>
      <c r="O434" s="24"/>
      <c r="P434" s="24"/>
      <c r="Q434" s="24"/>
      <c r="R434" s="24"/>
      <c r="S434" s="24"/>
      <c r="T434" s="24"/>
      <c r="U434" s="25"/>
      <c r="X434" s="26"/>
      <c r="Y434" s="27"/>
      <c r="Z434" s="28"/>
      <c r="AA434" s="28"/>
      <c r="AB434" s="28"/>
    </row>
    <row r="435" ht="15.75" customHeight="1">
      <c r="D435" s="21"/>
      <c r="M435" s="22"/>
      <c r="N435" s="23"/>
      <c r="O435" s="24"/>
      <c r="P435" s="24"/>
      <c r="Q435" s="24"/>
      <c r="R435" s="24"/>
      <c r="S435" s="24"/>
      <c r="T435" s="24"/>
      <c r="U435" s="25"/>
      <c r="X435" s="26"/>
      <c r="Y435" s="27"/>
      <c r="Z435" s="28"/>
      <c r="AA435" s="28"/>
      <c r="AB435" s="28"/>
    </row>
    <row r="436" ht="15.75" customHeight="1">
      <c r="D436" s="21"/>
      <c r="M436" s="22"/>
      <c r="N436" s="23"/>
      <c r="O436" s="24"/>
      <c r="P436" s="24"/>
      <c r="Q436" s="24"/>
      <c r="R436" s="24"/>
      <c r="S436" s="24"/>
      <c r="T436" s="24"/>
      <c r="U436" s="25"/>
      <c r="X436" s="26"/>
      <c r="Y436" s="27"/>
      <c r="Z436" s="28"/>
      <c r="AA436" s="28"/>
      <c r="AB436" s="28"/>
    </row>
    <row r="437" ht="15.75" customHeight="1">
      <c r="D437" s="21"/>
      <c r="M437" s="22"/>
      <c r="N437" s="23"/>
      <c r="O437" s="24"/>
      <c r="P437" s="24"/>
      <c r="Q437" s="24"/>
      <c r="R437" s="24"/>
      <c r="S437" s="24"/>
      <c r="T437" s="24"/>
      <c r="U437" s="25"/>
      <c r="X437" s="26"/>
      <c r="Y437" s="27"/>
      <c r="Z437" s="28"/>
      <c r="AA437" s="28"/>
      <c r="AB437" s="28"/>
    </row>
    <row r="438" ht="15.75" customHeight="1">
      <c r="D438" s="21"/>
      <c r="M438" s="22"/>
      <c r="N438" s="23"/>
      <c r="O438" s="24"/>
      <c r="P438" s="24"/>
      <c r="Q438" s="24"/>
      <c r="R438" s="24"/>
      <c r="S438" s="24"/>
      <c r="T438" s="24"/>
      <c r="U438" s="25"/>
      <c r="X438" s="26"/>
      <c r="Y438" s="27"/>
      <c r="Z438" s="28"/>
      <c r="AA438" s="28"/>
      <c r="AB438" s="28"/>
    </row>
    <row r="439" ht="15.75" customHeight="1">
      <c r="D439" s="21"/>
      <c r="M439" s="22"/>
      <c r="N439" s="23"/>
      <c r="O439" s="24"/>
      <c r="P439" s="24"/>
      <c r="Q439" s="24"/>
      <c r="R439" s="24"/>
      <c r="S439" s="24"/>
      <c r="T439" s="24"/>
      <c r="U439" s="25"/>
      <c r="X439" s="26"/>
      <c r="Y439" s="27"/>
      <c r="Z439" s="28"/>
      <c r="AA439" s="28"/>
      <c r="AB439" s="28"/>
    </row>
    <row r="440" ht="15.75" customHeight="1">
      <c r="D440" s="21"/>
      <c r="M440" s="22"/>
      <c r="N440" s="23"/>
      <c r="O440" s="24"/>
      <c r="P440" s="24"/>
      <c r="Q440" s="24"/>
      <c r="R440" s="24"/>
      <c r="S440" s="24"/>
      <c r="T440" s="24"/>
      <c r="U440" s="25"/>
      <c r="X440" s="26"/>
      <c r="Y440" s="27"/>
      <c r="Z440" s="28"/>
      <c r="AA440" s="28"/>
      <c r="AB440" s="28"/>
    </row>
    <row r="441" ht="15.75" customHeight="1">
      <c r="D441" s="21"/>
      <c r="M441" s="22"/>
      <c r="N441" s="23"/>
      <c r="O441" s="24"/>
      <c r="P441" s="24"/>
      <c r="Q441" s="24"/>
      <c r="R441" s="24"/>
      <c r="S441" s="24"/>
      <c r="T441" s="24"/>
      <c r="U441" s="25"/>
      <c r="X441" s="26"/>
      <c r="Y441" s="27"/>
      <c r="Z441" s="28"/>
      <c r="AA441" s="28"/>
      <c r="AB441" s="28"/>
    </row>
    <row r="442" ht="15.75" customHeight="1">
      <c r="D442" s="21"/>
      <c r="M442" s="22"/>
      <c r="N442" s="23"/>
      <c r="O442" s="24"/>
      <c r="P442" s="24"/>
      <c r="Q442" s="24"/>
      <c r="R442" s="24"/>
      <c r="S442" s="24"/>
      <c r="T442" s="24"/>
      <c r="U442" s="25"/>
      <c r="X442" s="26"/>
      <c r="Y442" s="27"/>
      <c r="Z442" s="28"/>
      <c r="AA442" s="28"/>
      <c r="AB442" s="28"/>
    </row>
    <row r="443" ht="15.75" customHeight="1">
      <c r="D443" s="21"/>
      <c r="M443" s="22"/>
      <c r="N443" s="23"/>
      <c r="O443" s="24"/>
      <c r="P443" s="24"/>
      <c r="Q443" s="24"/>
      <c r="R443" s="24"/>
      <c r="S443" s="24"/>
      <c r="T443" s="24"/>
      <c r="U443" s="25"/>
      <c r="X443" s="26"/>
      <c r="Y443" s="27"/>
      <c r="Z443" s="28"/>
      <c r="AA443" s="28"/>
      <c r="AB443" s="28"/>
    </row>
    <row r="444" ht="15.75" customHeight="1">
      <c r="D444" s="21"/>
      <c r="M444" s="22"/>
      <c r="N444" s="23"/>
      <c r="O444" s="24"/>
      <c r="P444" s="24"/>
      <c r="Q444" s="24"/>
      <c r="R444" s="24"/>
      <c r="S444" s="24"/>
      <c r="T444" s="24"/>
      <c r="U444" s="25"/>
      <c r="X444" s="26"/>
      <c r="Y444" s="27"/>
      <c r="Z444" s="28"/>
      <c r="AA444" s="28"/>
      <c r="AB444" s="28"/>
    </row>
    <row r="445" ht="15.75" customHeight="1">
      <c r="D445" s="21"/>
      <c r="M445" s="22"/>
      <c r="N445" s="23"/>
      <c r="O445" s="24"/>
      <c r="P445" s="24"/>
      <c r="Q445" s="24"/>
      <c r="R445" s="24"/>
      <c r="S445" s="24"/>
      <c r="T445" s="24"/>
      <c r="U445" s="25"/>
      <c r="X445" s="26"/>
      <c r="Y445" s="27"/>
      <c r="Z445" s="28"/>
      <c r="AA445" s="28"/>
      <c r="AB445" s="28"/>
    </row>
    <row r="446" ht="15.75" customHeight="1">
      <c r="D446" s="21"/>
      <c r="M446" s="22"/>
      <c r="N446" s="23"/>
      <c r="O446" s="24"/>
      <c r="P446" s="24"/>
      <c r="Q446" s="24"/>
      <c r="R446" s="24"/>
      <c r="S446" s="24"/>
      <c r="T446" s="24"/>
      <c r="U446" s="25"/>
      <c r="X446" s="26"/>
      <c r="Y446" s="27"/>
      <c r="Z446" s="28"/>
      <c r="AA446" s="28"/>
      <c r="AB446" s="28"/>
    </row>
    <row r="447" ht="15.75" customHeight="1">
      <c r="D447" s="21"/>
      <c r="M447" s="22"/>
      <c r="N447" s="23"/>
      <c r="O447" s="24"/>
      <c r="P447" s="24"/>
      <c r="Q447" s="24"/>
      <c r="R447" s="24"/>
      <c r="S447" s="24"/>
      <c r="T447" s="24"/>
      <c r="U447" s="25"/>
      <c r="X447" s="26"/>
      <c r="Y447" s="27"/>
      <c r="Z447" s="28"/>
      <c r="AA447" s="28"/>
      <c r="AB447" s="28"/>
    </row>
    <row r="448" ht="15.75" customHeight="1">
      <c r="D448" s="21"/>
      <c r="M448" s="22"/>
      <c r="N448" s="23"/>
      <c r="O448" s="24"/>
      <c r="P448" s="24"/>
      <c r="Q448" s="24"/>
      <c r="R448" s="24"/>
      <c r="S448" s="24"/>
      <c r="T448" s="24"/>
      <c r="U448" s="25"/>
      <c r="X448" s="26"/>
      <c r="Y448" s="27"/>
      <c r="Z448" s="28"/>
      <c r="AA448" s="28"/>
      <c r="AB448" s="28"/>
    </row>
    <row r="449" ht="15.75" customHeight="1">
      <c r="D449" s="21"/>
      <c r="M449" s="22"/>
      <c r="N449" s="23"/>
      <c r="O449" s="24"/>
      <c r="P449" s="24"/>
      <c r="Q449" s="24"/>
      <c r="R449" s="24"/>
      <c r="S449" s="24"/>
      <c r="T449" s="24"/>
      <c r="U449" s="25"/>
      <c r="X449" s="26"/>
      <c r="Y449" s="27"/>
      <c r="Z449" s="28"/>
      <c r="AA449" s="28"/>
      <c r="AB449" s="28"/>
    </row>
    <row r="450" ht="15.75" customHeight="1">
      <c r="D450" s="21"/>
      <c r="M450" s="22"/>
      <c r="N450" s="23"/>
      <c r="O450" s="24"/>
      <c r="P450" s="24"/>
      <c r="Q450" s="24"/>
      <c r="R450" s="24"/>
      <c r="S450" s="24"/>
      <c r="T450" s="24"/>
      <c r="U450" s="25"/>
      <c r="X450" s="26"/>
      <c r="Y450" s="27"/>
      <c r="Z450" s="28"/>
      <c r="AA450" s="28"/>
      <c r="AB450" s="28"/>
    </row>
    <row r="451" ht="15.75" customHeight="1">
      <c r="D451" s="21"/>
      <c r="M451" s="22"/>
      <c r="N451" s="23"/>
      <c r="O451" s="24"/>
      <c r="P451" s="24"/>
      <c r="Q451" s="24"/>
      <c r="R451" s="24"/>
      <c r="S451" s="24"/>
      <c r="T451" s="24"/>
      <c r="U451" s="25"/>
      <c r="X451" s="26"/>
      <c r="Y451" s="27"/>
      <c r="Z451" s="28"/>
      <c r="AA451" s="28"/>
      <c r="AB451" s="28"/>
    </row>
    <row r="452" ht="15.75" customHeight="1">
      <c r="D452" s="21"/>
      <c r="M452" s="22"/>
      <c r="N452" s="23"/>
      <c r="O452" s="24"/>
      <c r="P452" s="24"/>
      <c r="Q452" s="24"/>
      <c r="R452" s="24"/>
      <c r="S452" s="24"/>
      <c r="T452" s="24"/>
      <c r="U452" s="25"/>
      <c r="X452" s="26"/>
      <c r="Y452" s="27"/>
      <c r="Z452" s="28"/>
      <c r="AA452" s="28"/>
      <c r="AB452" s="28"/>
    </row>
    <row r="453" ht="15.75" customHeight="1">
      <c r="D453" s="21"/>
      <c r="M453" s="22"/>
      <c r="N453" s="23"/>
      <c r="O453" s="24"/>
      <c r="P453" s="24"/>
      <c r="Q453" s="24"/>
      <c r="R453" s="24"/>
      <c r="S453" s="24"/>
      <c r="T453" s="24"/>
      <c r="U453" s="25"/>
      <c r="X453" s="26"/>
      <c r="Y453" s="27"/>
      <c r="Z453" s="28"/>
      <c r="AA453" s="28"/>
      <c r="AB453" s="28"/>
    </row>
    <row r="454" ht="15.75" customHeight="1">
      <c r="D454" s="21"/>
      <c r="M454" s="22"/>
      <c r="N454" s="23"/>
      <c r="O454" s="24"/>
      <c r="P454" s="24"/>
      <c r="Q454" s="24"/>
      <c r="R454" s="24"/>
      <c r="S454" s="24"/>
      <c r="T454" s="24"/>
      <c r="U454" s="25"/>
      <c r="X454" s="26"/>
      <c r="Y454" s="27"/>
      <c r="Z454" s="28"/>
      <c r="AA454" s="28"/>
      <c r="AB454" s="28"/>
    </row>
    <row r="455" ht="15.75" customHeight="1">
      <c r="D455" s="21"/>
      <c r="M455" s="22"/>
      <c r="N455" s="23"/>
      <c r="O455" s="24"/>
      <c r="P455" s="24"/>
      <c r="Q455" s="24"/>
      <c r="R455" s="24"/>
      <c r="S455" s="24"/>
      <c r="T455" s="24"/>
      <c r="U455" s="25"/>
      <c r="X455" s="26"/>
      <c r="Y455" s="27"/>
      <c r="Z455" s="28"/>
      <c r="AA455" s="28"/>
      <c r="AB455" s="28"/>
    </row>
    <row r="456" ht="15.75" customHeight="1">
      <c r="D456" s="21"/>
      <c r="M456" s="22"/>
      <c r="N456" s="23"/>
      <c r="O456" s="24"/>
      <c r="P456" s="24"/>
      <c r="Q456" s="24"/>
      <c r="R456" s="24"/>
      <c r="S456" s="24"/>
      <c r="T456" s="24"/>
      <c r="U456" s="25"/>
      <c r="X456" s="26"/>
      <c r="Y456" s="27"/>
      <c r="Z456" s="28"/>
      <c r="AA456" s="28"/>
      <c r="AB456" s="28"/>
    </row>
    <row r="457" ht="15.75" customHeight="1">
      <c r="D457" s="21"/>
      <c r="M457" s="22"/>
      <c r="N457" s="23"/>
      <c r="O457" s="24"/>
      <c r="P457" s="24"/>
      <c r="Q457" s="24"/>
      <c r="R457" s="24"/>
      <c r="S457" s="24"/>
      <c r="T457" s="24"/>
      <c r="U457" s="25"/>
      <c r="X457" s="26"/>
      <c r="Y457" s="27"/>
      <c r="Z457" s="28"/>
      <c r="AA457" s="28"/>
      <c r="AB457" s="28"/>
    </row>
    <row r="458" ht="15.75" customHeight="1">
      <c r="D458" s="21"/>
      <c r="M458" s="22"/>
      <c r="N458" s="23"/>
      <c r="O458" s="24"/>
      <c r="P458" s="24"/>
      <c r="Q458" s="24"/>
      <c r="R458" s="24"/>
      <c r="S458" s="24"/>
      <c r="T458" s="24"/>
      <c r="U458" s="25"/>
      <c r="X458" s="26"/>
      <c r="Y458" s="27"/>
      <c r="Z458" s="28"/>
      <c r="AA458" s="28"/>
      <c r="AB458" s="28"/>
    </row>
    <row r="459" ht="15.75" customHeight="1">
      <c r="D459" s="21"/>
      <c r="M459" s="22"/>
      <c r="N459" s="23"/>
      <c r="O459" s="24"/>
      <c r="P459" s="24"/>
      <c r="Q459" s="24"/>
      <c r="R459" s="24"/>
      <c r="S459" s="24"/>
      <c r="T459" s="24"/>
      <c r="U459" s="25"/>
      <c r="X459" s="26"/>
      <c r="Y459" s="27"/>
      <c r="Z459" s="28"/>
      <c r="AA459" s="28"/>
      <c r="AB459" s="28"/>
    </row>
    <row r="460" ht="15.75" customHeight="1">
      <c r="D460" s="21"/>
      <c r="M460" s="22"/>
      <c r="N460" s="23"/>
      <c r="O460" s="24"/>
      <c r="P460" s="24"/>
      <c r="Q460" s="24"/>
      <c r="R460" s="24"/>
      <c r="S460" s="24"/>
      <c r="T460" s="24"/>
      <c r="U460" s="25"/>
      <c r="X460" s="26"/>
      <c r="Y460" s="27"/>
      <c r="Z460" s="28"/>
      <c r="AA460" s="28"/>
      <c r="AB460" s="28"/>
    </row>
    <row r="461" ht="15.75" customHeight="1">
      <c r="D461" s="21"/>
      <c r="M461" s="22"/>
      <c r="N461" s="23"/>
      <c r="O461" s="24"/>
      <c r="P461" s="24"/>
      <c r="Q461" s="24"/>
      <c r="R461" s="24"/>
      <c r="S461" s="24"/>
      <c r="T461" s="24"/>
      <c r="U461" s="25"/>
      <c r="X461" s="26"/>
      <c r="Y461" s="27"/>
      <c r="Z461" s="28"/>
      <c r="AA461" s="28"/>
      <c r="AB461" s="28"/>
    </row>
    <row r="462" ht="15.75" customHeight="1">
      <c r="D462" s="21"/>
      <c r="M462" s="22"/>
      <c r="N462" s="23"/>
      <c r="O462" s="24"/>
      <c r="P462" s="24"/>
      <c r="Q462" s="24"/>
      <c r="R462" s="24"/>
      <c r="S462" s="24"/>
      <c r="T462" s="24"/>
      <c r="U462" s="25"/>
      <c r="X462" s="26"/>
      <c r="Y462" s="27"/>
      <c r="Z462" s="28"/>
      <c r="AA462" s="28"/>
      <c r="AB462" s="28"/>
    </row>
    <row r="463" ht="15.75" customHeight="1">
      <c r="D463" s="21"/>
      <c r="M463" s="22"/>
      <c r="N463" s="23"/>
      <c r="O463" s="24"/>
      <c r="P463" s="24"/>
      <c r="Q463" s="24"/>
      <c r="R463" s="24"/>
      <c r="S463" s="24"/>
      <c r="T463" s="24"/>
      <c r="U463" s="25"/>
      <c r="X463" s="26"/>
      <c r="Y463" s="27"/>
      <c r="Z463" s="28"/>
      <c r="AA463" s="28"/>
      <c r="AB463" s="28"/>
    </row>
    <row r="464" ht="15.75" customHeight="1">
      <c r="D464" s="21"/>
      <c r="M464" s="22"/>
      <c r="N464" s="23"/>
      <c r="O464" s="24"/>
      <c r="P464" s="24"/>
      <c r="Q464" s="24"/>
      <c r="R464" s="24"/>
      <c r="S464" s="24"/>
      <c r="T464" s="24"/>
      <c r="U464" s="25"/>
      <c r="X464" s="26"/>
      <c r="Y464" s="27"/>
      <c r="Z464" s="28"/>
      <c r="AA464" s="28"/>
      <c r="AB464" s="28"/>
    </row>
    <row r="465" ht="15.75" customHeight="1">
      <c r="D465" s="21"/>
      <c r="M465" s="22"/>
      <c r="N465" s="23"/>
      <c r="O465" s="24"/>
      <c r="P465" s="24"/>
      <c r="Q465" s="24"/>
      <c r="R465" s="24"/>
      <c r="S465" s="24"/>
      <c r="T465" s="24"/>
      <c r="U465" s="25"/>
      <c r="X465" s="26"/>
      <c r="Y465" s="27"/>
      <c r="Z465" s="28"/>
      <c r="AA465" s="28"/>
      <c r="AB465" s="28"/>
    </row>
    <row r="466" ht="15.75" customHeight="1">
      <c r="D466" s="21"/>
      <c r="M466" s="22"/>
      <c r="N466" s="23"/>
      <c r="O466" s="24"/>
      <c r="P466" s="24"/>
      <c r="Q466" s="24"/>
      <c r="R466" s="24"/>
      <c r="S466" s="24"/>
      <c r="T466" s="24"/>
      <c r="U466" s="25"/>
      <c r="X466" s="26"/>
      <c r="Y466" s="27"/>
      <c r="Z466" s="28"/>
      <c r="AA466" s="28"/>
      <c r="AB466" s="28"/>
    </row>
    <row r="467" ht="15.75" customHeight="1">
      <c r="D467" s="21"/>
      <c r="M467" s="22"/>
      <c r="N467" s="23"/>
      <c r="O467" s="24"/>
      <c r="P467" s="24"/>
      <c r="Q467" s="24"/>
      <c r="R467" s="24"/>
      <c r="S467" s="24"/>
      <c r="T467" s="24"/>
      <c r="U467" s="25"/>
      <c r="X467" s="26"/>
      <c r="Y467" s="27"/>
      <c r="Z467" s="28"/>
      <c r="AA467" s="28"/>
      <c r="AB467" s="28"/>
    </row>
    <row r="468" ht="15.75" customHeight="1">
      <c r="D468" s="21"/>
      <c r="M468" s="22"/>
      <c r="N468" s="23"/>
      <c r="O468" s="24"/>
      <c r="P468" s="24"/>
      <c r="Q468" s="24"/>
      <c r="R468" s="24"/>
      <c r="S468" s="24"/>
      <c r="T468" s="24"/>
      <c r="U468" s="25"/>
      <c r="X468" s="26"/>
      <c r="Y468" s="27"/>
      <c r="Z468" s="28"/>
      <c r="AA468" s="28"/>
      <c r="AB468" s="28"/>
    </row>
    <row r="469" ht="15.75" customHeight="1">
      <c r="D469" s="21"/>
      <c r="M469" s="22"/>
      <c r="N469" s="23"/>
      <c r="O469" s="24"/>
      <c r="P469" s="24"/>
      <c r="Q469" s="24"/>
      <c r="R469" s="24"/>
      <c r="S469" s="24"/>
      <c r="T469" s="24"/>
      <c r="U469" s="25"/>
      <c r="X469" s="26"/>
      <c r="Y469" s="27"/>
      <c r="Z469" s="28"/>
      <c r="AA469" s="28"/>
      <c r="AB469" s="28"/>
    </row>
    <row r="470" ht="15.75" customHeight="1">
      <c r="D470" s="21"/>
      <c r="M470" s="22"/>
      <c r="N470" s="23"/>
      <c r="O470" s="24"/>
      <c r="P470" s="24"/>
      <c r="Q470" s="24"/>
      <c r="R470" s="24"/>
      <c r="S470" s="24"/>
      <c r="T470" s="24"/>
      <c r="U470" s="25"/>
      <c r="X470" s="26"/>
      <c r="Y470" s="27"/>
      <c r="Z470" s="28"/>
      <c r="AA470" s="28"/>
      <c r="AB470" s="28"/>
    </row>
    <row r="471" ht="15.75" customHeight="1">
      <c r="D471" s="21"/>
      <c r="M471" s="22"/>
      <c r="N471" s="23"/>
      <c r="O471" s="24"/>
      <c r="P471" s="24"/>
      <c r="Q471" s="24"/>
      <c r="R471" s="24"/>
      <c r="S471" s="24"/>
      <c r="T471" s="24"/>
      <c r="U471" s="25"/>
      <c r="X471" s="26"/>
      <c r="Y471" s="27"/>
      <c r="Z471" s="28"/>
      <c r="AA471" s="28"/>
      <c r="AB471" s="28"/>
    </row>
    <row r="472" ht="15.75" customHeight="1">
      <c r="D472" s="21"/>
      <c r="M472" s="22"/>
      <c r="N472" s="23"/>
      <c r="O472" s="24"/>
      <c r="P472" s="24"/>
      <c r="Q472" s="24"/>
      <c r="R472" s="24"/>
      <c r="S472" s="24"/>
      <c r="T472" s="24"/>
      <c r="U472" s="25"/>
      <c r="X472" s="26"/>
      <c r="Y472" s="27"/>
      <c r="Z472" s="28"/>
      <c r="AA472" s="28"/>
      <c r="AB472" s="28"/>
    </row>
    <row r="473" ht="15.75" customHeight="1">
      <c r="D473" s="21"/>
      <c r="M473" s="22"/>
      <c r="N473" s="23"/>
      <c r="O473" s="24"/>
      <c r="P473" s="24"/>
      <c r="Q473" s="24"/>
      <c r="R473" s="24"/>
      <c r="S473" s="24"/>
      <c r="T473" s="24"/>
      <c r="U473" s="25"/>
      <c r="X473" s="26"/>
      <c r="Y473" s="27"/>
      <c r="Z473" s="28"/>
      <c r="AA473" s="28"/>
      <c r="AB473" s="28"/>
    </row>
    <row r="474" ht="15.75" customHeight="1">
      <c r="D474" s="21"/>
      <c r="M474" s="22"/>
      <c r="N474" s="23"/>
      <c r="O474" s="24"/>
      <c r="P474" s="24"/>
      <c r="Q474" s="24"/>
      <c r="R474" s="24"/>
      <c r="S474" s="24"/>
      <c r="T474" s="24"/>
      <c r="U474" s="25"/>
      <c r="X474" s="26"/>
      <c r="Y474" s="27"/>
      <c r="Z474" s="28"/>
      <c r="AA474" s="28"/>
      <c r="AB474" s="28"/>
    </row>
    <row r="475" ht="15.75" customHeight="1">
      <c r="D475" s="21"/>
      <c r="M475" s="22"/>
      <c r="N475" s="23"/>
      <c r="O475" s="24"/>
      <c r="P475" s="24"/>
      <c r="Q475" s="24"/>
      <c r="R475" s="24"/>
      <c r="S475" s="24"/>
      <c r="T475" s="24"/>
      <c r="U475" s="25"/>
      <c r="X475" s="26"/>
      <c r="Y475" s="27"/>
      <c r="Z475" s="28"/>
      <c r="AA475" s="28"/>
      <c r="AB475" s="28"/>
    </row>
    <row r="476" ht="15.75" customHeight="1">
      <c r="D476" s="21"/>
      <c r="M476" s="22"/>
      <c r="N476" s="23"/>
      <c r="O476" s="24"/>
      <c r="P476" s="24"/>
      <c r="Q476" s="24"/>
      <c r="R476" s="24"/>
      <c r="S476" s="24"/>
      <c r="T476" s="24"/>
      <c r="U476" s="25"/>
      <c r="X476" s="26"/>
      <c r="Y476" s="27"/>
      <c r="Z476" s="28"/>
      <c r="AA476" s="28"/>
      <c r="AB476" s="28"/>
    </row>
    <row r="477" ht="15.75" customHeight="1">
      <c r="D477" s="21"/>
      <c r="M477" s="22"/>
      <c r="N477" s="23"/>
      <c r="O477" s="24"/>
      <c r="P477" s="24"/>
      <c r="Q477" s="24"/>
      <c r="R477" s="24"/>
      <c r="S477" s="24"/>
      <c r="T477" s="24"/>
      <c r="U477" s="25"/>
      <c r="X477" s="26"/>
      <c r="Y477" s="27"/>
      <c r="Z477" s="28"/>
      <c r="AA477" s="28"/>
      <c r="AB477" s="28"/>
    </row>
    <row r="478" ht="15.75" customHeight="1">
      <c r="D478" s="21"/>
      <c r="M478" s="22"/>
      <c r="N478" s="23"/>
      <c r="O478" s="24"/>
      <c r="P478" s="24"/>
      <c r="Q478" s="24"/>
      <c r="R478" s="24"/>
      <c r="S478" s="24"/>
      <c r="T478" s="24"/>
      <c r="U478" s="25"/>
      <c r="X478" s="26"/>
      <c r="Y478" s="27"/>
      <c r="Z478" s="28"/>
      <c r="AA478" s="28"/>
      <c r="AB478" s="28"/>
    </row>
    <row r="479" ht="15.75" customHeight="1">
      <c r="D479" s="21"/>
      <c r="M479" s="22"/>
      <c r="N479" s="23"/>
      <c r="O479" s="24"/>
      <c r="P479" s="24"/>
      <c r="Q479" s="24"/>
      <c r="R479" s="24"/>
      <c r="S479" s="24"/>
      <c r="T479" s="24"/>
      <c r="U479" s="25"/>
      <c r="X479" s="26"/>
      <c r="Y479" s="27"/>
      <c r="Z479" s="28"/>
      <c r="AA479" s="28"/>
      <c r="AB479" s="28"/>
    </row>
    <row r="480" ht="15.75" customHeight="1">
      <c r="D480" s="21"/>
      <c r="M480" s="22"/>
      <c r="N480" s="23"/>
      <c r="O480" s="24"/>
      <c r="P480" s="24"/>
      <c r="Q480" s="24"/>
      <c r="R480" s="24"/>
      <c r="S480" s="24"/>
      <c r="T480" s="24"/>
      <c r="U480" s="25"/>
      <c r="X480" s="26"/>
      <c r="Y480" s="27"/>
      <c r="Z480" s="28"/>
      <c r="AA480" s="28"/>
      <c r="AB480" s="28"/>
    </row>
    <row r="481" ht="15.75" customHeight="1">
      <c r="D481" s="21"/>
      <c r="M481" s="22"/>
      <c r="N481" s="23"/>
      <c r="O481" s="24"/>
      <c r="P481" s="24"/>
      <c r="Q481" s="24"/>
      <c r="R481" s="24"/>
      <c r="S481" s="24"/>
      <c r="T481" s="24"/>
      <c r="U481" s="25"/>
      <c r="X481" s="26"/>
      <c r="Y481" s="27"/>
      <c r="Z481" s="28"/>
      <c r="AA481" s="28"/>
      <c r="AB481" s="28"/>
    </row>
    <row r="482" ht="15.75" customHeight="1">
      <c r="D482" s="21"/>
      <c r="M482" s="22"/>
      <c r="N482" s="23"/>
      <c r="O482" s="24"/>
      <c r="P482" s="24"/>
      <c r="Q482" s="24"/>
      <c r="R482" s="24"/>
      <c r="S482" s="24"/>
      <c r="T482" s="24"/>
      <c r="U482" s="25"/>
      <c r="X482" s="26"/>
      <c r="Y482" s="27"/>
      <c r="Z482" s="28"/>
      <c r="AA482" s="28"/>
      <c r="AB482" s="28"/>
    </row>
    <row r="483" ht="15.75" customHeight="1">
      <c r="D483" s="21"/>
      <c r="M483" s="22"/>
      <c r="N483" s="23"/>
      <c r="O483" s="24"/>
      <c r="P483" s="24"/>
      <c r="Q483" s="24"/>
      <c r="R483" s="24"/>
      <c r="S483" s="24"/>
      <c r="T483" s="24"/>
      <c r="U483" s="25"/>
      <c r="X483" s="26"/>
      <c r="Y483" s="27"/>
      <c r="Z483" s="28"/>
      <c r="AA483" s="28"/>
      <c r="AB483" s="28"/>
    </row>
    <row r="484" ht="15.75" customHeight="1">
      <c r="D484" s="21"/>
      <c r="M484" s="22"/>
      <c r="N484" s="23"/>
      <c r="O484" s="24"/>
      <c r="P484" s="24"/>
      <c r="Q484" s="24"/>
      <c r="R484" s="24"/>
      <c r="S484" s="24"/>
      <c r="T484" s="24"/>
      <c r="U484" s="25"/>
      <c r="X484" s="26"/>
      <c r="Y484" s="27"/>
      <c r="Z484" s="28"/>
      <c r="AA484" s="28"/>
      <c r="AB484" s="28"/>
    </row>
    <row r="485" ht="15.75" customHeight="1">
      <c r="D485" s="21"/>
      <c r="M485" s="22"/>
      <c r="N485" s="23"/>
      <c r="O485" s="24"/>
      <c r="P485" s="24"/>
      <c r="Q485" s="24"/>
      <c r="R485" s="24"/>
      <c r="S485" s="24"/>
      <c r="T485" s="24"/>
      <c r="U485" s="25"/>
      <c r="X485" s="26"/>
      <c r="Y485" s="27"/>
      <c r="Z485" s="28"/>
      <c r="AA485" s="28"/>
      <c r="AB485" s="28"/>
    </row>
    <row r="486" ht="15.75" customHeight="1">
      <c r="D486" s="21"/>
      <c r="M486" s="22"/>
      <c r="N486" s="23"/>
      <c r="O486" s="24"/>
      <c r="P486" s="24"/>
      <c r="Q486" s="24"/>
      <c r="R486" s="24"/>
      <c r="S486" s="24"/>
      <c r="T486" s="24"/>
      <c r="U486" s="25"/>
      <c r="X486" s="26"/>
      <c r="Y486" s="27"/>
      <c r="Z486" s="28"/>
      <c r="AA486" s="28"/>
      <c r="AB486" s="28"/>
    </row>
    <row r="487" ht="15.75" customHeight="1">
      <c r="D487" s="21"/>
      <c r="M487" s="22"/>
      <c r="N487" s="23"/>
      <c r="O487" s="24"/>
      <c r="P487" s="24"/>
      <c r="Q487" s="24"/>
      <c r="R487" s="24"/>
      <c r="S487" s="24"/>
      <c r="T487" s="24"/>
      <c r="U487" s="25"/>
      <c r="X487" s="26"/>
      <c r="Y487" s="27"/>
      <c r="Z487" s="28"/>
      <c r="AA487" s="28"/>
      <c r="AB487" s="28"/>
    </row>
    <row r="488" ht="15.75" customHeight="1">
      <c r="D488" s="21"/>
      <c r="M488" s="22"/>
      <c r="N488" s="23"/>
      <c r="O488" s="24"/>
      <c r="P488" s="24"/>
      <c r="Q488" s="24"/>
      <c r="R488" s="24"/>
      <c r="S488" s="24"/>
      <c r="T488" s="24"/>
      <c r="U488" s="25"/>
      <c r="X488" s="26"/>
      <c r="Y488" s="27"/>
      <c r="Z488" s="28"/>
      <c r="AA488" s="28"/>
      <c r="AB488" s="28"/>
    </row>
    <row r="489" ht="15.75" customHeight="1">
      <c r="D489" s="21"/>
      <c r="M489" s="22"/>
      <c r="N489" s="23"/>
      <c r="O489" s="24"/>
      <c r="P489" s="24"/>
      <c r="Q489" s="24"/>
      <c r="R489" s="24"/>
      <c r="S489" s="24"/>
      <c r="T489" s="24"/>
      <c r="U489" s="25"/>
      <c r="X489" s="26"/>
      <c r="Y489" s="27"/>
      <c r="Z489" s="28"/>
      <c r="AA489" s="28"/>
      <c r="AB489" s="28"/>
    </row>
    <row r="490" ht="15.75" customHeight="1">
      <c r="D490" s="21"/>
      <c r="M490" s="22"/>
      <c r="N490" s="23"/>
      <c r="O490" s="24"/>
      <c r="P490" s="24"/>
      <c r="Q490" s="24"/>
      <c r="R490" s="24"/>
      <c r="S490" s="24"/>
      <c r="T490" s="24"/>
      <c r="U490" s="25"/>
      <c r="X490" s="26"/>
      <c r="Y490" s="27"/>
      <c r="Z490" s="28"/>
      <c r="AA490" s="28"/>
      <c r="AB490" s="28"/>
    </row>
    <row r="491" ht="15.75" customHeight="1">
      <c r="D491" s="21"/>
      <c r="M491" s="22"/>
      <c r="N491" s="23"/>
      <c r="O491" s="24"/>
      <c r="P491" s="24"/>
      <c r="Q491" s="24"/>
      <c r="R491" s="24"/>
      <c r="S491" s="24"/>
      <c r="T491" s="24"/>
      <c r="U491" s="25"/>
      <c r="X491" s="26"/>
      <c r="Y491" s="27"/>
      <c r="Z491" s="28"/>
      <c r="AA491" s="28"/>
      <c r="AB491" s="28"/>
    </row>
    <row r="492" ht="15.75" customHeight="1">
      <c r="D492" s="21"/>
      <c r="M492" s="22"/>
      <c r="N492" s="23"/>
      <c r="O492" s="24"/>
      <c r="P492" s="24"/>
      <c r="Q492" s="24"/>
      <c r="R492" s="24"/>
      <c r="S492" s="24"/>
      <c r="T492" s="24"/>
      <c r="U492" s="25"/>
      <c r="X492" s="26"/>
      <c r="Y492" s="27"/>
      <c r="Z492" s="28"/>
      <c r="AA492" s="28"/>
      <c r="AB492" s="28"/>
    </row>
    <row r="493" ht="15.75" customHeight="1">
      <c r="D493" s="21"/>
      <c r="M493" s="22"/>
      <c r="N493" s="23"/>
      <c r="O493" s="24"/>
      <c r="P493" s="24"/>
      <c r="Q493" s="24"/>
      <c r="R493" s="24"/>
      <c r="S493" s="24"/>
      <c r="T493" s="24"/>
      <c r="U493" s="25"/>
      <c r="X493" s="26"/>
      <c r="Y493" s="27"/>
      <c r="Z493" s="28"/>
      <c r="AA493" s="28"/>
      <c r="AB493" s="28"/>
    </row>
    <row r="494" ht="15.75" customHeight="1">
      <c r="D494" s="21"/>
      <c r="M494" s="22"/>
      <c r="N494" s="23"/>
      <c r="O494" s="24"/>
      <c r="P494" s="24"/>
      <c r="Q494" s="24"/>
      <c r="R494" s="24"/>
      <c r="S494" s="24"/>
      <c r="T494" s="24"/>
      <c r="U494" s="25"/>
      <c r="X494" s="26"/>
      <c r="Y494" s="27"/>
      <c r="Z494" s="28"/>
      <c r="AA494" s="28"/>
      <c r="AB494" s="28"/>
    </row>
    <row r="495" ht="15.75" customHeight="1">
      <c r="D495" s="21"/>
      <c r="M495" s="22"/>
      <c r="N495" s="23"/>
      <c r="O495" s="24"/>
      <c r="P495" s="24"/>
      <c r="Q495" s="24"/>
      <c r="R495" s="24"/>
      <c r="S495" s="24"/>
      <c r="T495" s="24"/>
      <c r="U495" s="25"/>
      <c r="X495" s="26"/>
      <c r="Y495" s="27"/>
      <c r="Z495" s="28"/>
      <c r="AA495" s="28"/>
      <c r="AB495" s="28"/>
    </row>
    <row r="496" ht="15.75" customHeight="1">
      <c r="D496" s="21"/>
      <c r="M496" s="22"/>
      <c r="N496" s="23"/>
      <c r="O496" s="24"/>
      <c r="P496" s="24"/>
      <c r="Q496" s="24"/>
      <c r="R496" s="24"/>
      <c r="S496" s="24"/>
      <c r="T496" s="24"/>
      <c r="U496" s="25"/>
      <c r="X496" s="26"/>
      <c r="Y496" s="27"/>
      <c r="Z496" s="28"/>
      <c r="AA496" s="28"/>
      <c r="AB496" s="28"/>
    </row>
    <row r="497" ht="15.75" customHeight="1">
      <c r="D497" s="21"/>
      <c r="M497" s="22"/>
      <c r="N497" s="23"/>
      <c r="O497" s="24"/>
      <c r="P497" s="24"/>
      <c r="Q497" s="24"/>
      <c r="R497" s="24"/>
      <c r="S497" s="24"/>
      <c r="T497" s="24"/>
      <c r="U497" s="25"/>
      <c r="X497" s="26"/>
      <c r="Y497" s="27"/>
      <c r="Z497" s="28"/>
      <c r="AA497" s="28"/>
      <c r="AB497" s="28"/>
    </row>
    <row r="498" ht="15.75" customHeight="1">
      <c r="D498" s="21"/>
      <c r="M498" s="22"/>
      <c r="N498" s="23"/>
      <c r="O498" s="24"/>
      <c r="P498" s="24"/>
      <c r="Q498" s="24"/>
      <c r="R498" s="24"/>
      <c r="S498" s="24"/>
      <c r="T498" s="24"/>
      <c r="U498" s="25"/>
      <c r="X498" s="26"/>
      <c r="Y498" s="27"/>
      <c r="Z498" s="28"/>
      <c r="AA498" s="28"/>
      <c r="AB498" s="28"/>
    </row>
    <row r="499" ht="15.75" customHeight="1">
      <c r="D499" s="21"/>
      <c r="M499" s="22"/>
      <c r="N499" s="23"/>
      <c r="O499" s="24"/>
      <c r="P499" s="24"/>
      <c r="Q499" s="24"/>
      <c r="R499" s="24"/>
      <c r="S499" s="24"/>
      <c r="T499" s="24"/>
      <c r="U499" s="25"/>
      <c r="X499" s="26"/>
      <c r="Y499" s="27"/>
      <c r="Z499" s="28"/>
      <c r="AA499" s="28"/>
      <c r="AB499" s="28"/>
    </row>
    <row r="500" ht="15.75" customHeight="1">
      <c r="D500" s="21"/>
      <c r="M500" s="22"/>
      <c r="N500" s="23"/>
      <c r="O500" s="24"/>
      <c r="P500" s="24"/>
      <c r="Q500" s="24"/>
      <c r="R500" s="24"/>
      <c r="S500" s="24"/>
      <c r="T500" s="24"/>
      <c r="U500" s="25"/>
      <c r="X500" s="26"/>
      <c r="Y500" s="27"/>
      <c r="Z500" s="28"/>
      <c r="AA500" s="28"/>
      <c r="AB500" s="28"/>
    </row>
    <row r="501" ht="15.75" customHeight="1">
      <c r="D501" s="21"/>
      <c r="M501" s="22"/>
      <c r="N501" s="23"/>
      <c r="O501" s="24"/>
      <c r="P501" s="24"/>
      <c r="Q501" s="24"/>
      <c r="R501" s="24"/>
      <c r="S501" s="24"/>
      <c r="T501" s="24"/>
      <c r="U501" s="25"/>
      <c r="X501" s="26"/>
      <c r="Y501" s="27"/>
      <c r="Z501" s="28"/>
      <c r="AA501" s="28"/>
      <c r="AB501" s="28"/>
    </row>
    <row r="502" ht="15.75" customHeight="1">
      <c r="D502" s="21"/>
      <c r="M502" s="22"/>
      <c r="N502" s="23"/>
      <c r="O502" s="24"/>
      <c r="P502" s="24"/>
      <c r="Q502" s="24"/>
      <c r="R502" s="24"/>
      <c r="S502" s="24"/>
      <c r="T502" s="24"/>
      <c r="U502" s="25"/>
      <c r="X502" s="26"/>
      <c r="Y502" s="27"/>
      <c r="Z502" s="28"/>
      <c r="AA502" s="28"/>
      <c r="AB502" s="28"/>
    </row>
    <row r="503" ht="15.75" customHeight="1">
      <c r="D503" s="21"/>
      <c r="M503" s="22"/>
      <c r="N503" s="23"/>
      <c r="O503" s="24"/>
      <c r="P503" s="24"/>
      <c r="Q503" s="24"/>
      <c r="R503" s="24"/>
      <c r="S503" s="24"/>
      <c r="T503" s="24"/>
      <c r="U503" s="25"/>
      <c r="X503" s="26"/>
      <c r="Y503" s="27"/>
      <c r="Z503" s="28"/>
      <c r="AA503" s="28"/>
      <c r="AB503" s="28"/>
    </row>
    <row r="504" ht="15.75" customHeight="1">
      <c r="D504" s="21"/>
      <c r="M504" s="22"/>
      <c r="N504" s="23"/>
      <c r="O504" s="24"/>
      <c r="P504" s="24"/>
      <c r="Q504" s="24"/>
      <c r="R504" s="24"/>
      <c r="S504" s="24"/>
      <c r="T504" s="24"/>
      <c r="U504" s="25"/>
      <c r="X504" s="26"/>
      <c r="Y504" s="27"/>
      <c r="Z504" s="28"/>
      <c r="AA504" s="28"/>
      <c r="AB504" s="28"/>
    </row>
    <row r="505" ht="15.75" customHeight="1">
      <c r="D505" s="21"/>
      <c r="M505" s="22"/>
      <c r="N505" s="23"/>
      <c r="O505" s="24"/>
      <c r="P505" s="24"/>
      <c r="Q505" s="24"/>
      <c r="R505" s="24"/>
      <c r="S505" s="24"/>
      <c r="T505" s="24"/>
      <c r="U505" s="25"/>
      <c r="X505" s="26"/>
      <c r="Y505" s="27"/>
      <c r="Z505" s="28"/>
      <c r="AA505" s="28"/>
      <c r="AB505" s="28"/>
    </row>
    <row r="506" ht="15.75" customHeight="1">
      <c r="D506" s="21"/>
      <c r="M506" s="22"/>
      <c r="N506" s="23"/>
      <c r="O506" s="24"/>
      <c r="P506" s="24"/>
      <c r="Q506" s="24"/>
      <c r="R506" s="24"/>
      <c r="S506" s="24"/>
      <c r="T506" s="24"/>
      <c r="U506" s="25"/>
      <c r="X506" s="26"/>
      <c r="Y506" s="27"/>
      <c r="Z506" s="28"/>
      <c r="AA506" s="28"/>
      <c r="AB506" s="28"/>
    </row>
    <row r="507" ht="15.75" customHeight="1">
      <c r="D507" s="21"/>
      <c r="M507" s="22"/>
      <c r="N507" s="23"/>
      <c r="O507" s="24"/>
      <c r="P507" s="24"/>
      <c r="Q507" s="24"/>
      <c r="R507" s="24"/>
      <c r="S507" s="24"/>
      <c r="T507" s="24"/>
      <c r="U507" s="25"/>
      <c r="X507" s="26"/>
      <c r="Y507" s="27"/>
      <c r="Z507" s="28"/>
      <c r="AA507" s="28"/>
      <c r="AB507" s="28"/>
    </row>
    <row r="508" ht="15.75" customHeight="1">
      <c r="D508" s="21"/>
      <c r="M508" s="22"/>
      <c r="N508" s="23"/>
      <c r="O508" s="24"/>
      <c r="P508" s="24"/>
      <c r="Q508" s="24"/>
      <c r="R508" s="24"/>
      <c r="S508" s="24"/>
      <c r="T508" s="24"/>
      <c r="U508" s="25"/>
      <c r="X508" s="26"/>
      <c r="Y508" s="27"/>
      <c r="Z508" s="28"/>
      <c r="AA508" s="28"/>
      <c r="AB508" s="28"/>
    </row>
    <row r="509" ht="15.75" customHeight="1">
      <c r="D509" s="21"/>
      <c r="M509" s="22"/>
      <c r="N509" s="23"/>
      <c r="O509" s="24"/>
      <c r="P509" s="24"/>
      <c r="Q509" s="24"/>
      <c r="R509" s="24"/>
      <c r="S509" s="24"/>
      <c r="T509" s="24"/>
      <c r="U509" s="25"/>
      <c r="X509" s="26"/>
      <c r="Y509" s="27"/>
      <c r="Z509" s="28"/>
      <c r="AA509" s="28"/>
      <c r="AB509" s="28"/>
    </row>
    <row r="510" ht="15.75" customHeight="1">
      <c r="D510" s="21"/>
      <c r="M510" s="22"/>
      <c r="N510" s="23"/>
      <c r="O510" s="24"/>
      <c r="P510" s="24"/>
      <c r="Q510" s="24"/>
      <c r="R510" s="24"/>
      <c r="S510" s="24"/>
      <c r="T510" s="24"/>
      <c r="U510" s="25"/>
      <c r="X510" s="26"/>
      <c r="Y510" s="27"/>
      <c r="Z510" s="28"/>
      <c r="AA510" s="28"/>
      <c r="AB510" s="28"/>
    </row>
    <row r="511" ht="15.75" customHeight="1">
      <c r="D511" s="21"/>
      <c r="M511" s="22"/>
      <c r="N511" s="23"/>
      <c r="O511" s="24"/>
      <c r="P511" s="24"/>
      <c r="Q511" s="24"/>
      <c r="R511" s="24"/>
      <c r="S511" s="24"/>
      <c r="T511" s="24"/>
      <c r="U511" s="25"/>
      <c r="X511" s="26"/>
      <c r="Y511" s="27"/>
      <c r="Z511" s="28"/>
      <c r="AA511" s="28"/>
      <c r="AB511" s="28"/>
    </row>
    <row r="512" ht="15.75" customHeight="1">
      <c r="D512" s="21"/>
      <c r="M512" s="22"/>
      <c r="N512" s="23"/>
      <c r="O512" s="24"/>
      <c r="P512" s="24"/>
      <c r="Q512" s="24"/>
      <c r="R512" s="24"/>
      <c r="S512" s="24"/>
      <c r="T512" s="24"/>
      <c r="U512" s="25"/>
      <c r="X512" s="26"/>
      <c r="Y512" s="27"/>
      <c r="Z512" s="28"/>
      <c r="AA512" s="28"/>
      <c r="AB512" s="28"/>
    </row>
    <row r="513" ht="15.75" customHeight="1">
      <c r="D513" s="21"/>
      <c r="M513" s="22"/>
      <c r="N513" s="23"/>
      <c r="O513" s="24"/>
      <c r="P513" s="24"/>
      <c r="Q513" s="24"/>
      <c r="R513" s="24"/>
      <c r="S513" s="24"/>
      <c r="T513" s="24"/>
      <c r="U513" s="25"/>
      <c r="X513" s="26"/>
      <c r="Y513" s="27"/>
      <c r="Z513" s="28"/>
      <c r="AA513" s="28"/>
      <c r="AB513" s="28"/>
    </row>
    <row r="514" ht="15.75" customHeight="1">
      <c r="D514" s="21"/>
      <c r="M514" s="22"/>
      <c r="N514" s="23"/>
      <c r="O514" s="24"/>
      <c r="P514" s="24"/>
      <c r="Q514" s="24"/>
      <c r="R514" s="24"/>
      <c r="S514" s="24"/>
      <c r="T514" s="24"/>
      <c r="U514" s="25"/>
      <c r="X514" s="26"/>
      <c r="Y514" s="27"/>
      <c r="Z514" s="28"/>
      <c r="AA514" s="28"/>
      <c r="AB514" s="28"/>
    </row>
    <row r="515" ht="15.75" customHeight="1">
      <c r="D515" s="21"/>
      <c r="M515" s="22"/>
      <c r="N515" s="23"/>
      <c r="O515" s="24"/>
      <c r="P515" s="24"/>
      <c r="Q515" s="24"/>
      <c r="R515" s="24"/>
      <c r="S515" s="24"/>
      <c r="T515" s="24"/>
      <c r="U515" s="25"/>
      <c r="X515" s="26"/>
      <c r="Y515" s="27"/>
      <c r="Z515" s="28"/>
      <c r="AA515" s="28"/>
      <c r="AB515" s="28"/>
    </row>
    <row r="516" ht="15.75" customHeight="1">
      <c r="D516" s="21"/>
      <c r="M516" s="22"/>
      <c r="N516" s="23"/>
      <c r="O516" s="24"/>
      <c r="P516" s="24"/>
      <c r="Q516" s="24"/>
      <c r="R516" s="24"/>
      <c r="S516" s="24"/>
      <c r="T516" s="24"/>
      <c r="U516" s="25"/>
      <c r="X516" s="26"/>
      <c r="Y516" s="27"/>
      <c r="Z516" s="28"/>
      <c r="AA516" s="28"/>
      <c r="AB516" s="28"/>
    </row>
    <row r="517" ht="15.75" customHeight="1">
      <c r="D517" s="21"/>
      <c r="M517" s="22"/>
      <c r="N517" s="23"/>
      <c r="O517" s="24"/>
      <c r="P517" s="24"/>
      <c r="Q517" s="24"/>
      <c r="R517" s="24"/>
      <c r="S517" s="24"/>
      <c r="T517" s="24"/>
      <c r="U517" s="25"/>
      <c r="X517" s="26"/>
      <c r="Y517" s="27"/>
      <c r="Z517" s="28"/>
      <c r="AA517" s="28"/>
      <c r="AB517" s="28"/>
    </row>
    <row r="518" ht="15.75" customHeight="1">
      <c r="D518" s="21"/>
      <c r="M518" s="22"/>
      <c r="N518" s="23"/>
      <c r="O518" s="24"/>
      <c r="P518" s="24"/>
      <c r="Q518" s="24"/>
      <c r="R518" s="24"/>
      <c r="S518" s="24"/>
      <c r="T518" s="24"/>
      <c r="U518" s="25"/>
      <c r="X518" s="26"/>
      <c r="Y518" s="27"/>
      <c r="Z518" s="28"/>
      <c r="AA518" s="28"/>
      <c r="AB518" s="28"/>
    </row>
    <row r="519" ht="15.75" customHeight="1">
      <c r="D519" s="21"/>
      <c r="M519" s="22"/>
      <c r="N519" s="23"/>
      <c r="O519" s="24"/>
      <c r="P519" s="24"/>
      <c r="Q519" s="24"/>
      <c r="R519" s="24"/>
      <c r="S519" s="24"/>
      <c r="T519" s="24"/>
      <c r="U519" s="25"/>
      <c r="X519" s="26"/>
      <c r="Y519" s="27"/>
      <c r="Z519" s="28"/>
      <c r="AA519" s="28"/>
      <c r="AB519" s="28"/>
    </row>
    <row r="520" ht="15.75" customHeight="1">
      <c r="D520" s="21"/>
      <c r="M520" s="22"/>
      <c r="N520" s="23"/>
      <c r="O520" s="24"/>
      <c r="P520" s="24"/>
      <c r="Q520" s="24"/>
      <c r="R520" s="24"/>
      <c r="S520" s="24"/>
      <c r="T520" s="24"/>
      <c r="U520" s="25"/>
      <c r="X520" s="26"/>
      <c r="Y520" s="27"/>
      <c r="Z520" s="28"/>
      <c r="AA520" s="28"/>
      <c r="AB520" s="28"/>
    </row>
    <row r="521" ht="15.75" customHeight="1">
      <c r="D521" s="21"/>
      <c r="M521" s="22"/>
      <c r="N521" s="23"/>
      <c r="O521" s="24"/>
      <c r="P521" s="24"/>
      <c r="Q521" s="24"/>
      <c r="R521" s="24"/>
      <c r="S521" s="24"/>
      <c r="T521" s="24"/>
      <c r="U521" s="25"/>
      <c r="X521" s="26"/>
      <c r="Y521" s="27"/>
      <c r="Z521" s="28"/>
      <c r="AA521" s="28"/>
      <c r="AB521" s="28"/>
    </row>
    <row r="522" ht="15.75" customHeight="1">
      <c r="D522" s="21"/>
      <c r="M522" s="22"/>
      <c r="N522" s="23"/>
      <c r="O522" s="24"/>
      <c r="P522" s="24"/>
      <c r="Q522" s="24"/>
      <c r="R522" s="24"/>
      <c r="S522" s="24"/>
      <c r="T522" s="24"/>
      <c r="U522" s="25"/>
      <c r="X522" s="26"/>
      <c r="Y522" s="27"/>
      <c r="Z522" s="28"/>
      <c r="AA522" s="28"/>
      <c r="AB522" s="28"/>
    </row>
    <row r="523" ht="15.75" customHeight="1">
      <c r="D523" s="21"/>
      <c r="M523" s="22"/>
      <c r="N523" s="23"/>
      <c r="O523" s="24"/>
      <c r="P523" s="24"/>
      <c r="Q523" s="24"/>
      <c r="R523" s="24"/>
      <c r="S523" s="24"/>
      <c r="T523" s="24"/>
      <c r="U523" s="25"/>
      <c r="X523" s="26"/>
      <c r="Y523" s="27"/>
      <c r="Z523" s="28"/>
      <c r="AA523" s="28"/>
      <c r="AB523" s="28"/>
    </row>
    <row r="524" ht="15.75" customHeight="1">
      <c r="D524" s="21"/>
      <c r="M524" s="22"/>
      <c r="N524" s="23"/>
      <c r="O524" s="24"/>
      <c r="P524" s="24"/>
      <c r="Q524" s="24"/>
      <c r="R524" s="24"/>
      <c r="S524" s="24"/>
      <c r="T524" s="24"/>
      <c r="U524" s="25"/>
      <c r="X524" s="26"/>
      <c r="Y524" s="27"/>
      <c r="Z524" s="28"/>
      <c r="AA524" s="28"/>
      <c r="AB524" s="28"/>
    </row>
    <row r="525" ht="15.75" customHeight="1">
      <c r="D525" s="21"/>
      <c r="M525" s="22"/>
      <c r="N525" s="23"/>
      <c r="O525" s="24"/>
      <c r="P525" s="24"/>
      <c r="Q525" s="24"/>
      <c r="R525" s="24"/>
      <c r="S525" s="24"/>
      <c r="T525" s="24"/>
      <c r="U525" s="25"/>
      <c r="X525" s="26"/>
      <c r="Y525" s="27"/>
      <c r="Z525" s="28"/>
      <c r="AA525" s="28"/>
      <c r="AB525" s="28"/>
    </row>
    <row r="526" ht="15.75" customHeight="1">
      <c r="D526" s="21"/>
      <c r="M526" s="22"/>
      <c r="N526" s="23"/>
      <c r="O526" s="24"/>
      <c r="P526" s="24"/>
      <c r="Q526" s="24"/>
      <c r="R526" s="24"/>
      <c r="S526" s="24"/>
      <c r="T526" s="24"/>
      <c r="U526" s="25"/>
      <c r="X526" s="26"/>
      <c r="Y526" s="27"/>
      <c r="Z526" s="28"/>
      <c r="AA526" s="28"/>
      <c r="AB526" s="28"/>
    </row>
    <row r="527" ht="15.75" customHeight="1">
      <c r="D527" s="21"/>
      <c r="M527" s="22"/>
      <c r="N527" s="23"/>
      <c r="O527" s="24"/>
      <c r="P527" s="24"/>
      <c r="Q527" s="24"/>
      <c r="R527" s="24"/>
      <c r="S527" s="24"/>
      <c r="T527" s="24"/>
      <c r="U527" s="25"/>
      <c r="X527" s="26"/>
      <c r="Y527" s="27"/>
      <c r="Z527" s="28"/>
      <c r="AA527" s="28"/>
      <c r="AB527" s="28"/>
    </row>
    <row r="528" ht="15.75" customHeight="1">
      <c r="D528" s="21"/>
      <c r="M528" s="22"/>
      <c r="N528" s="23"/>
      <c r="O528" s="24"/>
      <c r="P528" s="24"/>
      <c r="Q528" s="24"/>
      <c r="R528" s="24"/>
      <c r="S528" s="24"/>
      <c r="T528" s="24"/>
      <c r="U528" s="25"/>
      <c r="X528" s="26"/>
      <c r="Y528" s="27"/>
      <c r="Z528" s="28"/>
      <c r="AA528" s="28"/>
      <c r="AB528" s="28"/>
    </row>
    <row r="529" ht="15.75" customHeight="1">
      <c r="D529" s="21"/>
      <c r="M529" s="22"/>
      <c r="N529" s="23"/>
      <c r="O529" s="24"/>
      <c r="P529" s="24"/>
      <c r="Q529" s="24"/>
      <c r="R529" s="24"/>
      <c r="S529" s="24"/>
      <c r="T529" s="24"/>
      <c r="U529" s="25"/>
      <c r="X529" s="26"/>
      <c r="Y529" s="27"/>
      <c r="Z529" s="28"/>
      <c r="AA529" s="28"/>
      <c r="AB529" s="28"/>
    </row>
    <row r="530" ht="15.75" customHeight="1">
      <c r="D530" s="21"/>
      <c r="M530" s="22"/>
      <c r="N530" s="23"/>
      <c r="O530" s="24"/>
      <c r="P530" s="24"/>
      <c r="Q530" s="24"/>
      <c r="R530" s="24"/>
      <c r="S530" s="24"/>
      <c r="T530" s="24"/>
      <c r="U530" s="25"/>
      <c r="X530" s="26"/>
      <c r="Y530" s="27"/>
      <c r="Z530" s="28"/>
      <c r="AA530" s="28"/>
      <c r="AB530" s="28"/>
    </row>
    <row r="531" ht="15.75" customHeight="1">
      <c r="D531" s="21"/>
      <c r="M531" s="22"/>
      <c r="N531" s="23"/>
      <c r="O531" s="24"/>
      <c r="P531" s="24"/>
      <c r="Q531" s="24"/>
      <c r="R531" s="24"/>
      <c r="S531" s="24"/>
      <c r="T531" s="24"/>
      <c r="U531" s="25"/>
      <c r="X531" s="26"/>
      <c r="Y531" s="27"/>
      <c r="Z531" s="28"/>
      <c r="AA531" s="28"/>
      <c r="AB531" s="28"/>
    </row>
    <row r="532" ht="15.75" customHeight="1">
      <c r="D532" s="21"/>
      <c r="M532" s="22"/>
      <c r="N532" s="23"/>
      <c r="O532" s="24"/>
      <c r="P532" s="24"/>
      <c r="Q532" s="24"/>
      <c r="R532" s="24"/>
      <c r="S532" s="24"/>
      <c r="T532" s="24"/>
      <c r="U532" s="25"/>
      <c r="X532" s="26"/>
      <c r="Y532" s="27"/>
      <c r="Z532" s="28"/>
      <c r="AA532" s="28"/>
      <c r="AB532" s="28"/>
    </row>
    <row r="533" ht="15.75" customHeight="1">
      <c r="D533" s="21"/>
      <c r="M533" s="22"/>
      <c r="N533" s="23"/>
      <c r="O533" s="24"/>
      <c r="P533" s="24"/>
      <c r="Q533" s="24"/>
      <c r="R533" s="24"/>
      <c r="S533" s="24"/>
      <c r="T533" s="24"/>
      <c r="U533" s="25"/>
      <c r="X533" s="26"/>
      <c r="Y533" s="27"/>
      <c r="Z533" s="28"/>
      <c r="AA533" s="28"/>
      <c r="AB533" s="28"/>
    </row>
    <row r="534" ht="15.75" customHeight="1">
      <c r="D534" s="21"/>
      <c r="M534" s="22"/>
      <c r="N534" s="23"/>
      <c r="O534" s="24"/>
      <c r="P534" s="24"/>
      <c r="Q534" s="24"/>
      <c r="R534" s="24"/>
      <c r="S534" s="24"/>
      <c r="T534" s="24"/>
      <c r="U534" s="25"/>
      <c r="X534" s="26"/>
      <c r="Y534" s="27"/>
      <c r="Z534" s="28"/>
      <c r="AA534" s="28"/>
      <c r="AB534" s="28"/>
    </row>
    <row r="535" ht="15.75" customHeight="1">
      <c r="D535" s="21"/>
      <c r="M535" s="22"/>
      <c r="N535" s="23"/>
      <c r="O535" s="24"/>
      <c r="P535" s="24"/>
      <c r="Q535" s="24"/>
      <c r="R535" s="24"/>
      <c r="S535" s="24"/>
      <c r="T535" s="24"/>
      <c r="U535" s="25"/>
      <c r="X535" s="26"/>
      <c r="Y535" s="27"/>
      <c r="Z535" s="28"/>
      <c r="AA535" s="28"/>
      <c r="AB535" s="28"/>
    </row>
    <row r="536" ht="15.75" customHeight="1">
      <c r="D536" s="21"/>
      <c r="M536" s="22"/>
      <c r="N536" s="23"/>
      <c r="O536" s="24"/>
      <c r="P536" s="24"/>
      <c r="Q536" s="24"/>
      <c r="R536" s="24"/>
      <c r="S536" s="24"/>
      <c r="T536" s="24"/>
      <c r="U536" s="25"/>
      <c r="X536" s="26"/>
      <c r="Y536" s="27"/>
      <c r="Z536" s="28"/>
      <c r="AA536" s="28"/>
      <c r="AB536" s="28"/>
    </row>
    <row r="537" ht="15.75" customHeight="1">
      <c r="D537" s="21"/>
      <c r="M537" s="22"/>
      <c r="N537" s="23"/>
      <c r="O537" s="24"/>
      <c r="P537" s="24"/>
      <c r="Q537" s="24"/>
      <c r="R537" s="24"/>
      <c r="S537" s="24"/>
      <c r="T537" s="24"/>
      <c r="U537" s="25"/>
      <c r="X537" s="26"/>
      <c r="Y537" s="27"/>
      <c r="Z537" s="28"/>
      <c r="AA537" s="28"/>
      <c r="AB537" s="28"/>
    </row>
    <row r="538" ht="15.75" customHeight="1">
      <c r="D538" s="21"/>
      <c r="M538" s="22"/>
      <c r="N538" s="23"/>
      <c r="O538" s="24"/>
      <c r="P538" s="24"/>
      <c r="Q538" s="24"/>
      <c r="R538" s="24"/>
      <c r="S538" s="24"/>
      <c r="T538" s="24"/>
      <c r="U538" s="25"/>
      <c r="X538" s="26"/>
      <c r="Y538" s="27"/>
      <c r="Z538" s="28"/>
      <c r="AA538" s="28"/>
      <c r="AB538" s="28"/>
    </row>
    <row r="539" ht="15.75" customHeight="1">
      <c r="D539" s="21"/>
      <c r="M539" s="22"/>
      <c r="N539" s="23"/>
      <c r="O539" s="24"/>
      <c r="P539" s="24"/>
      <c r="Q539" s="24"/>
      <c r="R539" s="24"/>
      <c r="S539" s="24"/>
      <c r="T539" s="24"/>
      <c r="U539" s="25"/>
      <c r="X539" s="26"/>
      <c r="Y539" s="27"/>
      <c r="Z539" s="28"/>
      <c r="AA539" s="28"/>
      <c r="AB539" s="28"/>
    </row>
    <row r="540" ht="15.75" customHeight="1">
      <c r="D540" s="21"/>
      <c r="M540" s="22"/>
      <c r="N540" s="23"/>
      <c r="O540" s="24"/>
      <c r="P540" s="24"/>
      <c r="Q540" s="24"/>
      <c r="R540" s="24"/>
      <c r="S540" s="24"/>
      <c r="T540" s="24"/>
      <c r="U540" s="25"/>
      <c r="X540" s="26"/>
      <c r="Y540" s="27"/>
      <c r="Z540" s="28"/>
      <c r="AA540" s="28"/>
      <c r="AB540" s="28"/>
    </row>
    <row r="541" ht="15.75" customHeight="1">
      <c r="D541" s="21"/>
      <c r="M541" s="22"/>
      <c r="N541" s="23"/>
      <c r="O541" s="24"/>
      <c r="P541" s="24"/>
      <c r="Q541" s="24"/>
      <c r="R541" s="24"/>
      <c r="S541" s="24"/>
      <c r="T541" s="24"/>
      <c r="U541" s="25"/>
      <c r="X541" s="26"/>
      <c r="Y541" s="27"/>
      <c r="Z541" s="28"/>
      <c r="AA541" s="28"/>
      <c r="AB541" s="28"/>
    </row>
    <row r="542" ht="15.75" customHeight="1">
      <c r="D542" s="21"/>
      <c r="M542" s="22"/>
      <c r="N542" s="23"/>
      <c r="O542" s="24"/>
      <c r="P542" s="24"/>
      <c r="Q542" s="24"/>
      <c r="R542" s="24"/>
      <c r="S542" s="24"/>
      <c r="T542" s="24"/>
      <c r="U542" s="25"/>
      <c r="X542" s="26"/>
      <c r="Y542" s="27"/>
      <c r="Z542" s="28"/>
      <c r="AA542" s="28"/>
      <c r="AB542" s="28"/>
    </row>
    <row r="543" ht="15.75" customHeight="1">
      <c r="D543" s="21"/>
      <c r="M543" s="22"/>
      <c r="N543" s="23"/>
      <c r="O543" s="24"/>
      <c r="P543" s="24"/>
      <c r="Q543" s="24"/>
      <c r="R543" s="24"/>
      <c r="S543" s="24"/>
      <c r="T543" s="24"/>
      <c r="U543" s="25"/>
      <c r="X543" s="26"/>
      <c r="Y543" s="27"/>
      <c r="Z543" s="28"/>
      <c r="AA543" s="28"/>
      <c r="AB543" s="28"/>
    </row>
    <row r="544" ht="15.75" customHeight="1">
      <c r="D544" s="21"/>
      <c r="M544" s="22"/>
      <c r="N544" s="23"/>
      <c r="O544" s="24"/>
      <c r="P544" s="24"/>
      <c r="Q544" s="24"/>
      <c r="R544" s="24"/>
      <c r="S544" s="24"/>
      <c r="T544" s="24"/>
      <c r="U544" s="25"/>
      <c r="X544" s="26"/>
      <c r="Y544" s="27"/>
      <c r="Z544" s="28"/>
      <c r="AA544" s="28"/>
      <c r="AB544" s="28"/>
    </row>
    <row r="545" ht="15.75" customHeight="1">
      <c r="D545" s="21"/>
      <c r="M545" s="22"/>
      <c r="N545" s="23"/>
      <c r="O545" s="24"/>
      <c r="P545" s="24"/>
      <c r="Q545" s="24"/>
      <c r="R545" s="24"/>
      <c r="S545" s="24"/>
      <c r="T545" s="24"/>
      <c r="U545" s="25"/>
      <c r="X545" s="26"/>
      <c r="Y545" s="27"/>
      <c r="Z545" s="28"/>
      <c r="AA545" s="28"/>
      <c r="AB545" s="28"/>
    </row>
    <row r="546" ht="15.75" customHeight="1">
      <c r="D546" s="21"/>
      <c r="M546" s="22"/>
      <c r="N546" s="23"/>
      <c r="O546" s="24"/>
      <c r="P546" s="24"/>
      <c r="Q546" s="24"/>
      <c r="R546" s="24"/>
      <c r="S546" s="24"/>
      <c r="T546" s="24"/>
      <c r="U546" s="25"/>
      <c r="X546" s="26"/>
      <c r="Y546" s="27"/>
      <c r="Z546" s="28"/>
      <c r="AA546" s="28"/>
      <c r="AB546" s="28"/>
    </row>
    <row r="547" ht="15.75" customHeight="1">
      <c r="D547" s="21"/>
      <c r="M547" s="22"/>
      <c r="N547" s="23"/>
      <c r="O547" s="24"/>
      <c r="P547" s="24"/>
      <c r="Q547" s="24"/>
      <c r="R547" s="24"/>
      <c r="S547" s="24"/>
      <c r="T547" s="24"/>
      <c r="U547" s="25"/>
      <c r="X547" s="26"/>
      <c r="Y547" s="27"/>
      <c r="Z547" s="28"/>
      <c r="AA547" s="28"/>
      <c r="AB547" s="28"/>
    </row>
    <row r="548" ht="15.75" customHeight="1">
      <c r="D548" s="21"/>
      <c r="M548" s="22"/>
      <c r="N548" s="23"/>
      <c r="O548" s="24"/>
      <c r="P548" s="24"/>
      <c r="Q548" s="24"/>
      <c r="R548" s="24"/>
      <c r="S548" s="24"/>
      <c r="T548" s="24"/>
      <c r="U548" s="25"/>
      <c r="X548" s="26"/>
      <c r="Y548" s="27"/>
      <c r="Z548" s="28"/>
      <c r="AA548" s="28"/>
      <c r="AB548" s="28"/>
    </row>
    <row r="549" ht="15.75" customHeight="1">
      <c r="D549" s="21"/>
      <c r="M549" s="22"/>
      <c r="N549" s="23"/>
      <c r="O549" s="24"/>
      <c r="P549" s="24"/>
      <c r="Q549" s="24"/>
      <c r="R549" s="24"/>
      <c r="S549" s="24"/>
      <c r="T549" s="24"/>
      <c r="U549" s="25"/>
      <c r="X549" s="26"/>
      <c r="Y549" s="27"/>
      <c r="Z549" s="28"/>
      <c r="AA549" s="28"/>
      <c r="AB549" s="28"/>
    </row>
    <row r="550" ht="15.75" customHeight="1">
      <c r="D550" s="21"/>
      <c r="M550" s="22"/>
      <c r="N550" s="23"/>
      <c r="O550" s="24"/>
      <c r="P550" s="24"/>
      <c r="Q550" s="24"/>
      <c r="R550" s="24"/>
      <c r="S550" s="24"/>
      <c r="T550" s="24"/>
      <c r="U550" s="25"/>
      <c r="X550" s="26"/>
      <c r="Y550" s="27"/>
      <c r="Z550" s="28"/>
      <c r="AA550" s="28"/>
      <c r="AB550" s="28"/>
    </row>
    <row r="551" ht="15.75" customHeight="1">
      <c r="D551" s="21"/>
      <c r="M551" s="22"/>
      <c r="N551" s="23"/>
      <c r="O551" s="24"/>
      <c r="P551" s="24"/>
      <c r="Q551" s="24"/>
      <c r="R551" s="24"/>
      <c r="S551" s="24"/>
      <c r="T551" s="24"/>
      <c r="U551" s="25"/>
      <c r="X551" s="26"/>
      <c r="Y551" s="27"/>
      <c r="Z551" s="28"/>
      <c r="AA551" s="28"/>
      <c r="AB551" s="28"/>
    </row>
    <row r="552" ht="15.75" customHeight="1">
      <c r="D552" s="21"/>
      <c r="M552" s="22"/>
      <c r="N552" s="23"/>
      <c r="O552" s="24"/>
      <c r="P552" s="24"/>
      <c r="Q552" s="24"/>
      <c r="R552" s="24"/>
      <c r="S552" s="24"/>
      <c r="T552" s="24"/>
      <c r="U552" s="25"/>
      <c r="X552" s="26"/>
      <c r="Y552" s="27"/>
      <c r="Z552" s="28"/>
      <c r="AA552" s="28"/>
      <c r="AB552" s="28"/>
    </row>
    <row r="553" ht="15.75" customHeight="1">
      <c r="D553" s="21"/>
      <c r="M553" s="22"/>
      <c r="N553" s="23"/>
      <c r="O553" s="24"/>
      <c r="P553" s="24"/>
      <c r="Q553" s="24"/>
      <c r="R553" s="24"/>
      <c r="S553" s="24"/>
      <c r="T553" s="24"/>
      <c r="U553" s="25"/>
      <c r="X553" s="26"/>
      <c r="Y553" s="27"/>
      <c r="Z553" s="28"/>
      <c r="AA553" s="28"/>
      <c r="AB553" s="28"/>
    </row>
    <row r="554" ht="15.75" customHeight="1">
      <c r="D554" s="21"/>
      <c r="M554" s="22"/>
      <c r="N554" s="23"/>
      <c r="O554" s="24"/>
      <c r="P554" s="24"/>
      <c r="Q554" s="24"/>
      <c r="R554" s="24"/>
      <c r="S554" s="24"/>
      <c r="T554" s="24"/>
      <c r="U554" s="25"/>
      <c r="X554" s="26"/>
      <c r="Y554" s="27"/>
      <c r="Z554" s="28"/>
      <c r="AA554" s="28"/>
      <c r="AB554" s="28"/>
    </row>
    <row r="555" ht="15.75" customHeight="1">
      <c r="D555" s="21"/>
      <c r="M555" s="22"/>
      <c r="N555" s="23"/>
      <c r="O555" s="24"/>
      <c r="P555" s="24"/>
      <c r="Q555" s="24"/>
      <c r="R555" s="24"/>
      <c r="S555" s="24"/>
      <c r="T555" s="24"/>
      <c r="U555" s="25"/>
      <c r="X555" s="26"/>
      <c r="Y555" s="27"/>
      <c r="Z555" s="28"/>
      <c r="AA555" s="28"/>
      <c r="AB555" s="28"/>
    </row>
    <row r="556" ht="15.75" customHeight="1">
      <c r="D556" s="21"/>
      <c r="M556" s="22"/>
      <c r="N556" s="23"/>
      <c r="O556" s="24"/>
      <c r="P556" s="24"/>
      <c r="Q556" s="24"/>
      <c r="R556" s="24"/>
      <c r="S556" s="24"/>
      <c r="T556" s="24"/>
      <c r="U556" s="25"/>
      <c r="X556" s="26"/>
      <c r="Y556" s="27"/>
      <c r="Z556" s="28"/>
      <c r="AA556" s="28"/>
      <c r="AB556" s="28"/>
    </row>
    <row r="557" ht="15.75" customHeight="1">
      <c r="D557" s="21"/>
      <c r="M557" s="22"/>
      <c r="N557" s="23"/>
      <c r="O557" s="24"/>
      <c r="P557" s="24"/>
      <c r="Q557" s="24"/>
      <c r="R557" s="24"/>
      <c r="S557" s="24"/>
      <c r="T557" s="24"/>
      <c r="U557" s="25"/>
      <c r="X557" s="26"/>
      <c r="Y557" s="27"/>
      <c r="Z557" s="28"/>
      <c r="AA557" s="28"/>
      <c r="AB557" s="28"/>
    </row>
    <row r="558" ht="15.75" customHeight="1">
      <c r="D558" s="21"/>
      <c r="M558" s="22"/>
      <c r="N558" s="23"/>
      <c r="O558" s="24"/>
      <c r="P558" s="24"/>
      <c r="Q558" s="24"/>
      <c r="R558" s="24"/>
      <c r="S558" s="24"/>
      <c r="T558" s="24"/>
      <c r="U558" s="25"/>
      <c r="X558" s="26"/>
      <c r="Y558" s="27"/>
      <c r="Z558" s="28"/>
      <c r="AA558" s="28"/>
      <c r="AB558" s="28"/>
    </row>
    <row r="559" ht="15.75" customHeight="1">
      <c r="D559" s="21"/>
      <c r="M559" s="22"/>
      <c r="N559" s="23"/>
      <c r="O559" s="24"/>
      <c r="P559" s="24"/>
      <c r="Q559" s="24"/>
      <c r="R559" s="24"/>
      <c r="S559" s="24"/>
      <c r="T559" s="24"/>
      <c r="U559" s="25"/>
      <c r="X559" s="26"/>
      <c r="Y559" s="27"/>
      <c r="Z559" s="28"/>
      <c r="AA559" s="28"/>
      <c r="AB559" s="28"/>
    </row>
    <row r="560" ht="15.75" customHeight="1">
      <c r="D560" s="21"/>
      <c r="M560" s="22"/>
      <c r="N560" s="23"/>
      <c r="O560" s="24"/>
      <c r="P560" s="24"/>
      <c r="Q560" s="24"/>
      <c r="R560" s="24"/>
      <c r="S560" s="24"/>
      <c r="T560" s="24"/>
      <c r="U560" s="25"/>
      <c r="X560" s="26"/>
      <c r="Y560" s="27"/>
      <c r="Z560" s="28"/>
      <c r="AA560" s="28"/>
      <c r="AB560" s="28"/>
    </row>
    <row r="561" ht="15.75" customHeight="1">
      <c r="D561" s="21"/>
      <c r="M561" s="22"/>
      <c r="N561" s="23"/>
      <c r="O561" s="24"/>
      <c r="P561" s="24"/>
      <c r="Q561" s="24"/>
      <c r="R561" s="24"/>
      <c r="S561" s="24"/>
      <c r="T561" s="24"/>
      <c r="U561" s="25"/>
      <c r="X561" s="26"/>
      <c r="Y561" s="27"/>
      <c r="Z561" s="28"/>
      <c r="AA561" s="28"/>
      <c r="AB561" s="28"/>
    </row>
    <row r="562" ht="15.75" customHeight="1">
      <c r="D562" s="21"/>
      <c r="M562" s="22"/>
      <c r="N562" s="23"/>
      <c r="O562" s="24"/>
      <c r="P562" s="24"/>
      <c r="Q562" s="24"/>
      <c r="R562" s="24"/>
      <c r="S562" s="24"/>
      <c r="T562" s="24"/>
      <c r="U562" s="25"/>
      <c r="X562" s="26"/>
      <c r="Y562" s="27"/>
      <c r="Z562" s="28"/>
      <c r="AA562" s="28"/>
      <c r="AB562" s="28"/>
    </row>
    <row r="563" ht="15.75" customHeight="1">
      <c r="D563" s="21"/>
      <c r="M563" s="22"/>
      <c r="N563" s="23"/>
      <c r="O563" s="24"/>
      <c r="P563" s="24"/>
      <c r="Q563" s="24"/>
      <c r="R563" s="24"/>
      <c r="S563" s="24"/>
      <c r="T563" s="24"/>
      <c r="U563" s="25"/>
      <c r="X563" s="26"/>
      <c r="Y563" s="27"/>
      <c r="Z563" s="28"/>
      <c r="AA563" s="28"/>
      <c r="AB563" s="28"/>
    </row>
    <row r="564" ht="15.75" customHeight="1">
      <c r="D564" s="21"/>
      <c r="M564" s="22"/>
      <c r="N564" s="23"/>
      <c r="O564" s="24"/>
      <c r="P564" s="24"/>
      <c r="Q564" s="24"/>
      <c r="R564" s="24"/>
      <c r="S564" s="24"/>
      <c r="T564" s="24"/>
      <c r="U564" s="25"/>
      <c r="X564" s="26"/>
      <c r="Y564" s="27"/>
      <c r="Z564" s="28"/>
      <c r="AA564" s="28"/>
      <c r="AB564" s="28"/>
    </row>
    <row r="565" ht="15.75" customHeight="1">
      <c r="D565" s="21"/>
      <c r="M565" s="22"/>
      <c r="N565" s="23"/>
      <c r="O565" s="24"/>
      <c r="P565" s="24"/>
      <c r="Q565" s="24"/>
      <c r="R565" s="24"/>
      <c r="S565" s="24"/>
      <c r="T565" s="24"/>
      <c r="U565" s="25"/>
      <c r="X565" s="26"/>
      <c r="Y565" s="27"/>
      <c r="Z565" s="28"/>
      <c r="AA565" s="28"/>
      <c r="AB565" s="28"/>
    </row>
    <row r="566" ht="15.75" customHeight="1">
      <c r="D566" s="21"/>
      <c r="M566" s="22"/>
      <c r="N566" s="23"/>
      <c r="O566" s="24"/>
      <c r="P566" s="24"/>
      <c r="Q566" s="24"/>
      <c r="R566" s="24"/>
      <c r="S566" s="24"/>
      <c r="T566" s="24"/>
      <c r="U566" s="25"/>
      <c r="X566" s="26"/>
      <c r="Y566" s="27"/>
      <c r="Z566" s="28"/>
      <c r="AA566" s="28"/>
      <c r="AB566" s="28"/>
    </row>
    <row r="567" ht="15.75" customHeight="1">
      <c r="D567" s="21"/>
      <c r="M567" s="22"/>
      <c r="N567" s="23"/>
      <c r="O567" s="24"/>
      <c r="P567" s="24"/>
      <c r="Q567" s="24"/>
      <c r="R567" s="24"/>
      <c r="S567" s="24"/>
      <c r="T567" s="24"/>
      <c r="U567" s="25"/>
      <c r="X567" s="26"/>
      <c r="Y567" s="27"/>
      <c r="Z567" s="28"/>
      <c r="AA567" s="28"/>
      <c r="AB567" s="28"/>
    </row>
    <row r="568" ht="15.75" customHeight="1">
      <c r="D568" s="21"/>
      <c r="M568" s="22"/>
      <c r="N568" s="23"/>
      <c r="O568" s="24"/>
      <c r="P568" s="24"/>
      <c r="Q568" s="24"/>
      <c r="R568" s="24"/>
      <c r="S568" s="24"/>
      <c r="T568" s="24"/>
      <c r="U568" s="25"/>
      <c r="X568" s="26"/>
      <c r="Y568" s="27"/>
      <c r="Z568" s="28"/>
      <c r="AA568" s="28"/>
      <c r="AB568" s="28"/>
    </row>
    <row r="569" ht="15.75" customHeight="1">
      <c r="D569" s="21"/>
      <c r="M569" s="22"/>
      <c r="N569" s="23"/>
      <c r="O569" s="24"/>
      <c r="P569" s="24"/>
      <c r="Q569" s="24"/>
      <c r="R569" s="24"/>
      <c r="S569" s="24"/>
      <c r="T569" s="24"/>
      <c r="U569" s="25"/>
      <c r="X569" s="26"/>
      <c r="Y569" s="27"/>
      <c r="Z569" s="28"/>
      <c r="AA569" s="28"/>
      <c r="AB569" s="28"/>
    </row>
    <row r="570" ht="15.75" customHeight="1">
      <c r="D570" s="21"/>
      <c r="M570" s="22"/>
      <c r="N570" s="23"/>
      <c r="O570" s="24"/>
      <c r="P570" s="24"/>
      <c r="Q570" s="24"/>
      <c r="R570" s="24"/>
      <c r="S570" s="24"/>
      <c r="T570" s="24"/>
      <c r="U570" s="25"/>
      <c r="X570" s="26"/>
      <c r="Y570" s="27"/>
      <c r="Z570" s="28"/>
      <c r="AA570" s="28"/>
      <c r="AB570" s="28"/>
    </row>
    <row r="571" ht="15.75" customHeight="1">
      <c r="D571" s="21"/>
      <c r="M571" s="22"/>
      <c r="N571" s="23"/>
      <c r="O571" s="24"/>
      <c r="P571" s="24"/>
      <c r="Q571" s="24"/>
      <c r="R571" s="24"/>
      <c r="S571" s="24"/>
      <c r="T571" s="24"/>
      <c r="U571" s="25"/>
      <c r="X571" s="26"/>
      <c r="Y571" s="27"/>
      <c r="Z571" s="28"/>
      <c r="AA571" s="28"/>
      <c r="AB571" s="28"/>
    </row>
    <row r="572" ht="15.75" customHeight="1">
      <c r="D572" s="21"/>
      <c r="M572" s="22"/>
      <c r="N572" s="23"/>
      <c r="O572" s="24"/>
      <c r="P572" s="24"/>
      <c r="Q572" s="24"/>
      <c r="R572" s="24"/>
      <c r="S572" s="24"/>
      <c r="T572" s="24"/>
      <c r="U572" s="25"/>
      <c r="X572" s="26"/>
      <c r="Y572" s="27"/>
      <c r="Z572" s="28"/>
      <c r="AA572" s="28"/>
      <c r="AB572" s="28"/>
    </row>
    <row r="573" ht="15.75" customHeight="1">
      <c r="D573" s="21"/>
      <c r="M573" s="22"/>
      <c r="N573" s="23"/>
      <c r="O573" s="24"/>
      <c r="P573" s="24"/>
      <c r="Q573" s="24"/>
      <c r="R573" s="24"/>
      <c r="S573" s="24"/>
      <c r="T573" s="24"/>
      <c r="U573" s="25"/>
      <c r="X573" s="26"/>
      <c r="Y573" s="27"/>
      <c r="Z573" s="28"/>
      <c r="AA573" s="28"/>
      <c r="AB573" s="28"/>
    </row>
    <row r="574" ht="15.75" customHeight="1">
      <c r="D574" s="21"/>
      <c r="M574" s="22"/>
      <c r="N574" s="23"/>
      <c r="O574" s="24"/>
      <c r="P574" s="24"/>
      <c r="Q574" s="24"/>
      <c r="R574" s="24"/>
      <c r="S574" s="24"/>
      <c r="T574" s="24"/>
      <c r="U574" s="25"/>
      <c r="X574" s="26"/>
      <c r="Y574" s="27"/>
      <c r="Z574" s="28"/>
      <c r="AA574" s="28"/>
      <c r="AB574" s="28"/>
    </row>
    <row r="575" ht="15.75" customHeight="1">
      <c r="D575" s="21"/>
      <c r="M575" s="22"/>
      <c r="N575" s="23"/>
      <c r="O575" s="24"/>
      <c r="P575" s="24"/>
      <c r="Q575" s="24"/>
      <c r="R575" s="24"/>
      <c r="S575" s="24"/>
      <c r="T575" s="24"/>
      <c r="U575" s="25"/>
      <c r="X575" s="26"/>
      <c r="Y575" s="27"/>
      <c r="Z575" s="28"/>
      <c r="AA575" s="28"/>
      <c r="AB575" s="28"/>
    </row>
    <row r="576" ht="15.75" customHeight="1">
      <c r="D576" s="21"/>
      <c r="M576" s="22"/>
      <c r="N576" s="23"/>
      <c r="O576" s="24"/>
      <c r="P576" s="24"/>
      <c r="Q576" s="24"/>
      <c r="R576" s="24"/>
      <c r="S576" s="24"/>
      <c r="T576" s="24"/>
      <c r="U576" s="25"/>
      <c r="X576" s="26"/>
      <c r="Y576" s="27"/>
      <c r="Z576" s="28"/>
      <c r="AA576" s="28"/>
      <c r="AB576" s="28"/>
    </row>
    <row r="577" ht="15.75" customHeight="1">
      <c r="D577" s="21"/>
      <c r="M577" s="22"/>
      <c r="N577" s="23"/>
      <c r="O577" s="24"/>
      <c r="P577" s="24"/>
      <c r="Q577" s="24"/>
      <c r="R577" s="24"/>
      <c r="S577" s="24"/>
      <c r="T577" s="24"/>
      <c r="U577" s="25"/>
      <c r="X577" s="26"/>
      <c r="Y577" s="27"/>
      <c r="Z577" s="28"/>
      <c r="AA577" s="28"/>
      <c r="AB577" s="28"/>
    </row>
    <row r="578" ht="15.75" customHeight="1">
      <c r="D578" s="21"/>
      <c r="M578" s="22"/>
      <c r="N578" s="23"/>
      <c r="O578" s="24"/>
      <c r="P578" s="24"/>
      <c r="Q578" s="24"/>
      <c r="R578" s="24"/>
      <c r="S578" s="24"/>
      <c r="T578" s="24"/>
      <c r="U578" s="25"/>
      <c r="X578" s="26"/>
      <c r="Y578" s="27"/>
      <c r="Z578" s="28"/>
      <c r="AA578" s="28"/>
      <c r="AB578" s="28"/>
    </row>
    <row r="579" ht="15.75" customHeight="1">
      <c r="D579" s="21"/>
      <c r="M579" s="22"/>
      <c r="N579" s="23"/>
      <c r="O579" s="24"/>
      <c r="P579" s="24"/>
      <c r="Q579" s="24"/>
      <c r="R579" s="24"/>
      <c r="S579" s="24"/>
      <c r="T579" s="24"/>
      <c r="U579" s="25"/>
      <c r="X579" s="26"/>
      <c r="Y579" s="27"/>
      <c r="Z579" s="28"/>
      <c r="AA579" s="28"/>
      <c r="AB579" s="28"/>
    </row>
    <row r="580" ht="15.75" customHeight="1">
      <c r="D580" s="21"/>
      <c r="M580" s="22"/>
      <c r="N580" s="23"/>
      <c r="O580" s="24"/>
      <c r="P580" s="24"/>
      <c r="Q580" s="24"/>
      <c r="R580" s="24"/>
      <c r="S580" s="24"/>
      <c r="T580" s="24"/>
      <c r="U580" s="25"/>
      <c r="X580" s="26"/>
      <c r="Y580" s="27"/>
      <c r="Z580" s="28"/>
      <c r="AA580" s="28"/>
      <c r="AB580" s="28"/>
    </row>
    <row r="581" ht="15.75" customHeight="1">
      <c r="D581" s="21"/>
      <c r="M581" s="22"/>
      <c r="N581" s="23"/>
      <c r="O581" s="24"/>
      <c r="P581" s="24"/>
      <c r="Q581" s="24"/>
      <c r="R581" s="24"/>
      <c r="S581" s="24"/>
      <c r="T581" s="24"/>
      <c r="U581" s="25"/>
      <c r="X581" s="26"/>
      <c r="Y581" s="27"/>
      <c r="Z581" s="28"/>
      <c r="AA581" s="28"/>
      <c r="AB581" s="28"/>
    </row>
    <row r="582" ht="15.75" customHeight="1">
      <c r="D582" s="21"/>
      <c r="M582" s="22"/>
      <c r="N582" s="23"/>
      <c r="O582" s="24"/>
      <c r="P582" s="24"/>
      <c r="Q582" s="24"/>
      <c r="R582" s="24"/>
      <c r="S582" s="24"/>
      <c r="T582" s="24"/>
      <c r="U582" s="25"/>
      <c r="X582" s="26"/>
      <c r="Y582" s="27"/>
      <c r="Z582" s="28"/>
      <c r="AA582" s="28"/>
      <c r="AB582" s="28"/>
    </row>
    <row r="583" ht="15.75" customHeight="1">
      <c r="D583" s="21"/>
      <c r="M583" s="22"/>
      <c r="N583" s="23"/>
      <c r="O583" s="24"/>
      <c r="P583" s="24"/>
      <c r="Q583" s="24"/>
      <c r="R583" s="24"/>
      <c r="S583" s="24"/>
      <c r="T583" s="24"/>
      <c r="U583" s="25"/>
      <c r="X583" s="26"/>
      <c r="Y583" s="27"/>
      <c r="Z583" s="28"/>
      <c r="AA583" s="28"/>
      <c r="AB583" s="28"/>
    </row>
    <row r="584" ht="15.75" customHeight="1">
      <c r="D584" s="21"/>
      <c r="M584" s="22"/>
      <c r="N584" s="23"/>
      <c r="O584" s="24"/>
      <c r="P584" s="24"/>
      <c r="Q584" s="24"/>
      <c r="R584" s="24"/>
      <c r="S584" s="24"/>
      <c r="T584" s="24"/>
      <c r="U584" s="25"/>
      <c r="X584" s="26"/>
      <c r="Y584" s="27"/>
      <c r="Z584" s="28"/>
      <c r="AA584" s="28"/>
      <c r="AB584" s="28"/>
    </row>
    <row r="585" ht="15.75" customHeight="1">
      <c r="D585" s="21"/>
      <c r="M585" s="22"/>
      <c r="N585" s="23"/>
      <c r="O585" s="24"/>
      <c r="P585" s="24"/>
      <c r="Q585" s="24"/>
      <c r="R585" s="24"/>
      <c r="S585" s="24"/>
      <c r="T585" s="24"/>
      <c r="U585" s="25"/>
      <c r="X585" s="26"/>
      <c r="Y585" s="27"/>
      <c r="Z585" s="28"/>
      <c r="AA585" s="28"/>
      <c r="AB585" s="28"/>
    </row>
    <row r="586" ht="15.75" customHeight="1">
      <c r="D586" s="21"/>
      <c r="M586" s="22"/>
      <c r="N586" s="23"/>
      <c r="O586" s="24"/>
      <c r="P586" s="24"/>
      <c r="Q586" s="24"/>
      <c r="R586" s="24"/>
      <c r="S586" s="24"/>
      <c r="T586" s="24"/>
      <c r="U586" s="25"/>
      <c r="X586" s="26"/>
      <c r="Y586" s="27"/>
      <c r="Z586" s="28"/>
      <c r="AA586" s="28"/>
      <c r="AB586" s="28"/>
    </row>
    <row r="587" ht="15.75" customHeight="1">
      <c r="D587" s="21"/>
      <c r="M587" s="22"/>
      <c r="N587" s="23"/>
      <c r="O587" s="24"/>
      <c r="P587" s="24"/>
      <c r="Q587" s="24"/>
      <c r="R587" s="24"/>
      <c r="S587" s="24"/>
      <c r="T587" s="24"/>
      <c r="U587" s="25"/>
      <c r="X587" s="26"/>
      <c r="Y587" s="27"/>
      <c r="Z587" s="28"/>
      <c r="AA587" s="28"/>
      <c r="AB587" s="28"/>
    </row>
    <row r="588" ht="15.75" customHeight="1">
      <c r="D588" s="21"/>
      <c r="M588" s="22"/>
      <c r="N588" s="23"/>
      <c r="O588" s="24"/>
      <c r="P588" s="24"/>
      <c r="Q588" s="24"/>
      <c r="R588" s="24"/>
      <c r="S588" s="24"/>
      <c r="T588" s="24"/>
      <c r="U588" s="25"/>
      <c r="X588" s="26"/>
      <c r="Y588" s="27"/>
      <c r="Z588" s="28"/>
      <c r="AA588" s="28"/>
      <c r="AB588" s="28"/>
    </row>
    <row r="589" ht="15.75" customHeight="1">
      <c r="D589" s="21"/>
      <c r="M589" s="22"/>
      <c r="N589" s="23"/>
      <c r="O589" s="24"/>
      <c r="P589" s="24"/>
      <c r="Q589" s="24"/>
      <c r="R589" s="24"/>
      <c r="S589" s="24"/>
      <c r="T589" s="24"/>
      <c r="U589" s="25"/>
      <c r="X589" s="26"/>
      <c r="Y589" s="27"/>
      <c r="Z589" s="28"/>
      <c r="AA589" s="28"/>
      <c r="AB589" s="28"/>
    </row>
    <row r="590" ht="15.75" customHeight="1">
      <c r="D590" s="21"/>
      <c r="M590" s="22"/>
      <c r="N590" s="23"/>
      <c r="O590" s="24"/>
      <c r="P590" s="24"/>
      <c r="Q590" s="24"/>
      <c r="R590" s="24"/>
      <c r="S590" s="24"/>
      <c r="T590" s="24"/>
      <c r="U590" s="25"/>
      <c r="X590" s="26"/>
      <c r="Y590" s="27"/>
      <c r="Z590" s="28"/>
      <c r="AA590" s="28"/>
      <c r="AB590" s="28"/>
    </row>
    <row r="591" ht="15.75" customHeight="1">
      <c r="D591" s="21"/>
      <c r="M591" s="22"/>
      <c r="N591" s="23"/>
      <c r="O591" s="24"/>
      <c r="P591" s="24"/>
      <c r="Q591" s="24"/>
      <c r="R591" s="24"/>
      <c r="S591" s="24"/>
      <c r="T591" s="24"/>
      <c r="U591" s="25"/>
      <c r="X591" s="26"/>
      <c r="Y591" s="27"/>
      <c r="Z591" s="28"/>
      <c r="AA591" s="28"/>
      <c r="AB591" s="28"/>
    </row>
    <row r="592" ht="15.75" customHeight="1">
      <c r="D592" s="21"/>
      <c r="M592" s="22"/>
      <c r="N592" s="23"/>
      <c r="O592" s="24"/>
      <c r="P592" s="24"/>
      <c r="Q592" s="24"/>
      <c r="R592" s="24"/>
      <c r="S592" s="24"/>
      <c r="T592" s="24"/>
      <c r="U592" s="25"/>
      <c r="X592" s="26"/>
      <c r="Y592" s="27"/>
      <c r="Z592" s="28"/>
      <c r="AA592" s="28"/>
      <c r="AB592" s="28"/>
    </row>
    <row r="593" ht="15.75" customHeight="1">
      <c r="D593" s="21"/>
      <c r="M593" s="22"/>
      <c r="N593" s="23"/>
      <c r="O593" s="24"/>
      <c r="P593" s="24"/>
      <c r="Q593" s="24"/>
      <c r="R593" s="24"/>
      <c r="S593" s="24"/>
      <c r="T593" s="24"/>
      <c r="U593" s="25"/>
      <c r="X593" s="26"/>
      <c r="Y593" s="27"/>
      <c r="Z593" s="28"/>
      <c r="AA593" s="28"/>
      <c r="AB593" s="28"/>
    </row>
    <row r="594" ht="15.75" customHeight="1">
      <c r="D594" s="21"/>
      <c r="M594" s="22"/>
      <c r="N594" s="23"/>
      <c r="O594" s="24"/>
      <c r="P594" s="24"/>
      <c r="Q594" s="24"/>
      <c r="R594" s="24"/>
      <c r="S594" s="24"/>
      <c r="T594" s="24"/>
      <c r="U594" s="25"/>
      <c r="X594" s="26"/>
      <c r="Y594" s="27"/>
      <c r="Z594" s="28"/>
      <c r="AA594" s="28"/>
      <c r="AB594" s="28"/>
    </row>
    <row r="595" ht="15.75" customHeight="1">
      <c r="D595" s="21"/>
      <c r="M595" s="22"/>
      <c r="N595" s="23"/>
      <c r="O595" s="24"/>
      <c r="P595" s="24"/>
      <c r="Q595" s="24"/>
      <c r="R595" s="24"/>
      <c r="S595" s="24"/>
      <c r="T595" s="24"/>
      <c r="U595" s="25"/>
      <c r="X595" s="26"/>
      <c r="Y595" s="27"/>
      <c r="Z595" s="28"/>
      <c r="AA595" s="28"/>
      <c r="AB595" s="28"/>
    </row>
    <row r="596" ht="15.75" customHeight="1">
      <c r="D596" s="21"/>
      <c r="M596" s="22"/>
      <c r="N596" s="23"/>
      <c r="O596" s="24"/>
      <c r="P596" s="24"/>
      <c r="Q596" s="24"/>
      <c r="R596" s="24"/>
      <c r="S596" s="24"/>
      <c r="T596" s="24"/>
      <c r="U596" s="25"/>
      <c r="X596" s="26"/>
      <c r="Y596" s="27"/>
      <c r="Z596" s="28"/>
      <c r="AA596" s="28"/>
      <c r="AB596" s="28"/>
    </row>
    <row r="597" ht="15.75" customHeight="1">
      <c r="D597" s="21"/>
      <c r="M597" s="22"/>
      <c r="N597" s="23"/>
      <c r="O597" s="24"/>
      <c r="P597" s="24"/>
      <c r="Q597" s="24"/>
      <c r="R597" s="24"/>
      <c r="S597" s="24"/>
      <c r="T597" s="24"/>
      <c r="U597" s="25"/>
      <c r="X597" s="26"/>
      <c r="Y597" s="27"/>
      <c r="Z597" s="28"/>
      <c r="AA597" s="28"/>
      <c r="AB597" s="28"/>
    </row>
    <row r="598" ht="15.75" customHeight="1">
      <c r="D598" s="21"/>
      <c r="M598" s="22"/>
      <c r="N598" s="23"/>
      <c r="O598" s="24"/>
      <c r="P598" s="24"/>
      <c r="Q598" s="24"/>
      <c r="R598" s="24"/>
      <c r="S598" s="24"/>
      <c r="T598" s="24"/>
      <c r="U598" s="25"/>
      <c r="X598" s="26"/>
      <c r="Y598" s="27"/>
      <c r="Z598" s="28"/>
      <c r="AA598" s="28"/>
      <c r="AB598" s="28"/>
    </row>
    <row r="599" ht="15.75" customHeight="1">
      <c r="D599" s="21"/>
      <c r="M599" s="22"/>
      <c r="N599" s="23"/>
      <c r="O599" s="24"/>
      <c r="P599" s="24"/>
      <c r="Q599" s="24"/>
      <c r="R599" s="24"/>
      <c r="S599" s="24"/>
      <c r="T599" s="24"/>
      <c r="U599" s="25"/>
      <c r="X599" s="26"/>
      <c r="Y599" s="27"/>
      <c r="Z599" s="28"/>
      <c r="AA599" s="28"/>
      <c r="AB599" s="28"/>
    </row>
    <row r="600" ht="15.75" customHeight="1">
      <c r="D600" s="21"/>
      <c r="M600" s="22"/>
      <c r="N600" s="23"/>
      <c r="O600" s="24"/>
      <c r="P600" s="24"/>
      <c r="Q600" s="24"/>
      <c r="R600" s="24"/>
      <c r="S600" s="24"/>
      <c r="T600" s="24"/>
      <c r="U600" s="25"/>
      <c r="X600" s="26"/>
      <c r="Y600" s="27"/>
      <c r="Z600" s="28"/>
      <c r="AA600" s="28"/>
      <c r="AB600" s="28"/>
    </row>
    <row r="601" ht="15.75" customHeight="1">
      <c r="D601" s="21"/>
      <c r="M601" s="22"/>
      <c r="N601" s="23"/>
      <c r="O601" s="24"/>
      <c r="P601" s="24"/>
      <c r="Q601" s="24"/>
      <c r="R601" s="24"/>
      <c r="S601" s="24"/>
      <c r="T601" s="24"/>
      <c r="U601" s="25"/>
      <c r="X601" s="26"/>
      <c r="Y601" s="27"/>
      <c r="Z601" s="28"/>
      <c r="AA601" s="28"/>
      <c r="AB601" s="28"/>
    </row>
    <row r="602" ht="15.75" customHeight="1">
      <c r="D602" s="21"/>
      <c r="M602" s="22"/>
      <c r="N602" s="23"/>
      <c r="O602" s="24"/>
      <c r="P602" s="24"/>
      <c r="Q602" s="24"/>
      <c r="R602" s="24"/>
      <c r="S602" s="24"/>
      <c r="T602" s="24"/>
      <c r="U602" s="25"/>
      <c r="X602" s="26"/>
      <c r="Y602" s="27"/>
      <c r="Z602" s="28"/>
      <c r="AA602" s="28"/>
      <c r="AB602" s="28"/>
    </row>
    <row r="603" ht="15.75" customHeight="1">
      <c r="D603" s="21"/>
      <c r="M603" s="22"/>
      <c r="N603" s="23"/>
      <c r="O603" s="24"/>
      <c r="P603" s="24"/>
      <c r="Q603" s="24"/>
      <c r="R603" s="24"/>
      <c r="S603" s="24"/>
      <c r="T603" s="24"/>
      <c r="U603" s="25"/>
      <c r="X603" s="26"/>
      <c r="Y603" s="27"/>
      <c r="Z603" s="28"/>
      <c r="AA603" s="28"/>
      <c r="AB603" s="28"/>
    </row>
    <row r="604" ht="15.75" customHeight="1">
      <c r="D604" s="21"/>
      <c r="M604" s="22"/>
      <c r="N604" s="23"/>
      <c r="O604" s="24"/>
      <c r="P604" s="24"/>
      <c r="Q604" s="24"/>
      <c r="R604" s="24"/>
      <c r="S604" s="24"/>
      <c r="T604" s="24"/>
      <c r="U604" s="25"/>
      <c r="X604" s="26"/>
      <c r="Y604" s="27"/>
      <c r="Z604" s="28"/>
      <c r="AA604" s="28"/>
      <c r="AB604" s="28"/>
    </row>
    <row r="605" ht="15.75" customHeight="1">
      <c r="D605" s="21"/>
      <c r="M605" s="22"/>
      <c r="N605" s="23"/>
      <c r="O605" s="24"/>
      <c r="P605" s="24"/>
      <c r="Q605" s="24"/>
      <c r="R605" s="24"/>
      <c r="S605" s="24"/>
      <c r="T605" s="24"/>
      <c r="U605" s="25"/>
      <c r="X605" s="26"/>
      <c r="Y605" s="27"/>
      <c r="Z605" s="28"/>
      <c r="AA605" s="28"/>
      <c r="AB605" s="28"/>
    </row>
    <row r="606" ht="15.75" customHeight="1">
      <c r="D606" s="21"/>
      <c r="M606" s="22"/>
      <c r="N606" s="23"/>
      <c r="O606" s="24"/>
      <c r="P606" s="24"/>
      <c r="Q606" s="24"/>
      <c r="R606" s="24"/>
      <c r="S606" s="24"/>
      <c r="T606" s="24"/>
      <c r="U606" s="25"/>
      <c r="X606" s="26"/>
      <c r="Y606" s="27"/>
      <c r="Z606" s="28"/>
      <c r="AA606" s="28"/>
      <c r="AB606" s="28"/>
    </row>
    <row r="607" ht="15.75" customHeight="1">
      <c r="D607" s="21"/>
      <c r="M607" s="22"/>
      <c r="N607" s="23"/>
      <c r="O607" s="24"/>
      <c r="P607" s="24"/>
      <c r="Q607" s="24"/>
      <c r="R607" s="24"/>
      <c r="S607" s="24"/>
      <c r="T607" s="24"/>
      <c r="U607" s="25"/>
      <c r="X607" s="26"/>
      <c r="Y607" s="27"/>
      <c r="Z607" s="28"/>
      <c r="AA607" s="28"/>
      <c r="AB607" s="28"/>
    </row>
    <row r="608" ht="15.75" customHeight="1">
      <c r="D608" s="21"/>
      <c r="M608" s="22"/>
      <c r="N608" s="23"/>
      <c r="O608" s="24"/>
      <c r="P608" s="24"/>
      <c r="Q608" s="24"/>
      <c r="R608" s="24"/>
      <c r="S608" s="24"/>
      <c r="T608" s="24"/>
      <c r="U608" s="25"/>
      <c r="X608" s="26"/>
      <c r="Y608" s="27"/>
      <c r="Z608" s="28"/>
      <c r="AA608" s="28"/>
      <c r="AB608" s="28"/>
    </row>
    <row r="609" ht="15.75" customHeight="1">
      <c r="D609" s="21"/>
      <c r="M609" s="22"/>
      <c r="N609" s="23"/>
      <c r="O609" s="24"/>
      <c r="P609" s="24"/>
      <c r="Q609" s="24"/>
      <c r="R609" s="24"/>
      <c r="S609" s="24"/>
      <c r="T609" s="24"/>
      <c r="U609" s="25"/>
      <c r="X609" s="26"/>
      <c r="Y609" s="27"/>
      <c r="Z609" s="28"/>
      <c r="AA609" s="28"/>
      <c r="AB609" s="28"/>
    </row>
    <row r="610" ht="15.75" customHeight="1">
      <c r="D610" s="21"/>
      <c r="M610" s="22"/>
      <c r="N610" s="23"/>
      <c r="O610" s="24"/>
      <c r="P610" s="24"/>
      <c r="Q610" s="24"/>
      <c r="R610" s="24"/>
      <c r="S610" s="24"/>
      <c r="T610" s="24"/>
      <c r="U610" s="25"/>
      <c r="X610" s="26"/>
      <c r="Y610" s="27"/>
      <c r="Z610" s="28"/>
      <c r="AA610" s="28"/>
      <c r="AB610" s="28"/>
    </row>
    <row r="611" ht="15.75" customHeight="1">
      <c r="D611" s="21"/>
      <c r="M611" s="22"/>
      <c r="N611" s="23"/>
      <c r="O611" s="24"/>
      <c r="P611" s="24"/>
      <c r="Q611" s="24"/>
      <c r="R611" s="24"/>
      <c r="S611" s="24"/>
      <c r="T611" s="24"/>
      <c r="U611" s="25"/>
      <c r="X611" s="26"/>
      <c r="Y611" s="27"/>
      <c r="Z611" s="28"/>
      <c r="AA611" s="28"/>
      <c r="AB611" s="28"/>
    </row>
    <row r="612" ht="15.75" customHeight="1">
      <c r="D612" s="21"/>
      <c r="M612" s="22"/>
      <c r="N612" s="23"/>
      <c r="O612" s="24"/>
      <c r="P612" s="24"/>
      <c r="Q612" s="24"/>
      <c r="R612" s="24"/>
      <c r="S612" s="24"/>
      <c r="T612" s="24"/>
      <c r="U612" s="25"/>
      <c r="X612" s="26"/>
      <c r="Y612" s="27"/>
      <c r="Z612" s="28"/>
      <c r="AA612" s="28"/>
      <c r="AB612" s="28"/>
    </row>
    <row r="613" ht="15.75" customHeight="1">
      <c r="D613" s="21"/>
      <c r="M613" s="22"/>
      <c r="N613" s="23"/>
      <c r="O613" s="24"/>
      <c r="P613" s="24"/>
      <c r="Q613" s="24"/>
      <c r="R613" s="24"/>
      <c r="S613" s="24"/>
      <c r="T613" s="24"/>
      <c r="U613" s="25"/>
      <c r="X613" s="26"/>
      <c r="Y613" s="27"/>
      <c r="Z613" s="28"/>
      <c r="AA613" s="28"/>
      <c r="AB613" s="28"/>
    </row>
    <row r="614" ht="15.75" customHeight="1">
      <c r="D614" s="21"/>
      <c r="M614" s="22"/>
      <c r="N614" s="23"/>
      <c r="O614" s="24"/>
      <c r="P614" s="24"/>
      <c r="Q614" s="24"/>
      <c r="R614" s="24"/>
      <c r="S614" s="24"/>
      <c r="T614" s="24"/>
      <c r="U614" s="25"/>
      <c r="X614" s="26"/>
      <c r="Y614" s="27"/>
      <c r="Z614" s="28"/>
      <c r="AA614" s="28"/>
      <c r="AB614" s="28"/>
    </row>
    <row r="615" ht="15.75" customHeight="1">
      <c r="D615" s="21"/>
      <c r="M615" s="22"/>
      <c r="N615" s="23"/>
      <c r="O615" s="24"/>
      <c r="P615" s="24"/>
      <c r="Q615" s="24"/>
      <c r="R615" s="24"/>
      <c r="S615" s="24"/>
      <c r="T615" s="24"/>
      <c r="U615" s="25"/>
      <c r="X615" s="26"/>
      <c r="Y615" s="27"/>
      <c r="Z615" s="28"/>
      <c r="AA615" s="28"/>
      <c r="AB615" s="28"/>
    </row>
    <row r="616" ht="15.75" customHeight="1">
      <c r="D616" s="21"/>
      <c r="M616" s="22"/>
      <c r="N616" s="23"/>
      <c r="O616" s="24"/>
      <c r="P616" s="24"/>
      <c r="Q616" s="24"/>
      <c r="R616" s="24"/>
      <c r="S616" s="24"/>
      <c r="T616" s="24"/>
      <c r="U616" s="25"/>
      <c r="X616" s="26"/>
      <c r="Y616" s="27"/>
      <c r="Z616" s="28"/>
      <c r="AA616" s="28"/>
      <c r="AB616" s="28"/>
    </row>
    <row r="617" ht="15.75" customHeight="1">
      <c r="D617" s="21"/>
      <c r="M617" s="22"/>
      <c r="N617" s="23"/>
      <c r="O617" s="24"/>
      <c r="P617" s="24"/>
      <c r="Q617" s="24"/>
      <c r="R617" s="24"/>
      <c r="S617" s="24"/>
      <c r="T617" s="24"/>
      <c r="U617" s="25"/>
      <c r="X617" s="26"/>
      <c r="Y617" s="27"/>
      <c r="Z617" s="28"/>
      <c r="AA617" s="28"/>
      <c r="AB617" s="28"/>
    </row>
    <row r="618" ht="15.75" customHeight="1">
      <c r="D618" s="21"/>
      <c r="M618" s="22"/>
      <c r="N618" s="23"/>
      <c r="O618" s="24"/>
      <c r="P618" s="24"/>
      <c r="Q618" s="24"/>
      <c r="R618" s="24"/>
      <c r="S618" s="24"/>
      <c r="T618" s="24"/>
      <c r="U618" s="25"/>
      <c r="X618" s="26"/>
      <c r="Y618" s="27"/>
      <c r="Z618" s="28"/>
      <c r="AA618" s="28"/>
      <c r="AB618" s="28"/>
    </row>
    <row r="619" ht="15.75" customHeight="1">
      <c r="D619" s="21"/>
      <c r="M619" s="22"/>
      <c r="N619" s="23"/>
      <c r="O619" s="24"/>
      <c r="P619" s="24"/>
      <c r="Q619" s="24"/>
      <c r="R619" s="24"/>
      <c r="S619" s="24"/>
      <c r="T619" s="24"/>
      <c r="U619" s="25"/>
      <c r="X619" s="26"/>
      <c r="Y619" s="27"/>
      <c r="Z619" s="28"/>
      <c r="AA619" s="28"/>
      <c r="AB619" s="28"/>
    </row>
    <row r="620" ht="15.75" customHeight="1">
      <c r="D620" s="21"/>
      <c r="M620" s="22"/>
      <c r="N620" s="23"/>
      <c r="O620" s="24"/>
      <c r="P620" s="24"/>
      <c r="Q620" s="24"/>
      <c r="R620" s="24"/>
      <c r="S620" s="24"/>
      <c r="T620" s="24"/>
      <c r="U620" s="25"/>
      <c r="X620" s="26"/>
      <c r="Y620" s="27"/>
      <c r="Z620" s="28"/>
      <c r="AA620" s="28"/>
      <c r="AB620" s="28"/>
    </row>
    <row r="621" ht="15.75" customHeight="1">
      <c r="D621" s="21"/>
      <c r="M621" s="22"/>
      <c r="N621" s="23"/>
      <c r="O621" s="24"/>
      <c r="P621" s="24"/>
      <c r="Q621" s="24"/>
      <c r="R621" s="24"/>
      <c r="S621" s="24"/>
      <c r="T621" s="24"/>
      <c r="U621" s="25"/>
      <c r="X621" s="26"/>
      <c r="Y621" s="27"/>
      <c r="Z621" s="28"/>
      <c r="AA621" s="28"/>
      <c r="AB621" s="28"/>
    </row>
    <row r="622" ht="15.75" customHeight="1">
      <c r="D622" s="21"/>
      <c r="M622" s="22"/>
      <c r="N622" s="23"/>
      <c r="O622" s="24"/>
      <c r="P622" s="24"/>
      <c r="Q622" s="24"/>
      <c r="R622" s="24"/>
      <c r="S622" s="24"/>
      <c r="T622" s="24"/>
      <c r="U622" s="25"/>
      <c r="X622" s="26"/>
      <c r="Y622" s="27"/>
      <c r="Z622" s="28"/>
      <c r="AA622" s="28"/>
      <c r="AB622" s="28"/>
    </row>
    <row r="623" ht="15.75" customHeight="1">
      <c r="D623" s="21"/>
      <c r="M623" s="22"/>
      <c r="N623" s="23"/>
      <c r="O623" s="24"/>
      <c r="P623" s="24"/>
      <c r="Q623" s="24"/>
      <c r="R623" s="24"/>
      <c r="S623" s="24"/>
      <c r="T623" s="24"/>
      <c r="U623" s="25"/>
      <c r="X623" s="26"/>
      <c r="Y623" s="27"/>
      <c r="Z623" s="28"/>
      <c r="AA623" s="28"/>
      <c r="AB623" s="28"/>
    </row>
    <row r="624" ht="15.75" customHeight="1">
      <c r="D624" s="21"/>
      <c r="M624" s="22"/>
      <c r="N624" s="23"/>
      <c r="O624" s="24"/>
      <c r="P624" s="24"/>
      <c r="Q624" s="24"/>
      <c r="R624" s="24"/>
      <c r="S624" s="24"/>
      <c r="T624" s="24"/>
      <c r="U624" s="25"/>
      <c r="X624" s="26"/>
      <c r="Y624" s="27"/>
      <c r="Z624" s="28"/>
      <c r="AA624" s="28"/>
      <c r="AB624" s="28"/>
    </row>
    <row r="625" ht="15.75" customHeight="1">
      <c r="D625" s="21"/>
      <c r="M625" s="22"/>
      <c r="N625" s="23"/>
      <c r="O625" s="24"/>
      <c r="P625" s="24"/>
      <c r="Q625" s="24"/>
      <c r="R625" s="24"/>
      <c r="S625" s="24"/>
      <c r="T625" s="24"/>
      <c r="U625" s="25"/>
      <c r="X625" s="26"/>
      <c r="Y625" s="27"/>
      <c r="Z625" s="28"/>
      <c r="AA625" s="28"/>
      <c r="AB625" s="28"/>
    </row>
    <row r="626" ht="15.75" customHeight="1">
      <c r="D626" s="21"/>
      <c r="M626" s="22"/>
      <c r="N626" s="23"/>
      <c r="O626" s="24"/>
      <c r="P626" s="24"/>
      <c r="Q626" s="24"/>
      <c r="R626" s="24"/>
      <c r="S626" s="24"/>
      <c r="T626" s="24"/>
      <c r="U626" s="25"/>
      <c r="X626" s="26"/>
      <c r="Y626" s="27"/>
      <c r="Z626" s="28"/>
      <c r="AA626" s="28"/>
      <c r="AB626" s="28"/>
    </row>
    <row r="627" ht="15.75" customHeight="1">
      <c r="D627" s="21"/>
      <c r="M627" s="22"/>
      <c r="N627" s="23"/>
      <c r="O627" s="24"/>
      <c r="P627" s="24"/>
      <c r="Q627" s="24"/>
      <c r="R627" s="24"/>
      <c r="S627" s="24"/>
      <c r="T627" s="24"/>
      <c r="U627" s="25"/>
      <c r="X627" s="26"/>
      <c r="Y627" s="27"/>
      <c r="Z627" s="28"/>
      <c r="AA627" s="28"/>
      <c r="AB627" s="28"/>
    </row>
    <row r="628" ht="15.75" customHeight="1">
      <c r="D628" s="21"/>
      <c r="M628" s="22"/>
      <c r="N628" s="23"/>
      <c r="O628" s="24"/>
      <c r="P628" s="24"/>
      <c r="Q628" s="24"/>
      <c r="R628" s="24"/>
      <c r="S628" s="24"/>
      <c r="T628" s="24"/>
      <c r="U628" s="25"/>
      <c r="X628" s="26"/>
      <c r="Y628" s="27"/>
      <c r="Z628" s="28"/>
      <c r="AA628" s="28"/>
      <c r="AB628" s="28"/>
    </row>
    <row r="629" ht="15.75" customHeight="1">
      <c r="D629" s="21"/>
      <c r="M629" s="22"/>
      <c r="N629" s="23"/>
      <c r="O629" s="24"/>
      <c r="P629" s="24"/>
      <c r="Q629" s="24"/>
      <c r="R629" s="24"/>
      <c r="S629" s="24"/>
      <c r="T629" s="24"/>
      <c r="U629" s="25"/>
      <c r="X629" s="26"/>
      <c r="Y629" s="27"/>
      <c r="Z629" s="28"/>
      <c r="AA629" s="28"/>
      <c r="AB629" s="28"/>
    </row>
    <row r="630" ht="15.75" customHeight="1">
      <c r="D630" s="21"/>
      <c r="M630" s="22"/>
      <c r="N630" s="23"/>
      <c r="O630" s="24"/>
      <c r="P630" s="24"/>
      <c r="Q630" s="24"/>
      <c r="R630" s="24"/>
      <c r="S630" s="24"/>
      <c r="T630" s="24"/>
      <c r="U630" s="25"/>
      <c r="X630" s="26"/>
      <c r="Y630" s="27"/>
      <c r="Z630" s="28"/>
      <c r="AA630" s="28"/>
      <c r="AB630" s="28"/>
    </row>
    <row r="631" ht="15.75" customHeight="1">
      <c r="D631" s="21"/>
      <c r="M631" s="22"/>
      <c r="N631" s="23"/>
      <c r="O631" s="24"/>
      <c r="P631" s="24"/>
      <c r="Q631" s="24"/>
      <c r="R631" s="24"/>
      <c r="S631" s="24"/>
      <c r="T631" s="24"/>
      <c r="U631" s="25"/>
      <c r="X631" s="26"/>
      <c r="Y631" s="27"/>
      <c r="Z631" s="28"/>
      <c r="AA631" s="28"/>
      <c r="AB631" s="28"/>
    </row>
    <row r="632" ht="15.75" customHeight="1">
      <c r="D632" s="21"/>
      <c r="M632" s="22"/>
      <c r="N632" s="23"/>
      <c r="O632" s="24"/>
      <c r="P632" s="24"/>
      <c r="Q632" s="24"/>
      <c r="R632" s="24"/>
      <c r="S632" s="24"/>
      <c r="T632" s="24"/>
      <c r="U632" s="25"/>
      <c r="X632" s="26"/>
      <c r="Y632" s="27"/>
      <c r="Z632" s="28"/>
      <c r="AA632" s="28"/>
      <c r="AB632" s="28"/>
    </row>
    <row r="633" ht="15.75" customHeight="1">
      <c r="D633" s="21"/>
      <c r="M633" s="22"/>
      <c r="N633" s="23"/>
      <c r="O633" s="24"/>
      <c r="P633" s="24"/>
      <c r="Q633" s="24"/>
      <c r="R633" s="24"/>
      <c r="S633" s="24"/>
      <c r="T633" s="24"/>
      <c r="U633" s="25"/>
      <c r="X633" s="26"/>
      <c r="Y633" s="27"/>
      <c r="Z633" s="28"/>
      <c r="AA633" s="28"/>
      <c r="AB633" s="28"/>
    </row>
    <row r="634" ht="15.75" customHeight="1">
      <c r="D634" s="21"/>
      <c r="M634" s="22"/>
      <c r="N634" s="23"/>
      <c r="O634" s="24"/>
      <c r="P634" s="24"/>
      <c r="Q634" s="24"/>
      <c r="R634" s="24"/>
      <c r="S634" s="24"/>
      <c r="T634" s="24"/>
      <c r="U634" s="25"/>
      <c r="X634" s="26"/>
      <c r="Y634" s="27"/>
      <c r="Z634" s="28"/>
      <c r="AA634" s="28"/>
      <c r="AB634" s="28"/>
    </row>
    <row r="635" ht="15.75" customHeight="1">
      <c r="D635" s="21"/>
      <c r="M635" s="22"/>
      <c r="N635" s="23"/>
      <c r="O635" s="24"/>
      <c r="P635" s="24"/>
      <c r="Q635" s="24"/>
      <c r="R635" s="24"/>
      <c r="S635" s="24"/>
      <c r="T635" s="24"/>
      <c r="U635" s="25"/>
      <c r="X635" s="26"/>
      <c r="Y635" s="27"/>
      <c r="Z635" s="28"/>
      <c r="AA635" s="28"/>
      <c r="AB635" s="28"/>
    </row>
    <row r="636" ht="15.75" customHeight="1">
      <c r="D636" s="21"/>
      <c r="M636" s="22"/>
      <c r="N636" s="23"/>
      <c r="O636" s="24"/>
      <c r="P636" s="24"/>
      <c r="Q636" s="24"/>
      <c r="R636" s="24"/>
      <c r="S636" s="24"/>
      <c r="T636" s="24"/>
      <c r="U636" s="25"/>
      <c r="X636" s="26"/>
      <c r="Y636" s="27"/>
      <c r="Z636" s="28"/>
      <c r="AA636" s="28"/>
      <c r="AB636" s="28"/>
    </row>
    <row r="637" ht="15.75" customHeight="1">
      <c r="D637" s="21"/>
      <c r="M637" s="22"/>
      <c r="N637" s="23"/>
      <c r="O637" s="24"/>
      <c r="P637" s="24"/>
      <c r="Q637" s="24"/>
      <c r="R637" s="24"/>
      <c r="S637" s="24"/>
      <c r="T637" s="24"/>
      <c r="U637" s="25"/>
      <c r="X637" s="26"/>
      <c r="Y637" s="27"/>
      <c r="Z637" s="28"/>
      <c r="AA637" s="28"/>
      <c r="AB637" s="28"/>
    </row>
    <row r="638" ht="15.75" customHeight="1">
      <c r="D638" s="21"/>
      <c r="M638" s="22"/>
      <c r="N638" s="23"/>
      <c r="O638" s="24"/>
      <c r="P638" s="24"/>
      <c r="Q638" s="24"/>
      <c r="R638" s="24"/>
      <c r="S638" s="24"/>
      <c r="T638" s="24"/>
      <c r="U638" s="25"/>
      <c r="X638" s="26"/>
      <c r="Y638" s="27"/>
      <c r="Z638" s="28"/>
      <c r="AA638" s="28"/>
      <c r="AB638" s="28"/>
    </row>
    <row r="639" ht="15.75" customHeight="1">
      <c r="D639" s="21"/>
      <c r="M639" s="22"/>
      <c r="N639" s="23"/>
      <c r="O639" s="24"/>
      <c r="P639" s="24"/>
      <c r="Q639" s="24"/>
      <c r="R639" s="24"/>
      <c r="S639" s="24"/>
      <c r="T639" s="24"/>
      <c r="U639" s="25"/>
      <c r="X639" s="26"/>
      <c r="Y639" s="27"/>
      <c r="Z639" s="28"/>
      <c r="AA639" s="28"/>
      <c r="AB639" s="28"/>
    </row>
    <row r="640" ht="15.75" customHeight="1">
      <c r="D640" s="21"/>
      <c r="M640" s="22"/>
      <c r="N640" s="23"/>
      <c r="O640" s="24"/>
      <c r="P640" s="24"/>
      <c r="Q640" s="24"/>
      <c r="R640" s="24"/>
      <c r="S640" s="24"/>
      <c r="T640" s="24"/>
      <c r="U640" s="25"/>
      <c r="X640" s="26"/>
      <c r="Y640" s="27"/>
      <c r="Z640" s="28"/>
      <c r="AA640" s="28"/>
      <c r="AB640" s="28"/>
    </row>
    <row r="641" ht="15.75" customHeight="1">
      <c r="D641" s="21"/>
      <c r="M641" s="22"/>
      <c r="N641" s="23"/>
      <c r="O641" s="24"/>
      <c r="P641" s="24"/>
      <c r="Q641" s="24"/>
      <c r="R641" s="24"/>
      <c r="S641" s="24"/>
      <c r="T641" s="24"/>
      <c r="U641" s="25"/>
      <c r="X641" s="26"/>
      <c r="Y641" s="27"/>
      <c r="Z641" s="28"/>
      <c r="AA641" s="28"/>
      <c r="AB641" s="28"/>
    </row>
    <row r="642" ht="15.75" customHeight="1">
      <c r="D642" s="21"/>
      <c r="M642" s="22"/>
      <c r="N642" s="23"/>
      <c r="O642" s="24"/>
      <c r="P642" s="24"/>
      <c r="Q642" s="24"/>
      <c r="R642" s="24"/>
      <c r="S642" s="24"/>
      <c r="T642" s="24"/>
      <c r="U642" s="25"/>
      <c r="X642" s="26"/>
      <c r="Y642" s="27"/>
      <c r="Z642" s="28"/>
      <c r="AA642" s="28"/>
      <c r="AB642" s="28"/>
    </row>
    <row r="643" ht="15.75" customHeight="1">
      <c r="D643" s="21"/>
      <c r="M643" s="22"/>
      <c r="N643" s="23"/>
      <c r="O643" s="24"/>
      <c r="P643" s="24"/>
      <c r="Q643" s="24"/>
      <c r="R643" s="24"/>
      <c r="S643" s="24"/>
      <c r="T643" s="24"/>
      <c r="U643" s="25"/>
      <c r="X643" s="26"/>
      <c r="Y643" s="27"/>
      <c r="Z643" s="28"/>
      <c r="AA643" s="28"/>
      <c r="AB643" s="28"/>
    </row>
    <row r="644" ht="15.75" customHeight="1">
      <c r="D644" s="21"/>
      <c r="M644" s="22"/>
      <c r="N644" s="23"/>
      <c r="O644" s="24"/>
      <c r="P644" s="24"/>
      <c r="Q644" s="24"/>
      <c r="R644" s="24"/>
      <c r="S644" s="24"/>
      <c r="T644" s="24"/>
      <c r="U644" s="25"/>
      <c r="X644" s="26"/>
      <c r="Y644" s="27"/>
      <c r="Z644" s="28"/>
      <c r="AA644" s="28"/>
      <c r="AB644" s="28"/>
    </row>
    <row r="645" ht="15.75" customHeight="1">
      <c r="D645" s="21"/>
      <c r="M645" s="22"/>
      <c r="N645" s="23"/>
      <c r="O645" s="24"/>
      <c r="P645" s="24"/>
      <c r="Q645" s="24"/>
      <c r="R645" s="24"/>
      <c r="S645" s="24"/>
      <c r="T645" s="24"/>
      <c r="U645" s="25"/>
      <c r="X645" s="26"/>
      <c r="Y645" s="27"/>
      <c r="Z645" s="28"/>
      <c r="AA645" s="28"/>
      <c r="AB645" s="28"/>
    </row>
    <row r="646" ht="15.75" customHeight="1">
      <c r="D646" s="21"/>
      <c r="M646" s="22"/>
      <c r="N646" s="23"/>
      <c r="O646" s="24"/>
      <c r="P646" s="24"/>
      <c r="Q646" s="24"/>
      <c r="R646" s="24"/>
      <c r="S646" s="24"/>
      <c r="T646" s="24"/>
      <c r="U646" s="25"/>
      <c r="X646" s="26"/>
      <c r="Y646" s="27"/>
      <c r="Z646" s="28"/>
      <c r="AA646" s="28"/>
      <c r="AB646" s="28"/>
    </row>
    <row r="647" ht="15.75" customHeight="1">
      <c r="D647" s="21"/>
      <c r="M647" s="22"/>
      <c r="N647" s="23"/>
      <c r="O647" s="24"/>
      <c r="P647" s="24"/>
      <c r="Q647" s="24"/>
      <c r="R647" s="24"/>
      <c r="S647" s="24"/>
      <c r="T647" s="24"/>
      <c r="U647" s="25"/>
      <c r="X647" s="26"/>
      <c r="Y647" s="27"/>
      <c r="Z647" s="28"/>
      <c r="AA647" s="28"/>
      <c r="AB647" s="28"/>
    </row>
    <row r="648" ht="15.75" customHeight="1">
      <c r="D648" s="21"/>
      <c r="M648" s="22"/>
      <c r="N648" s="23"/>
      <c r="O648" s="24"/>
      <c r="P648" s="24"/>
      <c r="Q648" s="24"/>
      <c r="R648" s="24"/>
      <c r="S648" s="24"/>
      <c r="T648" s="24"/>
      <c r="U648" s="25"/>
      <c r="X648" s="26"/>
      <c r="Y648" s="27"/>
      <c r="Z648" s="28"/>
      <c r="AA648" s="28"/>
      <c r="AB648" s="28"/>
    </row>
    <row r="649" ht="15.75" customHeight="1">
      <c r="D649" s="21"/>
      <c r="M649" s="22"/>
      <c r="N649" s="23"/>
      <c r="O649" s="24"/>
      <c r="P649" s="24"/>
      <c r="Q649" s="24"/>
      <c r="R649" s="24"/>
      <c r="S649" s="24"/>
      <c r="T649" s="24"/>
      <c r="U649" s="25"/>
      <c r="X649" s="26"/>
      <c r="Y649" s="27"/>
      <c r="Z649" s="28"/>
      <c r="AA649" s="28"/>
      <c r="AB649" s="28"/>
    </row>
    <row r="650" ht="15.75" customHeight="1">
      <c r="D650" s="21"/>
      <c r="M650" s="22"/>
      <c r="N650" s="23"/>
      <c r="O650" s="24"/>
      <c r="P650" s="24"/>
      <c r="Q650" s="24"/>
      <c r="R650" s="24"/>
      <c r="S650" s="24"/>
      <c r="T650" s="24"/>
      <c r="U650" s="25"/>
      <c r="X650" s="26"/>
      <c r="Y650" s="27"/>
      <c r="Z650" s="28"/>
      <c r="AA650" s="28"/>
      <c r="AB650" s="28"/>
    </row>
    <row r="651" ht="15.75" customHeight="1">
      <c r="D651" s="21"/>
      <c r="M651" s="22"/>
      <c r="N651" s="23"/>
      <c r="O651" s="24"/>
      <c r="P651" s="24"/>
      <c r="Q651" s="24"/>
      <c r="R651" s="24"/>
      <c r="S651" s="24"/>
      <c r="T651" s="24"/>
      <c r="U651" s="25"/>
      <c r="X651" s="26"/>
      <c r="Y651" s="27"/>
      <c r="Z651" s="28"/>
      <c r="AA651" s="28"/>
      <c r="AB651" s="28"/>
    </row>
    <row r="652" ht="15.75" customHeight="1">
      <c r="D652" s="21"/>
      <c r="M652" s="22"/>
      <c r="N652" s="23"/>
      <c r="O652" s="24"/>
      <c r="P652" s="24"/>
      <c r="Q652" s="24"/>
      <c r="R652" s="24"/>
      <c r="S652" s="24"/>
      <c r="T652" s="24"/>
      <c r="U652" s="25"/>
      <c r="X652" s="26"/>
      <c r="Y652" s="27"/>
      <c r="Z652" s="28"/>
      <c r="AA652" s="28"/>
      <c r="AB652" s="28"/>
    </row>
    <row r="653" ht="15.75" customHeight="1">
      <c r="D653" s="21"/>
      <c r="M653" s="22"/>
      <c r="N653" s="23"/>
      <c r="O653" s="24"/>
      <c r="P653" s="24"/>
      <c r="Q653" s="24"/>
      <c r="R653" s="24"/>
      <c r="S653" s="24"/>
      <c r="T653" s="24"/>
      <c r="U653" s="25"/>
      <c r="X653" s="26"/>
      <c r="Y653" s="27"/>
      <c r="Z653" s="28"/>
      <c r="AA653" s="28"/>
      <c r="AB653" s="28"/>
    </row>
    <row r="654" ht="15.75" customHeight="1">
      <c r="D654" s="21"/>
      <c r="M654" s="22"/>
      <c r="N654" s="23"/>
      <c r="O654" s="24"/>
      <c r="P654" s="24"/>
      <c r="Q654" s="24"/>
      <c r="R654" s="24"/>
      <c r="S654" s="24"/>
      <c r="T654" s="24"/>
      <c r="U654" s="25"/>
      <c r="X654" s="26"/>
      <c r="Y654" s="27"/>
      <c r="Z654" s="28"/>
      <c r="AA654" s="28"/>
      <c r="AB654" s="28"/>
    </row>
    <row r="655" ht="15.75" customHeight="1">
      <c r="D655" s="21"/>
      <c r="M655" s="22"/>
      <c r="N655" s="23"/>
      <c r="O655" s="24"/>
      <c r="P655" s="24"/>
      <c r="Q655" s="24"/>
      <c r="R655" s="24"/>
      <c r="S655" s="24"/>
      <c r="T655" s="24"/>
      <c r="U655" s="25"/>
      <c r="X655" s="26"/>
      <c r="Y655" s="27"/>
      <c r="Z655" s="28"/>
      <c r="AA655" s="28"/>
      <c r="AB655" s="28"/>
    </row>
    <row r="656" ht="15.75" customHeight="1">
      <c r="D656" s="21"/>
      <c r="M656" s="22"/>
      <c r="N656" s="23"/>
      <c r="O656" s="24"/>
      <c r="P656" s="24"/>
      <c r="Q656" s="24"/>
      <c r="R656" s="24"/>
      <c r="S656" s="24"/>
      <c r="T656" s="24"/>
      <c r="U656" s="25"/>
      <c r="X656" s="26"/>
      <c r="Y656" s="27"/>
      <c r="Z656" s="28"/>
      <c r="AA656" s="28"/>
      <c r="AB656" s="28"/>
    </row>
    <row r="657" ht="15.75" customHeight="1">
      <c r="D657" s="21"/>
      <c r="M657" s="22"/>
      <c r="N657" s="23"/>
      <c r="O657" s="24"/>
      <c r="P657" s="24"/>
      <c r="Q657" s="24"/>
      <c r="R657" s="24"/>
      <c r="S657" s="24"/>
      <c r="T657" s="24"/>
      <c r="U657" s="25"/>
      <c r="X657" s="26"/>
      <c r="Y657" s="27"/>
      <c r="Z657" s="28"/>
      <c r="AA657" s="28"/>
      <c r="AB657" s="28"/>
    </row>
    <row r="658" ht="15.75" customHeight="1">
      <c r="D658" s="21"/>
      <c r="M658" s="22"/>
      <c r="N658" s="23"/>
      <c r="O658" s="24"/>
      <c r="P658" s="24"/>
      <c r="Q658" s="24"/>
      <c r="R658" s="24"/>
      <c r="S658" s="24"/>
      <c r="T658" s="24"/>
      <c r="U658" s="25"/>
      <c r="X658" s="26"/>
      <c r="Y658" s="27"/>
      <c r="Z658" s="28"/>
      <c r="AA658" s="28"/>
      <c r="AB658" s="28"/>
    </row>
    <row r="659" ht="15.75" customHeight="1">
      <c r="D659" s="21"/>
      <c r="M659" s="22"/>
      <c r="N659" s="23"/>
      <c r="O659" s="24"/>
      <c r="P659" s="24"/>
      <c r="Q659" s="24"/>
      <c r="R659" s="24"/>
      <c r="S659" s="24"/>
      <c r="T659" s="24"/>
      <c r="U659" s="25"/>
      <c r="X659" s="26"/>
      <c r="Y659" s="27"/>
      <c r="Z659" s="28"/>
      <c r="AA659" s="28"/>
      <c r="AB659" s="28"/>
    </row>
    <row r="660" ht="15.75" customHeight="1">
      <c r="D660" s="21"/>
      <c r="M660" s="22"/>
      <c r="N660" s="23"/>
      <c r="O660" s="24"/>
      <c r="P660" s="24"/>
      <c r="Q660" s="24"/>
      <c r="R660" s="24"/>
      <c r="S660" s="24"/>
      <c r="T660" s="24"/>
      <c r="U660" s="25"/>
      <c r="X660" s="26"/>
      <c r="Y660" s="27"/>
      <c r="Z660" s="28"/>
      <c r="AA660" s="28"/>
      <c r="AB660" s="28"/>
    </row>
    <row r="661" ht="15.75" customHeight="1">
      <c r="D661" s="21"/>
      <c r="M661" s="22"/>
      <c r="N661" s="23"/>
      <c r="O661" s="24"/>
      <c r="P661" s="24"/>
      <c r="Q661" s="24"/>
      <c r="R661" s="24"/>
      <c r="S661" s="24"/>
      <c r="T661" s="24"/>
      <c r="U661" s="25"/>
      <c r="X661" s="26"/>
      <c r="Y661" s="27"/>
      <c r="Z661" s="28"/>
      <c r="AA661" s="28"/>
      <c r="AB661" s="28"/>
    </row>
    <row r="662" ht="15.75" customHeight="1">
      <c r="D662" s="21"/>
      <c r="M662" s="22"/>
      <c r="N662" s="23"/>
      <c r="O662" s="24"/>
      <c r="P662" s="24"/>
      <c r="Q662" s="24"/>
      <c r="R662" s="24"/>
      <c r="S662" s="24"/>
      <c r="T662" s="24"/>
      <c r="U662" s="25"/>
      <c r="X662" s="26"/>
      <c r="Y662" s="27"/>
      <c r="Z662" s="28"/>
      <c r="AA662" s="28"/>
      <c r="AB662" s="28"/>
    </row>
    <row r="663" ht="15.75" customHeight="1">
      <c r="D663" s="21"/>
      <c r="M663" s="22"/>
      <c r="N663" s="23"/>
      <c r="O663" s="24"/>
      <c r="P663" s="24"/>
      <c r="Q663" s="24"/>
      <c r="R663" s="24"/>
      <c r="S663" s="24"/>
      <c r="T663" s="24"/>
      <c r="U663" s="25"/>
      <c r="X663" s="26"/>
      <c r="Y663" s="27"/>
      <c r="Z663" s="28"/>
      <c r="AA663" s="28"/>
      <c r="AB663" s="28"/>
    </row>
    <row r="664" ht="15.75" customHeight="1">
      <c r="D664" s="21"/>
      <c r="M664" s="22"/>
      <c r="N664" s="23"/>
      <c r="O664" s="24"/>
      <c r="P664" s="24"/>
      <c r="Q664" s="24"/>
      <c r="R664" s="24"/>
      <c r="S664" s="24"/>
      <c r="T664" s="24"/>
      <c r="U664" s="25"/>
      <c r="X664" s="26"/>
      <c r="Y664" s="27"/>
      <c r="Z664" s="28"/>
      <c r="AA664" s="28"/>
      <c r="AB664" s="28"/>
    </row>
    <row r="665" ht="15.75" customHeight="1">
      <c r="D665" s="21"/>
      <c r="M665" s="22"/>
      <c r="N665" s="23"/>
      <c r="O665" s="24"/>
      <c r="P665" s="24"/>
      <c r="Q665" s="24"/>
      <c r="R665" s="24"/>
      <c r="S665" s="24"/>
      <c r="T665" s="24"/>
      <c r="U665" s="25"/>
      <c r="X665" s="26"/>
      <c r="Y665" s="27"/>
      <c r="Z665" s="28"/>
      <c r="AA665" s="28"/>
      <c r="AB665" s="28"/>
    </row>
    <row r="666" ht="15.75" customHeight="1">
      <c r="D666" s="21"/>
      <c r="M666" s="22"/>
      <c r="N666" s="23"/>
      <c r="O666" s="24"/>
      <c r="P666" s="24"/>
      <c r="Q666" s="24"/>
      <c r="R666" s="24"/>
      <c r="S666" s="24"/>
      <c r="T666" s="24"/>
      <c r="U666" s="25"/>
      <c r="X666" s="26"/>
      <c r="Y666" s="27"/>
      <c r="Z666" s="28"/>
      <c r="AA666" s="28"/>
      <c r="AB666" s="28"/>
    </row>
    <row r="667" ht="15.75" customHeight="1">
      <c r="D667" s="21"/>
      <c r="M667" s="22"/>
      <c r="N667" s="23"/>
      <c r="O667" s="24"/>
      <c r="P667" s="24"/>
      <c r="Q667" s="24"/>
      <c r="R667" s="24"/>
      <c r="S667" s="24"/>
      <c r="T667" s="24"/>
      <c r="U667" s="25"/>
      <c r="X667" s="26"/>
      <c r="Y667" s="27"/>
      <c r="Z667" s="28"/>
      <c r="AA667" s="28"/>
      <c r="AB667" s="28"/>
    </row>
    <row r="668" ht="15.75" customHeight="1">
      <c r="D668" s="21"/>
      <c r="M668" s="22"/>
      <c r="N668" s="23"/>
      <c r="O668" s="24"/>
      <c r="P668" s="24"/>
      <c r="Q668" s="24"/>
      <c r="R668" s="24"/>
      <c r="S668" s="24"/>
      <c r="T668" s="24"/>
      <c r="U668" s="25"/>
      <c r="X668" s="26"/>
      <c r="Y668" s="27"/>
      <c r="Z668" s="28"/>
      <c r="AA668" s="28"/>
      <c r="AB668" s="28"/>
    </row>
    <row r="669" ht="15.75" customHeight="1">
      <c r="D669" s="21"/>
      <c r="M669" s="22"/>
      <c r="N669" s="23"/>
      <c r="O669" s="24"/>
      <c r="P669" s="24"/>
      <c r="Q669" s="24"/>
      <c r="R669" s="24"/>
      <c r="S669" s="24"/>
      <c r="T669" s="24"/>
      <c r="U669" s="25"/>
      <c r="X669" s="26"/>
      <c r="Y669" s="27"/>
      <c r="Z669" s="28"/>
      <c r="AA669" s="28"/>
      <c r="AB669" s="28"/>
    </row>
    <row r="670" ht="15.75" customHeight="1">
      <c r="D670" s="21"/>
      <c r="M670" s="22"/>
      <c r="N670" s="23"/>
      <c r="O670" s="24"/>
      <c r="P670" s="24"/>
      <c r="Q670" s="24"/>
      <c r="R670" s="24"/>
      <c r="S670" s="24"/>
      <c r="T670" s="24"/>
      <c r="U670" s="25"/>
      <c r="X670" s="26"/>
      <c r="Y670" s="27"/>
      <c r="Z670" s="28"/>
      <c r="AA670" s="28"/>
      <c r="AB670" s="28"/>
    </row>
    <row r="671" ht="15.75" customHeight="1">
      <c r="D671" s="21"/>
      <c r="M671" s="22"/>
      <c r="N671" s="23"/>
      <c r="O671" s="24"/>
      <c r="P671" s="24"/>
      <c r="Q671" s="24"/>
      <c r="R671" s="24"/>
      <c r="S671" s="24"/>
      <c r="T671" s="24"/>
      <c r="U671" s="25"/>
      <c r="X671" s="26"/>
      <c r="Y671" s="27"/>
      <c r="Z671" s="28"/>
      <c r="AA671" s="28"/>
      <c r="AB671" s="28"/>
    </row>
    <row r="672" ht="15.75" customHeight="1">
      <c r="D672" s="21"/>
      <c r="M672" s="22"/>
      <c r="N672" s="23"/>
      <c r="O672" s="24"/>
      <c r="P672" s="24"/>
      <c r="Q672" s="24"/>
      <c r="R672" s="24"/>
      <c r="S672" s="24"/>
      <c r="T672" s="24"/>
      <c r="U672" s="25"/>
      <c r="X672" s="26"/>
      <c r="Y672" s="27"/>
      <c r="Z672" s="28"/>
      <c r="AA672" s="28"/>
      <c r="AB672" s="28"/>
    </row>
    <row r="673" ht="15.75" customHeight="1">
      <c r="D673" s="21"/>
      <c r="M673" s="22"/>
      <c r="N673" s="23"/>
      <c r="O673" s="24"/>
      <c r="P673" s="24"/>
      <c r="Q673" s="24"/>
      <c r="R673" s="24"/>
      <c r="S673" s="24"/>
      <c r="T673" s="24"/>
      <c r="U673" s="25"/>
      <c r="X673" s="26"/>
      <c r="Y673" s="27"/>
      <c r="Z673" s="28"/>
      <c r="AA673" s="28"/>
      <c r="AB673" s="28"/>
    </row>
    <row r="674" ht="15.75" customHeight="1">
      <c r="D674" s="21"/>
      <c r="M674" s="22"/>
      <c r="N674" s="23"/>
      <c r="O674" s="24"/>
      <c r="P674" s="24"/>
      <c r="Q674" s="24"/>
      <c r="R674" s="24"/>
      <c r="S674" s="24"/>
      <c r="T674" s="24"/>
      <c r="U674" s="25"/>
      <c r="X674" s="26"/>
      <c r="Y674" s="27"/>
      <c r="Z674" s="28"/>
      <c r="AA674" s="28"/>
      <c r="AB674" s="28"/>
    </row>
    <row r="675" ht="15.75" customHeight="1">
      <c r="D675" s="21"/>
      <c r="M675" s="22"/>
      <c r="N675" s="23"/>
      <c r="O675" s="24"/>
      <c r="P675" s="24"/>
      <c r="Q675" s="24"/>
      <c r="R675" s="24"/>
      <c r="S675" s="24"/>
      <c r="T675" s="24"/>
      <c r="U675" s="25"/>
      <c r="X675" s="26"/>
      <c r="Y675" s="27"/>
      <c r="Z675" s="28"/>
      <c r="AA675" s="28"/>
      <c r="AB675" s="28"/>
    </row>
    <row r="676" ht="15.75" customHeight="1">
      <c r="D676" s="21"/>
      <c r="M676" s="22"/>
      <c r="N676" s="23"/>
      <c r="O676" s="24"/>
      <c r="P676" s="24"/>
      <c r="Q676" s="24"/>
      <c r="R676" s="24"/>
      <c r="S676" s="24"/>
      <c r="T676" s="24"/>
      <c r="U676" s="25"/>
      <c r="X676" s="26"/>
      <c r="Y676" s="27"/>
      <c r="Z676" s="28"/>
      <c r="AA676" s="28"/>
      <c r="AB676" s="28"/>
    </row>
    <row r="677" ht="15.75" customHeight="1">
      <c r="D677" s="21"/>
      <c r="M677" s="22"/>
      <c r="N677" s="23"/>
      <c r="O677" s="24"/>
      <c r="P677" s="24"/>
      <c r="Q677" s="24"/>
      <c r="R677" s="24"/>
      <c r="S677" s="24"/>
      <c r="T677" s="24"/>
      <c r="U677" s="25"/>
      <c r="X677" s="26"/>
      <c r="Y677" s="27"/>
      <c r="Z677" s="28"/>
      <c r="AA677" s="28"/>
      <c r="AB677" s="28"/>
    </row>
    <row r="678" ht="15.75" customHeight="1">
      <c r="D678" s="21"/>
      <c r="M678" s="22"/>
      <c r="N678" s="23"/>
      <c r="O678" s="24"/>
      <c r="P678" s="24"/>
      <c r="Q678" s="24"/>
      <c r="R678" s="24"/>
      <c r="S678" s="24"/>
      <c r="T678" s="24"/>
      <c r="U678" s="25"/>
      <c r="X678" s="26"/>
      <c r="Y678" s="27"/>
      <c r="Z678" s="28"/>
      <c r="AA678" s="28"/>
      <c r="AB678" s="28"/>
    </row>
    <row r="679" ht="15.75" customHeight="1">
      <c r="D679" s="21"/>
      <c r="M679" s="22"/>
      <c r="N679" s="23"/>
      <c r="O679" s="24"/>
      <c r="P679" s="24"/>
      <c r="Q679" s="24"/>
      <c r="R679" s="24"/>
      <c r="S679" s="24"/>
      <c r="T679" s="24"/>
      <c r="U679" s="25"/>
      <c r="X679" s="26"/>
      <c r="Y679" s="27"/>
      <c r="Z679" s="28"/>
      <c r="AA679" s="28"/>
      <c r="AB679" s="28"/>
    </row>
    <row r="680" ht="15.75" customHeight="1">
      <c r="D680" s="21"/>
      <c r="M680" s="22"/>
      <c r="N680" s="23"/>
      <c r="O680" s="24"/>
      <c r="P680" s="24"/>
      <c r="Q680" s="24"/>
      <c r="R680" s="24"/>
      <c r="S680" s="24"/>
      <c r="T680" s="24"/>
      <c r="U680" s="25"/>
      <c r="X680" s="26"/>
      <c r="Y680" s="27"/>
      <c r="Z680" s="28"/>
      <c r="AA680" s="28"/>
      <c r="AB680" s="28"/>
    </row>
    <row r="681" ht="15.75" customHeight="1">
      <c r="D681" s="21"/>
      <c r="M681" s="22"/>
      <c r="N681" s="23"/>
      <c r="O681" s="24"/>
      <c r="P681" s="24"/>
      <c r="Q681" s="24"/>
      <c r="R681" s="24"/>
      <c r="S681" s="24"/>
      <c r="T681" s="24"/>
      <c r="U681" s="25"/>
      <c r="X681" s="26"/>
      <c r="Y681" s="27"/>
      <c r="Z681" s="28"/>
      <c r="AA681" s="28"/>
      <c r="AB681" s="28"/>
    </row>
    <row r="682" ht="15.75" customHeight="1">
      <c r="D682" s="21"/>
      <c r="M682" s="22"/>
      <c r="N682" s="23"/>
      <c r="O682" s="24"/>
      <c r="P682" s="24"/>
      <c r="Q682" s="24"/>
      <c r="R682" s="24"/>
      <c r="S682" s="24"/>
      <c r="T682" s="24"/>
      <c r="U682" s="25"/>
      <c r="X682" s="26"/>
      <c r="Y682" s="27"/>
      <c r="Z682" s="28"/>
      <c r="AA682" s="28"/>
      <c r="AB682" s="28"/>
    </row>
    <row r="683" ht="15.75" customHeight="1">
      <c r="D683" s="21"/>
      <c r="M683" s="22"/>
      <c r="N683" s="23"/>
      <c r="O683" s="24"/>
      <c r="P683" s="24"/>
      <c r="Q683" s="24"/>
      <c r="R683" s="24"/>
      <c r="S683" s="24"/>
      <c r="T683" s="24"/>
      <c r="U683" s="25"/>
      <c r="X683" s="26"/>
      <c r="Y683" s="27"/>
      <c r="Z683" s="28"/>
      <c r="AA683" s="28"/>
      <c r="AB683" s="28"/>
    </row>
    <row r="684" ht="15.75" customHeight="1">
      <c r="D684" s="21"/>
      <c r="M684" s="22"/>
      <c r="N684" s="23"/>
      <c r="O684" s="24"/>
      <c r="P684" s="24"/>
      <c r="Q684" s="24"/>
      <c r="R684" s="24"/>
      <c r="S684" s="24"/>
      <c r="T684" s="24"/>
      <c r="U684" s="25"/>
      <c r="X684" s="26"/>
      <c r="Y684" s="27"/>
      <c r="Z684" s="28"/>
      <c r="AA684" s="28"/>
      <c r="AB684" s="28"/>
    </row>
    <row r="685" ht="15.75" customHeight="1">
      <c r="D685" s="21"/>
      <c r="M685" s="22"/>
      <c r="N685" s="23"/>
      <c r="O685" s="24"/>
      <c r="P685" s="24"/>
      <c r="Q685" s="24"/>
      <c r="R685" s="24"/>
      <c r="S685" s="24"/>
      <c r="T685" s="24"/>
      <c r="U685" s="25"/>
      <c r="X685" s="26"/>
      <c r="Y685" s="27"/>
      <c r="Z685" s="28"/>
      <c r="AA685" s="28"/>
      <c r="AB685" s="28"/>
    </row>
    <row r="686" ht="15.75" customHeight="1">
      <c r="D686" s="21"/>
      <c r="M686" s="22"/>
      <c r="N686" s="23"/>
      <c r="O686" s="24"/>
      <c r="P686" s="24"/>
      <c r="Q686" s="24"/>
      <c r="R686" s="24"/>
      <c r="S686" s="24"/>
      <c r="T686" s="24"/>
      <c r="U686" s="25"/>
      <c r="X686" s="26"/>
      <c r="Y686" s="27"/>
      <c r="Z686" s="28"/>
      <c r="AA686" s="28"/>
      <c r="AB686" s="28"/>
    </row>
    <row r="687" ht="15.75" customHeight="1">
      <c r="D687" s="21"/>
      <c r="M687" s="22"/>
      <c r="N687" s="23"/>
      <c r="O687" s="24"/>
      <c r="P687" s="24"/>
      <c r="Q687" s="24"/>
      <c r="R687" s="24"/>
      <c r="S687" s="24"/>
      <c r="T687" s="24"/>
      <c r="U687" s="25"/>
      <c r="X687" s="26"/>
      <c r="Y687" s="27"/>
      <c r="Z687" s="28"/>
      <c r="AA687" s="28"/>
      <c r="AB687" s="28"/>
    </row>
    <row r="688" ht="15.75" customHeight="1">
      <c r="D688" s="21"/>
      <c r="M688" s="22"/>
      <c r="N688" s="23"/>
      <c r="O688" s="24"/>
      <c r="P688" s="24"/>
      <c r="Q688" s="24"/>
      <c r="R688" s="24"/>
      <c r="S688" s="24"/>
      <c r="T688" s="24"/>
      <c r="U688" s="25"/>
      <c r="X688" s="26"/>
      <c r="Y688" s="27"/>
      <c r="Z688" s="28"/>
      <c r="AA688" s="28"/>
      <c r="AB688" s="28"/>
    </row>
    <row r="689" ht="15.75" customHeight="1">
      <c r="D689" s="21"/>
      <c r="M689" s="22"/>
      <c r="N689" s="23"/>
      <c r="O689" s="24"/>
      <c r="P689" s="24"/>
      <c r="Q689" s="24"/>
      <c r="R689" s="24"/>
      <c r="S689" s="24"/>
      <c r="T689" s="24"/>
      <c r="U689" s="25"/>
      <c r="X689" s="26"/>
      <c r="Y689" s="27"/>
      <c r="Z689" s="28"/>
      <c r="AA689" s="28"/>
      <c r="AB689" s="28"/>
    </row>
    <row r="690" ht="15.75" customHeight="1">
      <c r="D690" s="21"/>
      <c r="M690" s="22"/>
      <c r="N690" s="23"/>
      <c r="O690" s="24"/>
      <c r="P690" s="24"/>
      <c r="Q690" s="24"/>
      <c r="R690" s="24"/>
      <c r="S690" s="24"/>
      <c r="T690" s="24"/>
      <c r="U690" s="25"/>
      <c r="X690" s="26"/>
      <c r="Y690" s="27"/>
      <c r="Z690" s="28"/>
      <c r="AA690" s="28"/>
      <c r="AB690" s="28"/>
    </row>
    <row r="691" ht="15.75" customHeight="1">
      <c r="D691" s="21"/>
      <c r="M691" s="22"/>
      <c r="N691" s="23"/>
      <c r="O691" s="24"/>
      <c r="P691" s="24"/>
      <c r="Q691" s="24"/>
      <c r="R691" s="24"/>
      <c r="S691" s="24"/>
      <c r="T691" s="24"/>
      <c r="U691" s="25"/>
      <c r="X691" s="26"/>
      <c r="Y691" s="27"/>
      <c r="Z691" s="28"/>
      <c r="AA691" s="28"/>
      <c r="AB691" s="28"/>
    </row>
    <row r="692" ht="15.75" customHeight="1">
      <c r="D692" s="21"/>
      <c r="M692" s="22"/>
      <c r="N692" s="23"/>
      <c r="O692" s="24"/>
      <c r="P692" s="24"/>
      <c r="Q692" s="24"/>
      <c r="R692" s="24"/>
      <c r="S692" s="24"/>
      <c r="T692" s="24"/>
      <c r="U692" s="25"/>
      <c r="X692" s="26"/>
      <c r="Y692" s="27"/>
      <c r="Z692" s="28"/>
      <c r="AA692" s="28"/>
      <c r="AB692" s="28"/>
    </row>
    <row r="693" ht="15.75" customHeight="1">
      <c r="D693" s="21"/>
      <c r="M693" s="22"/>
      <c r="N693" s="23"/>
      <c r="O693" s="24"/>
      <c r="P693" s="24"/>
      <c r="Q693" s="24"/>
      <c r="R693" s="24"/>
      <c r="S693" s="24"/>
      <c r="T693" s="24"/>
      <c r="U693" s="25"/>
      <c r="X693" s="26"/>
      <c r="Y693" s="27"/>
      <c r="Z693" s="28"/>
      <c r="AA693" s="28"/>
      <c r="AB693" s="28"/>
    </row>
    <row r="694" ht="15.75" customHeight="1">
      <c r="D694" s="21"/>
      <c r="M694" s="22"/>
      <c r="N694" s="23"/>
      <c r="O694" s="24"/>
      <c r="P694" s="24"/>
      <c r="Q694" s="24"/>
      <c r="R694" s="24"/>
      <c r="S694" s="24"/>
      <c r="T694" s="24"/>
      <c r="U694" s="25"/>
      <c r="X694" s="26"/>
      <c r="Y694" s="27"/>
      <c r="Z694" s="28"/>
      <c r="AA694" s="28"/>
      <c r="AB694" s="28"/>
    </row>
    <row r="695" ht="15.75" customHeight="1">
      <c r="D695" s="21"/>
      <c r="M695" s="22"/>
      <c r="N695" s="23"/>
      <c r="O695" s="24"/>
      <c r="P695" s="24"/>
      <c r="Q695" s="24"/>
      <c r="R695" s="24"/>
      <c r="S695" s="24"/>
      <c r="T695" s="24"/>
      <c r="U695" s="25"/>
      <c r="X695" s="26"/>
      <c r="Y695" s="27"/>
      <c r="Z695" s="28"/>
      <c r="AA695" s="28"/>
      <c r="AB695" s="28"/>
    </row>
    <row r="696" ht="15.75" customHeight="1">
      <c r="D696" s="21"/>
      <c r="M696" s="22"/>
      <c r="N696" s="23"/>
      <c r="O696" s="24"/>
      <c r="P696" s="24"/>
      <c r="Q696" s="24"/>
      <c r="R696" s="24"/>
      <c r="S696" s="24"/>
      <c r="T696" s="24"/>
      <c r="U696" s="25"/>
      <c r="X696" s="26"/>
      <c r="Y696" s="27"/>
      <c r="Z696" s="28"/>
      <c r="AA696" s="28"/>
      <c r="AB696" s="28"/>
    </row>
    <row r="697" ht="15.75" customHeight="1">
      <c r="D697" s="21"/>
      <c r="M697" s="22"/>
      <c r="N697" s="23"/>
      <c r="O697" s="24"/>
      <c r="P697" s="24"/>
      <c r="Q697" s="24"/>
      <c r="R697" s="24"/>
      <c r="S697" s="24"/>
      <c r="T697" s="24"/>
      <c r="U697" s="25"/>
      <c r="X697" s="26"/>
      <c r="Y697" s="27"/>
      <c r="Z697" s="28"/>
      <c r="AA697" s="28"/>
      <c r="AB697" s="28"/>
    </row>
    <row r="698" ht="15.75" customHeight="1">
      <c r="D698" s="21"/>
      <c r="M698" s="22"/>
      <c r="N698" s="23"/>
      <c r="O698" s="24"/>
      <c r="P698" s="24"/>
      <c r="Q698" s="24"/>
      <c r="R698" s="24"/>
      <c r="S698" s="24"/>
      <c r="T698" s="24"/>
      <c r="U698" s="25"/>
      <c r="X698" s="26"/>
      <c r="Y698" s="27"/>
      <c r="Z698" s="28"/>
      <c r="AA698" s="28"/>
      <c r="AB698" s="28"/>
    </row>
    <row r="699" ht="15.75" customHeight="1">
      <c r="D699" s="21"/>
      <c r="M699" s="22"/>
      <c r="N699" s="23"/>
      <c r="O699" s="24"/>
      <c r="P699" s="24"/>
      <c r="Q699" s="24"/>
      <c r="R699" s="24"/>
      <c r="S699" s="24"/>
      <c r="T699" s="24"/>
      <c r="U699" s="25"/>
      <c r="X699" s="26"/>
      <c r="Y699" s="27"/>
      <c r="Z699" s="28"/>
      <c r="AA699" s="28"/>
      <c r="AB699" s="28"/>
    </row>
    <row r="700" ht="15.75" customHeight="1">
      <c r="D700" s="21"/>
      <c r="M700" s="22"/>
      <c r="N700" s="23"/>
      <c r="O700" s="24"/>
      <c r="P700" s="24"/>
      <c r="Q700" s="24"/>
      <c r="R700" s="24"/>
      <c r="S700" s="24"/>
      <c r="T700" s="24"/>
      <c r="U700" s="25"/>
      <c r="X700" s="26"/>
      <c r="Y700" s="27"/>
      <c r="Z700" s="28"/>
      <c r="AA700" s="28"/>
      <c r="AB700" s="28"/>
    </row>
    <row r="701" ht="15.75" customHeight="1">
      <c r="D701" s="21"/>
      <c r="M701" s="22"/>
      <c r="N701" s="23"/>
      <c r="O701" s="24"/>
      <c r="P701" s="24"/>
      <c r="Q701" s="24"/>
      <c r="R701" s="24"/>
      <c r="S701" s="24"/>
      <c r="T701" s="24"/>
      <c r="U701" s="25"/>
      <c r="X701" s="26"/>
      <c r="Y701" s="27"/>
      <c r="Z701" s="28"/>
      <c r="AA701" s="28"/>
      <c r="AB701" s="28"/>
    </row>
    <row r="702" ht="15.75" customHeight="1">
      <c r="D702" s="21"/>
      <c r="M702" s="22"/>
      <c r="N702" s="23"/>
      <c r="O702" s="24"/>
      <c r="P702" s="24"/>
      <c r="Q702" s="24"/>
      <c r="R702" s="24"/>
      <c r="S702" s="24"/>
      <c r="T702" s="24"/>
      <c r="U702" s="25"/>
      <c r="X702" s="26"/>
      <c r="Y702" s="27"/>
      <c r="Z702" s="28"/>
      <c r="AA702" s="28"/>
      <c r="AB702" s="28"/>
    </row>
    <row r="703" ht="15.75" customHeight="1">
      <c r="D703" s="21"/>
      <c r="M703" s="22"/>
      <c r="N703" s="23"/>
      <c r="O703" s="24"/>
      <c r="P703" s="24"/>
      <c r="Q703" s="24"/>
      <c r="R703" s="24"/>
      <c r="S703" s="24"/>
      <c r="T703" s="24"/>
      <c r="U703" s="25"/>
      <c r="X703" s="26"/>
      <c r="Y703" s="27"/>
      <c r="Z703" s="28"/>
      <c r="AA703" s="28"/>
      <c r="AB703" s="28"/>
    </row>
    <row r="704" ht="15.75" customHeight="1">
      <c r="D704" s="21"/>
      <c r="M704" s="22"/>
      <c r="N704" s="23"/>
      <c r="O704" s="24"/>
      <c r="P704" s="24"/>
      <c r="Q704" s="24"/>
      <c r="R704" s="24"/>
      <c r="S704" s="24"/>
      <c r="T704" s="24"/>
      <c r="U704" s="25"/>
      <c r="X704" s="26"/>
      <c r="Y704" s="27"/>
      <c r="Z704" s="28"/>
      <c r="AA704" s="28"/>
      <c r="AB704" s="28"/>
    </row>
    <row r="705" ht="15.75" customHeight="1">
      <c r="D705" s="21"/>
      <c r="M705" s="22"/>
      <c r="N705" s="23"/>
      <c r="O705" s="24"/>
      <c r="P705" s="24"/>
      <c r="Q705" s="24"/>
      <c r="R705" s="24"/>
      <c r="S705" s="24"/>
      <c r="T705" s="24"/>
      <c r="U705" s="25"/>
      <c r="X705" s="26"/>
      <c r="Y705" s="27"/>
      <c r="Z705" s="28"/>
      <c r="AA705" s="28"/>
      <c r="AB705" s="28"/>
    </row>
    <row r="706" ht="15.75" customHeight="1">
      <c r="D706" s="21"/>
      <c r="M706" s="22"/>
      <c r="N706" s="23"/>
      <c r="O706" s="24"/>
      <c r="P706" s="24"/>
      <c r="Q706" s="24"/>
      <c r="R706" s="24"/>
      <c r="S706" s="24"/>
      <c r="T706" s="24"/>
      <c r="U706" s="25"/>
      <c r="X706" s="26"/>
      <c r="Y706" s="27"/>
      <c r="Z706" s="28"/>
      <c r="AA706" s="28"/>
      <c r="AB706" s="28"/>
    </row>
    <row r="707" ht="15.75" customHeight="1">
      <c r="D707" s="21"/>
      <c r="M707" s="22"/>
      <c r="N707" s="23"/>
      <c r="O707" s="24"/>
      <c r="P707" s="24"/>
      <c r="Q707" s="24"/>
      <c r="R707" s="24"/>
      <c r="S707" s="24"/>
      <c r="T707" s="24"/>
      <c r="U707" s="25"/>
      <c r="X707" s="26"/>
      <c r="Y707" s="27"/>
      <c r="Z707" s="28"/>
      <c r="AA707" s="28"/>
      <c r="AB707" s="28"/>
    </row>
    <row r="708" ht="15.75" customHeight="1">
      <c r="D708" s="21"/>
      <c r="M708" s="22"/>
      <c r="N708" s="23"/>
      <c r="O708" s="24"/>
      <c r="P708" s="24"/>
      <c r="Q708" s="24"/>
      <c r="R708" s="24"/>
      <c r="S708" s="24"/>
      <c r="T708" s="24"/>
      <c r="U708" s="25"/>
      <c r="X708" s="26"/>
      <c r="Y708" s="27"/>
      <c r="Z708" s="28"/>
      <c r="AA708" s="28"/>
      <c r="AB708" s="28"/>
    </row>
    <row r="709" ht="15.75" customHeight="1">
      <c r="D709" s="21"/>
      <c r="M709" s="22"/>
      <c r="N709" s="23"/>
      <c r="O709" s="24"/>
      <c r="P709" s="24"/>
      <c r="Q709" s="24"/>
      <c r="R709" s="24"/>
      <c r="S709" s="24"/>
      <c r="T709" s="24"/>
      <c r="U709" s="25"/>
      <c r="X709" s="26"/>
      <c r="Y709" s="27"/>
      <c r="Z709" s="28"/>
      <c r="AA709" s="28"/>
      <c r="AB709" s="28"/>
    </row>
    <row r="710" ht="15.75" customHeight="1">
      <c r="D710" s="21"/>
      <c r="M710" s="22"/>
      <c r="N710" s="23"/>
      <c r="O710" s="24"/>
      <c r="P710" s="24"/>
      <c r="Q710" s="24"/>
      <c r="R710" s="24"/>
      <c r="S710" s="24"/>
      <c r="T710" s="24"/>
      <c r="U710" s="25"/>
      <c r="X710" s="26"/>
      <c r="Y710" s="27"/>
      <c r="Z710" s="28"/>
      <c r="AA710" s="28"/>
      <c r="AB710" s="28"/>
    </row>
    <row r="711" ht="15.75" customHeight="1">
      <c r="D711" s="21"/>
      <c r="M711" s="22"/>
      <c r="N711" s="23"/>
      <c r="O711" s="24"/>
      <c r="P711" s="24"/>
      <c r="Q711" s="24"/>
      <c r="R711" s="24"/>
      <c r="S711" s="24"/>
      <c r="T711" s="24"/>
      <c r="U711" s="25"/>
      <c r="X711" s="26"/>
      <c r="Y711" s="27"/>
      <c r="Z711" s="28"/>
      <c r="AA711" s="28"/>
      <c r="AB711" s="28"/>
    </row>
    <row r="712" ht="15.75" customHeight="1">
      <c r="D712" s="21"/>
      <c r="M712" s="22"/>
      <c r="N712" s="23"/>
      <c r="O712" s="24"/>
      <c r="P712" s="24"/>
      <c r="Q712" s="24"/>
      <c r="R712" s="24"/>
      <c r="S712" s="24"/>
      <c r="T712" s="24"/>
      <c r="U712" s="25"/>
      <c r="X712" s="26"/>
      <c r="Y712" s="27"/>
      <c r="Z712" s="28"/>
      <c r="AA712" s="28"/>
      <c r="AB712" s="28"/>
    </row>
    <row r="713" ht="15.75" customHeight="1">
      <c r="D713" s="21"/>
      <c r="M713" s="22"/>
      <c r="N713" s="23"/>
      <c r="O713" s="24"/>
      <c r="P713" s="24"/>
      <c r="Q713" s="24"/>
      <c r="R713" s="24"/>
      <c r="S713" s="24"/>
      <c r="T713" s="24"/>
      <c r="U713" s="25"/>
      <c r="X713" s="26"/>
      <c r="Y713" s="27"/>
      <c r="Z713" s="28"/>
      <c r="AA713" s="28"/>
      <c r="AB713" s="28"/>
    </row>
    <row r="714" ht="15.75" customHeight="1">
      <c r="D714" s="21"/>
      <c r="M714" s="22"/>
      <c r="N714" s="23"/>
      <c r="O714" s="24"/>
      <c r="P714" s="24"/>
      <c r="Q714" s="24"/>
      <c r="R714" s="24"/>
      <c r="S714" s="24"/>
      <c r="T714" s="24"/>
      <c r="U714" s="25"/>
      <c r="X714" s="26"/>
      <c r="Y714" s="27"/>
      <c r="Z714" s="28"/>
      <c r="AA714" s="28"/>
      <c r="AB714" s="28"/>
    </row>
    <row r="715" ht="15.75" customHeight="1">
      <c r="D715" s="21"/>
      <c r="M715" s="22"/>
      <c r="N715" s="23"/>
      <c r="O715" s="24"/>
      <c r="P715" s="24"/>
      <c r="Q715" s="24"/>
      <c r="R715" s="24"/>
      <c r="S715" s="24"/>
      <c r="T715" s="24"/>
      <c r="U715" s="25"/>
      <c r="X715" s="26"/>
      <c r="Y715" s="27"/>
      <c r="Z715" s="28"/>
      <c r="AA715" s="28"/>
      <c r="AB715" s="28"/>
    </row>
    <row r="716" ht="15.75" customHeight="1">
      <c r="D716" s="21"/>
      <c r="M716" s="22"/>
      <c r="N716" s="23"/>
      <c r="O716" s="24"/>
      <c r="P716" s="24"/>
      <c r="Q716" s="24"/>
      <c r="R716" s="24"/>
      <c r="S716" s="24"/>
      <c r="T716" s="24"/>
      <c r="U716" s="25"/>
      <c r="X716" s="26"/>
      <c r="Y716" s="27"/>
      <c r="Z716" s="28"/>
      <c r="AA716" s="28"/>
      <c r="AB716" s="28"/>
    </row>
    <row r="717" ht="15.75" customHeight="1">
      <c r="D717" s="21"/>
      <c r="M717" s="22"/>
      <c r="N717" s="23"/>
      <c r="O717" s="24"/>
      <c r="P717" s="24"/>
      <c r="Q717" s="24"/>
      <c r="R717" s="24"/>
      <c r="S717" s="24"/>
      <c r="T717" s="24"/>
      <c r="U717" s="25"/>
      <c r="X717" s="26"/>
      <c r="Y717" s="27"/>
      <c r="Z717" s="28"/>
      <c r="AA717" s="28"/>
      <c r="AB717" s="28"/>
    </row>
    <row r="718" ht="15.75" customHeight="1">
      <c r="D718" s="21"/>
      <c r="M718" s="22"/>
      <c r="N718" s="23"/>
      <c r="O718" s="24"/>
      <c r="P718" s="24"/>
      <c r="Q718" s="24"/>
      <c r="R718" s="24"/>
      <c r="S718" s="24"/>
      <c r="T718" s="24"/>
      <c r="U718" s="25"/>
      <c r="X718" s="26"/>
      <c r="Y718" s="27"/>
      <c r="Z718" s="28"/>
      <c r="AA718" s="28"/>
      <c r="AB718" s="28"/>
    </row>
    <row r="719" ht="15.75" customHeight="1">
      <c r="D719" s="21"/>
      <c r="M719" s="22"/>
      <c r="N719" s="23"/>
      <c r="O719" s="24"/>
      <c r="P719" s="24"/>
      <c r="Q719" s="24"/>
      <c r="R719" s="24"/>
      <c r="S719" s="24"/>
      <c r="T719" s="24"/>
      <c r="U719" s="25"/>
      <c r="X719" s="26"/>
      <c r="Y719" s="27"/>
      <c r="Z719" s="28"/>
      <c r="AA719" s="28"/>
      <c r="AB719" s="28"/>
    </row>
    <row r="720" ht="15.75" customHeight="1">
      <c r="D720" s="21"/>
      <c r="M720" s="22"/>
      <c r="N720" s="23"/>
      <c r="O720" s="24"/>
      <c r="P720" s="24"/>
      <c r="Q720" s="24"/>
      <c r="R720" s="24"/>
      <c r="S720" s="24"/>
      <c r="T720" s="24"/>
      <c r="U720" s="25"/>
      <c r="X720" s="26"/>
      <c r="Y720" s="27"/>
      <c r="Z720" s="28"/>
      <c r="AA720" s="28"/>
      <c r="AB720" s="28"/>
    </row>
    <row r="721" ht="15.75" customHeight="1">
      <c r="D721" s="21"/>
      <c r="M721" s="22"/>
      <c r="N721" s="23"/>
      <c r="O721" s="24"/>
      <c r="P721" s="24"/>
      <c r="Q721" s="24"/>
      <c r="R721" s="24"/>
      <c r="S721" s="24"/>
      <c r="T721" s="24"/>
      <c r="U721" s="25"/>
      <c r="X721" s="26"/>
      <c r="Y721" s="27"/>
      <c r="Z721" s="28"/>
      <c r="AA721" s="28"/>
      <c r="AB721" s="28"/>
    </row>
    <row r="722" ht="15.75" customHeight="1">
      <c r="D722" s="21"/>
      <c r="M722" s="22"/>
      <c r="N722" s="23"/>
      <c r="O722" s="24"/>
      <c r="P722" s="24"/>
      <c r="Q722" s="24"/>
      <c r="R722" s="24"/>
      <c r="S722" s="24"/>
      <c r="T722" s="24"/>
      <c r="U722" s="25"/>
      <c r="X722" s="26"/>
      <c r="Y722" s="27"/>
      <c r="Z722" s="28"/>
      <c r="AA722" s="28"/>
      <c r="AB722" s="28"/>
    </row>
    <row r="723" ht="15.75" customHeight="1">
      <c r="D723" s="21"/>
      <c r="M723" s="22"/>
      <c r="N723" s="23"/>
      <c r="O723" s="24"/>
      <c r="P723" s="24"/>
      <c r="Q723" s="24"/>
      <c r="R723" s="24"/>
      <c r="S723" s="24"/>
      <c r="T723" s="24"/>
      <c r="U723" s="25"/>
      <c r="X723" s="26"/>
      <c r="Y723" s="27"/>
      <c r="Z723" s="28"/>
      <c r="AA723" s="28"/>
      <c r="AB723" s="28"/>
    </row>
    <row r="724" ht="15.75" customHeight="1">
      <c r="D724" s="21"/>
      <c r="M724" s="22"/>
      <c r="N724" s="23"/>
      <c r="O724" s="24"/>
      <c r="P724" s="24"/>
      <c r="Q724" s="24"/>
      <c r="R724" s="24"/>
      <c r="S724" s="24"/>
      <c r="T724" s="24"/>
      <c r="U724" s="25"/>
      <c r="X724" s="26"/>
      <c r="Y724" s="27"/>
      <c r="Z724" s="28"/>
      <c r="AA724" s="28"/>
      <c r="AB724" s="28"/>
    </row>
    <row r="725" ht="15.75" customHeight="1">
      <c r="D725" s="21"/>
      <c r="M725" s="22"/>
      <c r="N725" s="23"/>
      <c r="O725" s="24"/>
      <c r="P725" s="24"/>
      <c r="Q725" s="24"/>
      <c r="R725" s="24"/>
      <c r="S725" s="24"/>
      <c r="T725" s="24"/>
      <c r="U725" s="25"/>
      <c r="X725" s="26"/>
      <c r="Y725" s="27"/>
      <c r="Z725" s="28"/>
      <c r="AA725" s="28"/>
      <c r="AB725" s="28"/>
    </row>
    <row r="726" ht="15.75" customHeight="1">
      <c r="D726" s="21"/>
      <c r="M726" s="22"/>
      <c r="N726" s="23"/>
      <c r="O726" s="24"/>
      <c r="P726" s="24"/>
      <c r="Q726" s="24"/>
      <c r="R726" s="24"/>
      <c r="S726" s="24"/>
      <c r="T726" s="24"/>
      <c r="U726" s="25"/>
      <c r="X726" s="26"/>
      <c r="Y726" s="27"/>
      <c r="Z726" s="28"/>
      <c r="AA726" s="28"/>
      <c r="AB726" s="28"/>
    </row>
    <row r="727" ht="15.75" customHeight="1">
      <c r="D727" s="21"/>
      <c r="M727" s="22"/>
      <c r="N727" s="23"/>
      <c r="O727" s="24"/>
      <c r="P727" s="24"/>
      <c r="Q727" s="24"/>
      <c r="R727" s="24"/>
      <c r="S727" s="24"/>
      <c r="T727" s="24"/>
      <c r="U727" s="25"/>
      <c r="X727" s="26"/>
      <c r="Y727" s="27"/>
      <c r="Z727" s="28"/>
      <c r="AA727" s="28"/>
      <c r="AB727" s="28"/>
    </row>
    <row r="728" ht="15.75" customHeight="1">
      <c r="D728" s="21"/>
      <c r="M728" s="22"/>
      <c r="N728" s="23"/>
      <c r="O728" s="24"/>
      <c r="P728" s="24"/>
      <c r="Q728" s="24"/>
      <c r="R728" s="24"/>
      <c r="S728" s="24"/>
      <c r="T728" s="24"/>
      <c r="U728" s="25"/>
      <c r="X728" s="26"/>
      <c r="Y728" s="27"/>
      <c r="Z728" s="28"/>
      <c r="AA728" s="28"/>
      <c r="AB728" s="28"/>
    </row>
    <row r="729" ht="15.75" customHeight="1">
      <c r="D729" s="21"/>
      <c r="M729" s="22"/>
      <c r="N729" s="23"/>
      <c r="O729" s="24"/>
      <c r="P729" s="24"/>
      <c r="Q729" s="24"/>
      <c r="R729" s="24"/>
      <c r="S729" s="24"/>
      <c r="T729" s="24"/>
      <c r="U729" s="25"/>
      <c r="X729" s="26"/>
      <c r="Y729" s="27"/>
      <c r="Z729" s="28"/>
      <c r="AA729" s="28"/>
      <c r="AB729" s="28"/>
    </row>
    <row r="730" ht="15.75" customHeight="1">
      <c r="D730" s="21"/>
      <c r="M730" s="22"/>
      <c r="N730" s="23"/>
      <c r="O730" s="24"/>
      <c r="P730" s="24"/>
      <c r="Q730" s="24"/>
      <c r="R730" s="24"/>
      <c r="S730" s="24"/>
      <c r="T730" s="24"/>
      <c r="U730" s="25"/>
      <c r="X730" s="26"/>
      <c r="Y730" s="27"/>
      <c r="Z730" s="28"/>
      <c r="AA730" s="28"/>
      <c r="AB730" s="28"/>
    </row>
    <row r="731" ht="15.75" customHeight="1">
      <c r="D731" s="21"/>
      <c r="M731" s="22"/>
      <c r="N731" s="23"/>
      <c r="O731" s="24"/>
      <c r="P731" s="24"/>
      <c r="Q731" s="24"/>
      <c r="R731" s="24"/>
      <c r="S731" s="24"/>
      <c r="T731" s="24"/>
      <c r="U731" s="25"/>
      <c r="X731" s="26"/>
      <c r="Y731" s="27"/>
      <c r="Z731" s="28"/>
      <c r="AA731" s="28"/>
      <c r="AB731" s="28"/>
    </row>
    <row r="732" ht="15.75" customHeight="1">
      <c r="D732" s="21"/>
      <c r="M732" s="22"/>
      <c r="N732" s="23"/>
      <c r="O732" s="24"/>
      <c r="P732" s="24"/>
      <c r="Q732" s="24"/>
      <c r="R732" s="24"/>
      <c r="S732" s="24"/>
      <c r="T732" s="24"/>
      <c r="U732" s="25"/>
      <c r="X732" s="26"/>
      <c r="Y732" s="27"/>
      <c r="Z732" s="28"/>
      <c r="AA732" s="28"/>
      <c r="AB732" s="28"/>
    </row>
    <row r="733" ht="15.75" customHeight="1">
      <c r="D733" s="21"/>
      <c r="M733" s="22"/>
      <c r="N733" s="23"/>
      <c r="O733" s="24"/>
      <c r="P733" s="24"/>
      <c r="Q733" s="24"/>
      <c r="R733" s="24"/>
      <c r="S733" s="24"/>
      <c r="T733" s="24"/>
      <c r="U733" s="25"/>
      <c r="X733" s="26"/>
      <c r="Y733" s="27"/>
      <c r="Z733" s="28"/>
      <c r="AA733" s="28"/>
      <c r="AB733" s="28"/>
    </row>
    <row r="734" ht="15.75" customHeight="1">
      <c r="D734" s="21"/>
      <c r="M734" s="22"/>
      <c r="N734" s="23"/>
      <c r="O734" s="24"/>
      <c r="P734" s="24"/>
      <c r="Q734" s="24"/>
      <c r="R734" s="24"/>
      <c r="S734" s="24"/>
      <c r="T734" s="24"/>
      <c r="U734" s="25"/>
      <c r="X734" s="26"/>
      <c r="Y734" s="27"/>
      <c r="Z734" s="28"/>
      <c r="AA734" s="28"/>
      <c r="AB734" s="28"/>
    </row>
    <row r="735" ht="15.75" customHeight="1">
      <c r="D735" s="21"/>
      <c r="M735" s="22"/>
      <c r="N735" s="23"/>
      <c r="O735" s="24"/>
      <c r="P735" s="24"/>
      <c r="Q735" s="24"/>
      <c r="R735" s="24"/>
      <c r="S735" s="24"/>
      <c r="T735" s="24"/>
      <c r="U735" s="25"/>
      <c r="X735" s="26"/>
      <c r="Y735" s="27"/>
      <c r="Z735" s="28"/>
      <c r="AA735" s="28"/>
      <c r="AB735" s="28"/>
    </row>
    <row r="736" ht="15.75" customHeight="1">
      <c r="D736" s="21"/>
      <c r="M736" s="22"/>
      <c r="N736" s="23"/>
      <c r="O736" s="24"/>
      <c r="P736" s="24"/>
      <c r="Q736" s="24"/>
      <c r="R736" s="24"/>
      <c r="S736" s="24"/>
      <c r="T736" s="24"/>
      <c r="U736" s="25"/>
      <c r="X736" s="26"/>
      <c r="Y736" s="27"/>
      <c r="Z736" s="28"/>
      <c r="AA736" s="28"/>
      <c r="AB736" s="28"/>
    </row>
    <row r="737" ht="15.75" customHeight="1">
      <c r="D737" s="21"/>
      <c r="M737" s="22"/>
      <c r="N737" s="23"/>
      <c r="O737" s="24"/>
      <c r="P737" s="24"/>
      <c r="Q737" s="24"/>
      <c r="R737" s="24"/>
      <c r="S737" s="24"/>
      <c r="T737" s="24"/>
      <c r="U737" s="25"/>
      <c r="X737" s="26"/>
      <c r="Y737" s="27"/>
      <c r="Z737" s="28"/>
      <c r="AA737" s="28"/>
      <c r="AB737" s="28"/>
    </row>
    <row r="738" ht="15.75" customHeight="1">
      <c r="D738" s="21"/>
      <c r="M738" s="22"/>
      <c r="N738" s="23"/>
      <c r="O738" s="24"/>
      <c r="P738" s="24"/>
      <c r="Q738" s="24"/>
      <c r="R738" s="24"/>
      <c r="S738" s="24"/>
      <c r="T738" s="24"/>
      <c r="U738" s="25"/>
      <c r="X738" s="26"/>
      <c r="Y738" s="27"/>
      <c r="Z738" s="28"/>
      <c r="AA738" s="28"/>
      <c r="AB738" s="28"/>
    </row>
    <row r="739" ht="15.75" customHeight="1">
      <c r="D739" s="21"/>
      <c r="M739" s="22"/>
      <c r="N739" s="23"/>
      <c r="O739" s="24"/>
      <c r="P739" s="24"/>
      <c r="Q739" s="24"/>
      <c r="R739" s="24"/>
      <c r="S739" s="24"/>
      <c r="T739" s="24"/>
      <c r="U739" s="25"/>
      <c r="X739" s="26"/>
      <c r="Y739" s="27"/>
      <c r="Z739" s="28"/>
      <c r="AA739" s="28"/>
      <c r="AB739" s="28"/>
    </row>
    <row r="740" ht="15.75" customHeight="1">
      <c r="D740" s="21"/>
      <c r="M740" s="22"/>
      <c r="N740" s="23"/>
      <c r="O740" s="24"/>
      <c r="P740" s="24"/>
      <c r="Q740" s="24"/>
      <c r="R740" s="24"/>
      <c r="S740" s="24"/>
      <c r="T740" s="24"/>
      <c r="U740" s="25"/>
      <c r="X740" s="26"/>
      <c r="Y740" s="27"/>
      <c r="Z740" s="28"/>
      <c r="AA740" s="28"/>
      <c r="AB740" s="28"/>
    </row>
    <row r="741" ht="15.75" customHeight="1">
      <c r="D741" s="21"/>
      <c r="M741" s="22"/>
      <c r="N741" s="23"/>
      <c r="O741" s="24"/>
      <c r="P741" s="24"/>
      <c r="Q741" s="24"/>
      <c r="R741" s="24"/>
      <c r="S741" s="24"/>
      <c r="T741" s="24"/>
      <c r="U741" s="25"/>
      <c r="X741" s="26"/>
      <c r="Y741" s="27"/>
      <c r="Z741" s="28"/>
      <c r="AA741" s="28"/>
      <c r="AB741" s="28"/>
    </row>
    <row r="742" ht="15.75" customHeight="1">
      <c r="D742" s="21"/>
      <c r="M742" s="22"/>
      <c r="N742" s="23"/>
      <c r="O742" s="24"/>
      <c r="P742" s="24"/>
      <c r="Q742" s="24"/>
      <c r="R742" s="24"/>
      <c r="S742" s="24"/>
      <c r="T742" s="24"/>
      <c r="U742" s="25"/>
      <c r="X742" s="26"/>
      <c r="Y742" s="27"/>
      <c r="Z742" s="28"/>
      <c r="AA742" s="28"/>
      <c r="AB742" s="28"/>
    </row>
    <row r="743" ht="15.75" customHeight="1">
      <c r="D743" s="21"/>
      <c r="M743" s="22"/>
      <c r="N743" s="23"/>
      <c r="O743" s="24"/>
      <c r="P743" s="24"/>
      <c r="Q743" s="24"/>
      <c r="R743" s="24"/>
      <c r="S743" s="24"/>
      <c r="T743" s="24"/>
      <c r="U743" s="25"/>
      <c r="X743" s="26"/>
      <c r="Y743" s="27"/>
      <c r="Z743" s="28"/>
      <c r="AA743" s="28"/>
      <c r="AB743" s="28"/>
    </row>
    <row r="744" ht="15.75" customHeight="1">
      <c r="D744" s="21"/>
      <c r="M744" s="22"/>
      <c r="N744" s="23"/>
      <c r="O744" s="24"/>
      <c r="P744" s="24"/>
      <c r="Q744" s="24"/>
      <c r="R744" s="24"/>
      <c r="S744" s="24"/>
      <c r="T744" s="24"/>
      <c r="U744" s="25"/>
      <c r="X744" s="26"/>
      <c r="Y744" s="27"/>
      <c r="Z744" s="28"/>
      <c r="AA744" s="28"/>
      <c r="AB744" s="28"/>
    </row>
    <row r="745" ht="15.75" customHeight="1">
      <c r="D745" s="21"/>
      <c r="M745" s="22"/>
      <c r="N745" s="23"/>
      <c r="O745" s="24"/>
      <c r="P745" s="24"/>
      <c r="Q745" s="24"/>
      <c r="R745" s="24"/>
      <c r="S745" s="24"/>
      <c r="T745" s="24"/>
      <c r="U745" s="25"/>
      <c r="X745" s="26"/>
      <c r="Y745" s="27"/>
      <c r="Z745" s="28"/>
      <c r="AA745" s="28"/>
      <c r="AB745" s="28"/>
    </row>
    <row r="746" ht="15.75" customHeight="1">
      <c r="D746" s="21"/>
      <c r="M746" s="22"/>
      <c r="N746" s="23"/>
      <c r="O746" s="24"/>
      <c r="P746" s="24"/>
      <c r="Q746" s="24"/>
      <c r="R746" s="24"/>
      <c r="S746" s="24"/>
      <c r="T746" s="24"/>
      <c r="U746" s="25"/>
      <c r="X746" s="26"/>
      <c r="Y746" s="27"/>
      <c r="Z746" s="28"/>
      <c r="AA746" s="28"/>
      <c r="AB746" s="28"/>
    </row>
    <row r="747" ht="15.75" customHeight="1">
      <c r="D747" s="21"/>
      <c r="M747" s="22"/>
      <c r="N747" s="23"/>
      <c r="O747" s="24"/>
      <c r="P747" s="24"/>
      <c r="Q747" s="24"/>
      <c r="R747" s="24"/>
      <c r="S747" s="24"/>
      <c r="T747" s="24"/>
      <c r="U747" s="25"/>
      <c r="X747" s="26"/>
      <c r="Y747" s="27"/>
      <c r="Z747" s="28"/>
      <c r="AA747" s="28"/>
      <c r="AB747" s="28"/>
    </row>
    <row r="748" ht="15.75" customHeight="1">
      <c r="D748" s="21"/>
      <c r="M748" s="22"/>
      <c r="N748" s="23"/>
      <c r="O748" s="24"/>
      <c r="P748" s="24"/>
      <c r="Q748" s="24"/>
      <c r="R748" s="24"/>
      <c r="S748" s="24"/>
      <c r="T748" s="24"/>
      <c r="U748" s="25"/>
      <c r="X748" s="26"/>
      <c r="Y748" s="27"/>
      <c r="Z748" s="28"/>
      <c r="AA748" s="28"/>
      <c r="AB748" s="28"/>
    </row>
    <row r="749" ht="15.75" customHeight="1">
      <c r="D749" s="21"/>
      <c r="M749" s="22"/>
      <c r="N749" s="23"/>
      <c r="O749" s="24"/>
      <c r="P749" s="24"/>
      <c r="Q749" s="24"/>
      <c r="R749" s="24"/>
      <c r="S749" s="24"/>
      <c r="T749" s="24"/>
      <c r="U749" s="25"/>
      <c r="X749" s="26"/>
      <c r="Y749" s="27"/>
      <c r="Z749" s="28"/>
      <c r="AA749" s="28"/>
      <c r="AB749" s="28"/>
    </row>
    <row r="750" ht="15.75" customHeight="1">
      <c r="D750" s="21"/>
      <c r="M750" s="22"/>
      <c r="N750" s="23"/>
      <c r="O750" s="24"/>
      <c r="P750" s="24"/>
      <c r="Q750" s="24"/>
      <c r="R750" s="24"/>
      <c r="S750" s="24"/>
      <c r="T750" s="24"/>
      <c r="U750" s="25"/>
      <c r="X750" s="26"/>
      <c r="Y750" s="27"/>
      <c r="Z750" s="28"/>
      <c r="AA750" s="28"/>
      <c r="AB750" s="28"/>
    </row>
    <row r="751" ht="15.75" customHeight="1">
      <c r="D751" s="21"/>
      <c r="M751" s="22"/>
      <c r="N751" s="23"/>
      <c r="O751" s="24"/>
      <c r="P751" s="24"/>
      <c r="Q751" s="24"/>
      <c r="R751" s="24"/>
      <c r="S751" s="24"/>
      <c r="T751" s="24"/>
      <c r="U751" s="25"/>
      <c r="X751" s="26"/>
      <c r="Y751" s="27"/>
      <c r="Z751" s="28"/>
      <c r="AA751" s="28"/>
      <c r="AB751" s="28"/>
    </row>
    <row r="752" ht="15.75" customHeight="1">
      <c r="D752" s="21"/>
      <c r="M752" s="22"/>
      <c r="N752" s="23"/>
      <c r="O752" s="24"/>
      <c r="P752" s="24"/>
      <c r="Q752" s="24"/>
      <c r="R752" s="24"/>
      <c r="S752" s="24"/>
      <c r="T752" s="24"/>
      <c r="U752" s="25"/>
      <c r="X752" s="26"/>
      <c r="Y752" s="27"/>
      <c r="Z752" s="28"/>
      <c r="AA752" s="28"/>
      <c r="AB752" s="28"/>
    </row>
    <row r="753" ht="15.75" customHeight="1">
      <c r="D753" s="21"/>
      <c r="M753" s="22"/>
      <c r="N753" s="23"/>
      <c r="O753" s="24"/>
      <c r="P753" s="24"/>
      <c r="Q753" s="24"/>
      <c r="R753" s="24"/>
      <c r="S753" s="24"/>
      <c r="T753" s="24"/>
      <c r="U753" s="25"/>
      <c r="X753" s="26"/>
      <c r="Y753" s="27"/>
      <c r="Z753" s="28"/>
      <c r="AA753" s="28"/>
      <c r="AB753" s="28"/>
    </row>
    <row r="754" ht="15.75" customHeight="1">
      <c r="D754" s="21"/>
      <c r="M754" s="22"/>
      <c r="N754" s="23"/>
      <c r="O754" s="24"/>
      <c r="P754" s="24"/>
      <c r="Q754" s="24"/>
      <c r="R754" s="24"/>
      <c r="S754" s="24"/>
      <c r="T754" s="24"/>
      <c r="U754" s="25"/>
      <c r="X754" s="26"/>
      <c r="Y754" s="27"/>
      <c r="Z754" s="28"/>
      <c r="AA754" s="28"/>
      <c r="AB754" s="28"/>
    </row>
    <row r="755" ht="15.75" customHeight="1">
      <c r="D755" s="21"/>
      <c r="M755" s="22"/>
      <c r="N755" s="23"/>
      <c r="O755" s="24"/>
      <c r="P755" s="24"/>
      <c r="Q755" s="24"/>
      <c r="R755" s="24"/>
      <c r="S755" s="24"/>
      <c r="T755" s="24"/>
      <c r="U755" s="25"/>
      <c r="X755" s="26"/>
      <c r="Y755" s="27"/>
      <c r="Z755" s="28"/>
      <c r="AA755" s="28"/>
      <c r="AB755" s="28"/>
    </row>
    <row r="756" ht="15.75" customHeight="1">
      <c r="D756" s="21"/>
      <c r="M756" s="22"/>
      <c r="N756" s="23"/>
      <c r="O756" s="24"/>
      <c r="P756" s="24"/>
      <c r="Q756" s="24"/>
      <c r="R756" s="24"/>
      <c r="S756" s="24"/>
      <c r="T756" s="24"/>
      <c r="U756" s="25"/>
      <c r="X756" s="26"/>
      <c r="Y756" s="27"/>
      <c r="Z756" s="28"/>
      <c r="AA756" s="28"/>
      <c r="AB756" s="28"/>
    </row>
    <row r="757" ht="15.75" customHeight="1">
      <c r="D757" s="21"/>
      <c r="M757" s="22"/>
      <c r="N757" s="23"/>
      <c r="O757" s="24"/>
      <c r="P757" s="24"/>
      <c r="Q757" s="24"/>
      <c r="R757" s="24"/>
      <c r="S757" s="24"/>
      <c r="T757" s="24"/>
      <c r="U757" s="25"/>
      <c r="X757" s="26"/>
      <c r="Y757" s="27"/>
      <c r="Z757" s="28"/>
      <c r="AA757" s="28"/>
      <c r="AB757" s="28"/>
    </row>
    <row r="758" ht="15.75" customHeight="1">
      <c r="D758" s="21"/>
      <c r="M758" s="22"/>
      <c r="N758" s="23"/>
      <c r="O758" s="24"/>
      <c r="P758" s="24"/>
      <c r="Q758" s="24"/>
      <c r="R758" s="24"/>
      <c r="S758" s="24"/>
      <c r="T758" s="24"/>
      <c r="U758" s="25"/>
      <c r="X758" s="26"/>
      <c r="Y758" s="27"/>
      <c r="Z758" s="28"/>
      <c r="AA758" s="28"/>
      <c r="AB758" s="28"/>
    </row>
    <row r="759" ht="15.75" customHeight="1">
      <c r="D759" s="21"/>
      <c r="M759" s="22"/>
      <c r="N759" s="23"/>
      <c r="O759" s="24"/>
      <c r="P759" s="24"/>
      <c r="Q759" s="24"/>
      <c r="R759" s="24"/>
      <c r="S759" s="24"/>
      <c r="T759" s="24"/>
      <c r="U759" s="25"/>
      <c r="X759" s="26"/>
      <c r="Y759" s="27"/>
      <c r="Z759" s="28"/>
      <c r="AA759" s="28"/>
      <c r="AB759" s="28"/>
    </row>
    <row r="760" ht="15.75" customHeight="1">
      <c r="D760" s="21"/>
      <c r="M760" s="22"/>
      <c r="N760" s="23"/>
      <c r="O760" s="24"/>
      <c r="P760" s="24"/>
      <c r="Q760" s="24"/>
      <c r="R760" s="24"/>
      <c r="S760" s="24"/>
      <c r="T760" s="24"/>
      <c r="U760" s="25"/>
      <c r="X760" s="26"/>
      <c r="Y760" s="27"/>
      <c r="Z760" s="28"/>
      <c r="AA760" s="28"/>
      <c r="AB760" s="28"/>
    </row>
    <row r="761" ht="15.75" customHeight="1">
      <c r="D761" s="21"/>
      <c r="M761" s="22"/>
      <c r="N761" s="23"/>
      <c r="O761" s="24"/>
      <c r="P761" s="24"/>
      <c r="Q761" s="24"/>
      <c r="R761" s="24"/>
      <c r="S761" s="24"/>
      <c r="T761" s="24"/>
      <c r="U761" s="25"/>
      <c r="X761" s="26"/>
      <c r="Y761" s="27"/>
      <c r="Z761" s="28"/>
      <c r="AA761" s="28"/>
      <c r="AB761" s="28"/>
    </row>
    <row r="762" ht="15.75" customHeight="1">
      <c r="D762" s="21"/>
      <c r="M762" s="22"/>
      <c r="N762" s="23"/>
      <c r="O762" s="24"/>
      <c r="P762" s="24"/>
      <c r="Q762" s="24"/>
      <c r="R762" s="24"/>
      <c r="S762" s="24"/>
      <c r="T762" s="24"/>
      <c r="U762" s="25"/>
      <c r="X762" s="26"/>
      <c r="Y762" s="27"/>
      <c r="Z762" s="28"/>
      <c r="AA762" s="28"/>
      <c r="AB762" s="28"/>
    </row>
    <row r="763" ht="15.75" customHeight="1">
      <c r="D763" s="21"/>
      <c r="M763" s="22"/>
      <c r="N763" s="23"/>
      <c r="O763" s="24"/>
      <c r="P763" s="24"/>
      <c r="Q763" s="24"/>
      <c r="R763" s="24"/>
      <c r="S763" s="24"/>
      <c r="T763" s="24"/>
      <c r="U763" s="25"/>
      <c r="X763" s="26"/>
      <c r="Y763" s="27"/>
      <c r="Z763" s="28"/>
      <c r="AA763" s="28"/>
      <c r="AB763" s="28"/>
    </row>
    <row r="764" ht="15.75" customHeight="1">
      <c r="D764" s="21"/>
      <c r="M764" s="22"/>
      <c r="N764" s="23"/>
      <c r="O764" s="24"/>
      <c r="P764" s="24"/>
      <c r="Q764" s="24"/>
      <c r="R764" s="24"/>
      <c r="S764" s="24"/>
      <c r="T764" s="24"/>
      <c r="U764" s="25"/>
      <c r="X764" s="26"/>
      <c r="Y764" s="27"/>
      <c r="Z764" s="28"/>
      <c r="AA764" s="28"/>
      <c r="AB764" s="28"/>
    </row>
    <row r="765" ht="15.75" customHeight="1">
      <c r="D765" s="21"/>
      <c r="M765" s="22"/>
      <c r="N765" s="23"/>
      <c r="O765" s="24"/>
      <c r="P765" s="24"/>
      <c r="Q765" s="24"/>
      <c r="R765" s="24"/>
      <c r="S765" s="24"/>
      <c r="T765" s="24"/>
      <c r="U765" s="25"/>
      <c r="X765" s="26"/>
      <c r="Y765" s="27"/>
      <c r="Z765" s="28"/>
      <c r="AA765" s="28"/>
      <c r="AB765" s="28"/>
    </row>
    <row r="766" ht="15.75" customHeight="1">
      <c r="D766" s="21"/>
      <c r="M766" s="22"/>
      <c r="N766" s="23"/>
      <c r="O766" s="24"/>
      <c r="P766" s="24"/>
      <c r="Q766" s="24"/>
      <c r="R766" s="24"/>
      <c r="S766" s="24"/>
      <c r="T766" s="24"/>
      <c r="U766" s="25"/>
      <c r="X766" s="26"/>
      <c r="Y766" s="27"/>
      <c r="Z766" s="28"/>
      <c r="AA766" s="28"/>
      <c r="AB766" s="28"/>
    </row>
    <row r="767" ht="15.75" customHeight="1">
      <c r="D767" s="21"/>
      <c r="M767" s="22"/>
      <c r="N767" s="23"/>
      <c r="O767" s="24"/>
      <c r="P767" s="24"/>
      <c r="Q767" s="24"/>
      <c r="R767" s="24"/>
      <c r="S767" s="24"/>
      <c r="T767" s="24"/>
      <c r="U767" s="25"/>
      <c r="X767" s="26"/>
      <c r="Y767" s="27"/>
      <c r="Z767" s="28"/>
      <c r="AA767" s="28"/>
      <c r="AB767" s="28"/>
    </row>
    <row r="768" ht="15.75" customHeight="1">
      <c r="D768" s="21"/>
      <c r="M768" s="22"/>
      <c r="N768" s="23"/>
      <c r="O768" s="24"/>
      <c r="P768" s="24"/>
      <c r="Q768" s="24"/>
      <c r="R768" s="24"/>
      <c r="S768" s="24"/>
      <c r="T768" s="24"/>
      <c r="U768" s="25"/>
      <c r="X768" s="26"/>
      <c r="Y768" s="27"/>
      <c r="Z768" s="28"/>
      <c r="AA768" s="28"/>
      <c r="AB768" s="28"/>
    </row>
    <row r="769" ht="15.75" customHeight="1">
      <c r="D769" s="21"/>
      <c r="M769" s="22"/>
      <c r="N769" s="23"/>
      <c r="O769" s="24"/>
      <c r="P769" s="24"/>
      <c r="Q769" s="24"/>
      <c r="R769" s="24"/>
      <c r="S769" s="24"/>
      <c r="T769" s="24"/>
      <c r="U769" s="25"/>
      <c r="X769" s="26"/>
      <c r="Y769" s="27"/>
      <c r="Z769" s="28"/>
      <c r="AA769" s="28"/>
      <c r="AB769" s="28"/>
    </row>
    <row r="770" ht="15.75" customHeight="1">
      <c r="D770" s="21"/>
      <c r="M770" s="22"/>
      <c r="N770" s="23"/>
      <c r="O770" s="24"/>
      <c r="P770" s="24"/>
      <c r="Q770" s="24"/>
      <c r="R770" s="24"/>
      <c r="S770" s="24"/>
      <c r="T770" s="24"/>
      <c r="U770" s="25"/>
      <c r="X770" s="26"/>
      <c r="Y770" s="27"/>
      <c r="Z770" s="28"/>
      <c r="AA770" s="28"/>
      <c r="AB770" s="28"/>
    </row>
    <row r="771" ht="15.75" customHeight="1">
      <c r="D771" s="21"/>
      <c r="M771" s="22"/>
      <c r="N771" s="23"/>
      <c r="O771" s="24"/>
      <c r="P771" s="24"/>
      <c r="Q771" s="24"/>
      <c r="R771" s="24"/>
      <c r="S771" s="24"/>
      <c r="T771" s="24"/>
      <c r="U771" s="25"/>
      <c r="X771" s="26"/>
      <c r="Y771" s="27"/>
      <c r="Z771" s="28"/>
      <c r="AA771" s="28"/>
      <c r="AB771" s="28"/>
    </row>
    <row r="772" ht="15.75" customHeight="1">
      <c r="D772" s="21"/>
      <c r="M772" s="22"/>
      <c r="N772" s="23"/>
      <c r="O772" s="24"/>
      <c r="P772" s="24"/>
      <c r="Q772" s="24"/>
      <c r="R772" s="24"/>
      <c r="S772" s="24"/>
      <c r="T772" s="24"/>
      <c r="U772" s="25"/>
      <c r="X772" s="26"/>
      <c r="Y772" s="27"/>
      <c r="Z772" s="28"/>
      <c r="AA772" s="28"/>
      <c r="AB772" s="28"/>
    </row>
    <row r="773" ht="15.75" customHeight="1">
      <c r="D773" s="21"/>
      <c r="M773" s="22"/>
      <c r="N773" s="23"/>
      <c r="O773" s="24"/>
      <c r="P773" s="24"/>
      <c r="Q773" s="24"/>
      <c r="R773" s="24"/>
      <c r="S773" s="24"/>
      <c r="T773" s="24"/>
      <c r="U773" s="25"/>
      <c r="X773" s="26"/>
      <c r="Y773" s="27"/>
      <c r="Z773" s="28"/>
      <c r="AA773" s="28"/>
      <c r="AB773" s="28"/>
    </row>
    <row r="774" ht="15.75" customHeight="1">
      <c r="D774" s="21"/>
      <c r="M774" s="22"/>
      <c r="N774" s="23"/>
      <c r="O774" s="24"/>
      <c r="P774" s="24"/>
      <c r="Q774" s="24"/>
      <c r="R774" s="24"/>
      <c r="S774" s="24"/>
      <c r="T774" s="24"/>
      <c r="U774" s="25"/>
      <c r="X774" s="26"/>
      <c r="Y774" s="27"/>
      <c r="Z774" s="28"/>
      <c r="AA774" s="28"/>
      <c r="AB774" s="28"/>
    </row>
    <row r="775" ht="15.75" customHeight="1">
      <c r="D775" s="21"/>
      <c r="M775" s="22"/>
      <c r="N775" s="23"/>
      <c r="O775" s="24"/>
      <c r="P775" s="24"/>
      <c r="Q775" s="24"/>
      <c r="R775" s="24"/>
      <c r="S775" s="24"/>
      <c r="T775" s="24"/>
      <c r="U775" s="25"/>
      <c r="X775" s="26"/>
      <c r="Y775" s="27"/>
      <c r="Z775" s="28"/>
      <c r="AA775" s="28"/>
      <c r="AB775" s="28"/>
    </row>
    <row r="776" ht="15.75" customHeight="1">
      <c r="D776" s="21"/>
      <c r="M776" s="22"/>
      <c r="N776" s="23"/>
      <c r="O776" s="24"/>
      <c r="P776" s="24"/>
      <c r="Q776" s="24"/>
      <c r="R776" s="24"/>
      <c r="S776" s="24"/>
      <c r="T776" s="24"/>
      <c r="U776" s="25"/>
      <c r="X776" s="26"/>
      <c r="Y776" s="27"/>
      <c r="Z776" s="28"/>
      <c r="AA776" s="28"/>
      <c r="AB776" s="28"/>
    </row>
    <row r="777" ht="15.75" customHeight="1">
      <c r="D777" s="21"/>
      <c r="M777" s="22"/>
      <c r="N777" s="23"/>
      <c r="O777" s="24"/>
      <c r="P777" s="24"/>
      <c r="Q777" s="24"/>
      <c r="R777" s="24"/>
      <c r="S777" s="24"/>
      <c r="T777" s="24"/>
      <c r="U777" s="25"/>
      <c r="X777" s="26"/>
      <c r="Y777" s="27"/>
      <c r="Z777" s="28"/>
      <c r="AA777" s="28"/>
      <c r="AB777" s="28"/>
    </row>
    <row r="778" ht="15.75" customHeight="1">
      <c r="D778" s="21"/>
      <c r="M778" s="22"/>
      <c r="N778" s="23"/>
      <c r="O778" s="24"/>
      <c r="P778" s="24"/>
      <c r="Q778" s="24"/>
      <c r="R778" s="24"/>
      <c r="S778" s="24"/>
      <c r="T778" s="24"/>
      <c r="U778" s="25"/>
      <c r="X778" s="26"/>
      <c r="Y778" s="27"/>
      <c r="Z778" s="28"/>
      <c r="AA778" s="28"/>
      <c r="AB778" s="28"/>
    </row>
    <row r="779" ht="15.75" customHeight="1">
      <c r="D779" s="21"/>
      <c r="M779" s="22"/>
      <c r="N779" s="23"/>
      <c r="O779" s="24"/>
      <c r="P779" s="24"/>
      <c r="Q779" s="24"/>
      <c r="R779" s="24"/>
      <c r="S779" s="24"/>
      <c r="T779" s="24"/>
      <c r="U779" s="25"/>
      <c r="X779" s="26"/>
      <c r="Y779" s="27"/>
      <c r="Z779" s="28"/>
      <c r="AA779" s="28"/>
      <c r="AB779" s="28"/>
    </row>
    <row r="780" ht="15.75" customHeight="1">
      <c r="D780" s="21"/>
      <c r="M780" s="22"/>
      <c r="N780" s="23"/>
      <c r="O780" s="24"/>
      <c r="P780" s="24"/>
      <c r="Q780" s="24"/>
      <c r="R780" s="24"/>
      <c r="S780" s="24"/>
      <c r="T780" s="24"/>
      <c r="U780" s="25"/>
      <c r="X780" s="26"/>
      <c r="Y780" s="27"/>
      <c r="Z780" s="28"/>
      <c r="AA780" s="28"/>
      <c r="AB780" s="28"/>
    </row>
    <row r="781" ht="15.75" customHeight="1">
      <c r="D781" s="21"/>
      <c r="M781" s="22"/>
      <c r="N781" s="23"/>
      <c r="O781" s="24"/>
      <c r="P781" s="24"/>
      <c r="Q781" s="24"/>
      <c r="R781" s="24"/>
      <c r="S781" s="24"/>
      <c r="T781" s="24"/>
      <c r="U781" s="25"/>
      <c r="X781" s="26"/>
      <c r="Y781" s="27"/>
      <c r="Z781" s="28"/>
      <c r="AA781" s="28"/>
      <c r="AB781" s="28"/>
    </row>
    <row r="782" ht="15.75" customHeight="1">
      <c r="D782" s="21"/>
      <c r="M782" s="22"/>
      <c r="N782" s="23"/>
      <c r="O782" s="24"/>
      <c r="P782" s="24"/>
      <c r="Q782" s="24"/>
      <c r="R782" s="24"/>
      <c r="S782" s="24"/>
      <c r="T782" s="24"/>
      <c r="U782" s="25"/>
      <c r="X782" s="26"/>
      <c r="Y782" s="27"/>
      <c r="Z782" s="28"/>
      <c r="AA782" s="28"/>
      <c r="AB782" s="28"/>
    </row>
    <row r="783" ht="15.75" customHeight="1">
      <c r="D783" s="21"/>
      <c r="M783" s="22"/>
      <c r="N783" s="23"/>
      <c r="O783" s="24"/>
      <c r="P783" s="24"/>
      <c r="Q783" s="24"/>
      <c r="R783" s="24"/>
      <c r="S783" s="24"/>
      <c r="T783" s="24"/>
      <c r="U783" s="25"/>
      <c r="X783" s="26"/>
      <c r="Y783" s="27"/>
      <c r="Z783" s="28"/>
      <c r="AA783" s="28"/>
      <c r="AB783" s="28"/>
    </row>
    <row r="784" ht="15.75" customHeight="1">
      <c r="D784" s="21"/>
      <c r="M784" s="22"/>
      <c r="N784" s="23"/>
      <c r="O784" s="24"/>
      <c r="P784" s="24"/>
      <c r="Q784" s="24"/>
      <c r="R784" s="24"/>
      <c r="S784" s="24"/>
      <c r="T784" s="24"/>
      <c r="U784" s="25"/>
      <c r="X784" s="26"/>
      <c r="Y784" s="27"/>
      <c r="Z784" s="28"/>
      <c r="AA784" s="28"/>
      <c r="AB784" s="28"/>
    </row>
    <row r="785" ht="15.75" customHeight="1">
      <c r="D785" s="21"/>
      <c r="M785" s="22"/>
      <c r="N785" s="23"/>
      <c r="O785" s="24"/>
      <c r="P785" s="24"/>
      <c r="Q785" s="24"/>
      <c r="R785" s="24"/>
      <c r="S785" s="24"/>
      <c r="T785" s="24"/>
      <c r="U785" s="25"/>
      <c r="X785" s="26"/>
      <c r="Y785" s="27"/>
      <c r="Z785" s="28"/>
      <c r="AA785" s="28"/>
      <c r="AB785" s="28"/>
    </row>
    <row r="786" ht="15.75" customHeight="1">
      <c r="D786" s="21"/>
      <c r="M786" s="22"/>
      <c r="N786" s="23"/>
      <c r="O786" s="24"/>
      <c r="P786" s="24"/>
      <c r="Q786" s="24"/>
      <c r="R786" s="24"/>
      <c r="S786" s="24"/>
      <c r="T786" s="24"/>
      <c r="U786" s="25"/>
      <c r="X786" s="26"/>
      <c r="Y786" s="27"/>
      <c r="Z786" s="28"/>
      <c r="AA786" s="28"/>
      <c r="AB786" s="28"/>
    </row>
    <row r="787" ht="15.75" customHeight="1">
      <c r="D787" s="21"/>
      <c r="M787" s="22"/>
      <c r="N787" s="23"/>
      <c r="O787" s="24"/>
      <c r="P787" s="24"/>
      <c r="Q787" s="24"/>
      <c r="R787" s="24"/>
      <c r="S787" s="24"/>
      <c r="T787" s="24"/>
      <c r="U787" s="25"/>
      <c r="X787" s="26"/>
      <c r="Y787" s="27"/>
      <c r="Z787" s="28"/>
      <c r="AA787" s="28"/>
      <c r="AB787" s="28"/>
    </row>
    <row r="788" ht="15.75" customHeight="1">
      <c r="D788" s="21"/>
      <c r="M788" s="22"/>
      <c r="N788" s="23"/>
      <c r="O788" s="24"/>
      <c r="P788" s="24"/>
      <c r="Q788" s="24"/>
      <c r="R788" s="24"/>
      <c r="S788" s="24"/>
      <c r="T788" s="24"/>
      <c r="U788" s="25"/>
      <c r="X788" s="26"/>
      <c r="Y788" s="27"/>
      <c r="Z788" s="28"/>
      <c r="AA788" s="28"/>
      <c r="AB788" s="28"/>
    </row>
    <row r="789" ht="15.75" customHeight="1">
      <c r="D789" s="21"/>
      <c r="M789" s="22"/>
      <c r="N789" s="23"/>
      <c r="O789" s="24"/>
      <c r="P789" s="24"/>
      <c r="Q789" s="24"/>
      <c r="R789" s="24"/>
      <c r="S789" s="24"/>
      <c r="T789" s="24"/>
      <c r="U789" s="25"/>
      <c r="X789" s="26"/>
      <c r="Y789" s="27"/>
      <c r="Z789" s="28"/>
      <c r="AA789" s="28"/>
      <c r="AB789" s="28"/>
    </row>
    <row r="790" ht="15.75" customHeight="1">
      <c r="D790" s="21"/>
      <c r="M790" s="22"/>
      <c r="N790" s="23"/>
      <c r="O790" s="24"/>
      <c r="P790" s="24"/>
      <c r="Q790" s="24"/>
      <c r="R790" s="24"/>
      <c r="S790" s="24"/>
      <c r="T790" s="24"/>
      <c r="U790" s="25"/>
      <c r="X790" s="26"/>
      <c r="Y790" s="27"/>
      <c r="Z790" s="28"/>
      <c r="AA790" s="28"/>
      <c r="AB790" s="28"/>
    </row>
    <row r="791" ht="15.75" customHeight="1">
      <c r="D791" s="21"/>
      <c r="M791" s="22"/>
      <c r="N791" s="23"/>
      <c r="O791" s="24"/>
      <c r="P791" s="24"/>
      <c r="Q791" s="24"/>
      <c r="R791" s="24"/>
      <c r="S791" s="24"/>
      <c r="T791" s="24"/>
      <c r="U791" s="25"/>
      <c r="X791" s="26"/>
      <c r="Y791" s="27"/>
      <c r="Z791" s="28"/>
      <c r="AA791" s="28"/>
      <c r="AB791" s="28"/>
    </row>
    <row r="792" ht="15.75" customHeight="1">
      <c r="D792" s="21"/>
      <c r="M792" s="22"/>
      <c r="N792" s="23"/>
      <c r="O792" s="24"/>
      <c r="P792" s="24"/>
      <c r="Q792" s="24"/>
      <c r="R792" s="24"/>
      <c r="S792" s="24"/>
      <c r="T792" s="24"/>
      <c r="U792" s="25"/>
      <c r="X792" s="26"/>
      <c r="Y792" s="27"/>
      <c r="Z792" s="28"/>
      <c r="AA792" s="28"/>
      <c r="AB792" s="28"/>
    </row>
    <row r="793" ht="15.75" customHeight="1">
      <c r="D793" s="21"/>
      <c r="M793" s="22"/>
      <c r="N793" s="23"/>
      <c r="O793" s="24"/>
      <c r="P793" s="24"/>
      <c r="Q793" s="24"/>
      <c r="R793" s="24"/>
      <c r="S793" s="24"/>
      <c r="T793" s="24"/>
      <c r="U793" s="25"/>
      <c r="X793" s="26"/>
      <c r="Y793" s="27"/>
      <c r="Z793" s="28"/>
      <c r="AA793" s="28"/>
      <c r="AB793" s="28"/>
    </row>
    <row r="794" ht="15.75" customHeight="1">
      <c r="D794" s="21"/>
      <c r="M794" s="22"/>
      <c r="N794" s="23"/>
      <c r="O794" s="24"/>
      <c r="P794" s="24"/>
      <c r="Q794" s="24"/>
      <c r="R794" s="24"/>
      <c r="S794" s="24"/>
      <c r="T794" s="24"/>
      <c r="U794" s="25"/>
      <c r="X794" s="26"/>
      <c r="Y794" s="27"/>
      <c r="Z794" s="28"/>
      <c r="AA794" s="28"/>
      <c r="AB794" s="28"/>
    </row>
    <row r="795" ht="15.75" customHeight="1">
      <c r="D795" s="21"/>
      <c r="M795" s="22"/>
      <c r="N795" s="23"/>
      <c r="O795" s="24"/>
      <c r="P795" s="24"/>
      <c r="Q795" s="24"/>
      <c r="R795" s="24"/>
      <c r="S795" s="24"/>
      <c r="T795" s="24"/>
      <c r="U795" s="25"/>
      <c r="X795" s="26"/>
      <c r="Y795" s="27"/>
      <c r="Z795" s="28"/>
      <c r="AA795" s="28"/>
      <c r="AB795" s="28"/>
    </row>
    <row r="796" ht="15.75" customHeight="1">
      <c r="D796" s="21"/>
      <c r="M796" s="22"/>
      <c r="N796" s="23"/>
      <c r="O796" s="24"/>
      <c r="P796" s="24"/>
      <c r="Q796" s="24"/>
      <c r="R796" s="24"/>
      <c r="S796" s="24"/>
      <c r="T796" s="24"/>
      <c r="U796" s="25"/>
      <c r="X796" s="26"/>
      <c r="Y796" s="27"/>
      <c r="Z796" s="28"/>
      <c r="AA796" s="28"/>
      <c r="AB796" s="28"/>
    </row>
    <row r="797" ht="15.75" customHeight="1">
      <c r="D797" s="21"/>
      <c r="M797" s="22"/>
      <c r="N797" s="23"/>
      <c r="O797" s="24"/>
      <c r="P797" s="24"/>
      <c r="Q797" s="24"/>
      <c r="R797" s="24"/>
      <c r="S797" s="24"/>
      <c r="T797" s="24"/>
      <c r="U797" s="25"/>
      <c r="X797" s="26"/>
      <c r="Y797" s="27"/>
      <c r="Z797" s="28"/>
      <c r="AA797" s="28"/>
      <c r="AB797" s="28"/>
    </row>
    <row r="798" ht="15.75" customHeight="1">
      <c r="D798" s="21"/>
      <c r="M798" s="22"/>
      <c r="N798" s="23"/>
      <c r="O798" s="24"/>
      <c r="P798" s="24"/>
      <c r="Q798" s="24"/>
      <c r="R798" s="24"/>
      <c r="S798" s="24"/>
      <c r="T798" s="24"/>
      <c r="U798" s="25"/>
      <c r="X798" s="26"/>
      <c r="Y798" s="27"/>
      <c r="Z798" s="28"/>
      <c r="AA798" s="28"/>
      <c r="AB798" s="28"/>
    </row>
    <row r="799" ht="15.75" customHeight="1">
      <c r="D799" s="21"/>
      <c r="M799" s="22"/>
      <c r="N799" s="23"/>
      <c r="O799" s="24"/>
      <c r="P799" s="24"/>
      <c r="Q799" s="24"/>
      <c r="R799" s="24"/>
      <c r="S799" s="24"/>
      <c r="T799" s="24"/>
      <c r="U799" s="25"/>
      <c r="X799" s="26"/>
      <c r="Y799" s="27"/>
      <c r="Z799" s="28"/>
      <c r="AA799" s="28"/>
      <c r="AB799" s="28"/>
    </row>
    <row r="800" ht="15.75" customHeight="1">
      <c r="D800" s="21"/>
      <c r="M800" s="22"/>
      <c r="N800" s="23"/>
      <c r="O800" s="24"/>
      <c r="P800" s="24"/>
      <c r="Q800" s="24"/>
      <c r="R800" s="24"/>
      <c r="S800" s="24"/>
      <c r="T800" s="24"/>
      <c r="U800" s="25"/>
      <c r="X800" s="26"/>
      <c r="Y800" s="27"/>
      <c r="Z800" s="28"/>
      <c r="AA800" s="28"/>
      <c r="AB800" s="28"/>
    </row>
    <row r="801" ht="15.75" customHeight="1">
      <c r="D801" s="21"/>
      <c r="M801" s="22"/>
      <c r="N801" s="23"/>
      <c r="O801" s="24"/>
      <c r="P801" s="24"/>
      <c r="Q801" s="24"/>
      <c r="R801" s="24"/>
      <c r="S801" s="24"/>
      <c r="T801" s="24"/>
      <c r="U801" s="25"/>
      <c r="X801" s="26"/>
      <c r="Y801" s="27"/>
      <c r="Z801" s="28"/>
      <c r="AA801" s="28"/>
      <c r="AB801" s="28"/>
    </row>
    <row r="802" ht="15.75" customHeight="1">
      <c r="D802" s="21"/>
      <c r="M802" s="22"/>
      <c r="N802" s="23"/>
      <c r="O802" s="24"/>
      <c r="P802" s="24"/>
      <c r="Q802" s="24"/>
      <c r="R802" s="24"/>
      <c r="S802" s="24"/>
      <c r="T802" s="24"/>
      <c r="U802" s="25"/>
      <c r="X802" s="26"/>
      <c r="Y802" s="27"/>
      <c r="Z802" s="28"/>
      <c r="AA802" s="28"/>
      <c r="AB802" s="28"/>
    </row>
    <row r="803" ht="15.75" customHeight="1">
      <c r="D803" s="21"/>
      <c r="M803" s="22"/>
      <c r="N803" s="23"/>
      <c r="O803" s="24"/>
      <c r="P803" s="24"/>
      <c r="Q803" s="24"/>
      <c r="R803" s="24"/>
      <c r="S803" s="24"/>
      <c r="T803" s="24"/>
      <c r="U803" s="25"/>
      <c r="X803" s="26"/>
      <c r="Y803" s="27"/>
      <c r="Z803" s="28"/>
      <c r="AA803" s="28"/>
      <c r="AB803" s="28"/>
    </row>
    <row r="804" ht="15.75" customHeight="1">
      <c r="D804" s="21"/>
      <c r="M804" s="22"/>
      <c r="N804" s="23"/>
      <c r="O804" s="24"/>
      <c r="P804" s="24"/>
      <c r="Q804" s="24"/>
      <c r="R804" s="24"/>
      <c r="S804" s="24"/>
      <c r="T804" s="24"/>
      <c r="U804" s="25"/>
      <c r="X804" s="26"/>
      <c r="Y804" s="27"/>
      <c r="Z804" s="28"/>
      <c r="AA804" s="28"/>
      <c r="AB804" s="28"/>
    </row>
    <row r="805" ht="15.75" customHeight="1">
      <c r="D805" s="21"/>
      <c r="M805" s="22"/>
      <c r="N805" s="23"/>
      <c r="O805" s="24"/>
      <c r="P805" s="24"/>
      <c r="Q805" s="24"/>
      <c r="R805" s="24"/>
      <c r="S805" s="24"/>
      <c r="T805" s="24"/>
      <c r="U805" s="25"/>
      <c r="X805" s="26"/>
      <c r="Y805" s="27"/>
      <c r="Z805" s="28"/>
      <c r="AA805" s="28"/>
      <c r="AB805" s="28"/>
    </row>
    <row r="806" ht="15.75" customHeight="1">
      <c r="D806" s="21"/>
      <c r="M806" s="22"/>
      <c r="N806" s="23"/>
      <c r="O806" s="24"/>
      <c r="P806" s="24"/>
      <c r="Q806" s="24"/>
      <c r="R806" s="24"/>
      <c r="S806" s="24"/>
      <c r="T806" s="24"/>
      <c r="U806" s="25"/>
      <c r="X806" s="26"/>
      <c r="Y806" s="27"/>
      <c r="Z806" s="28"/>
      <c r="AA806" s="28"/>
      <c r="AB806" s="28"/>
    </row>
    <row r="807" ht="15.75" customHeight="1">
      <c r="D807" s="21"/>
      <c r="M807" s="22"/>
      <c r="N807" s="23"/>
      <c r="O807" s="24"/>
      <c r="P807" s="24"/>
      <c r="Q807" s="24"/>
      <c r="R807" s="24"/>
      <c r="S807" s="24"/>
      <c r="T807" s="24"/>
      <c r="U807" s="25"/>
      <c r="X807" s="26"/>
      <c r="Y807" s="27"/>
      <c r="Z807" s="28"/>
      <c r="AA807" s="28"/>
      <c r="AB807" s="28"/>
    </row>
    <row r="808" ht="15.75" customHeight="1">
      <c r="D808" s="21"/>
      <c r="M808" s="22"/>
      <c r="N808" s="23"/>
      <c r="O808" s="24"/>
      <c r="P808" s="24"/>
      <c r="Q808" s="24"/>
      <c r="R808" s="24"/>
      <c r="S808" s="24"/>
      <c r="T808" s="24"/>
      <c r="U808" s="25"/>
      <c r="X808" s="26"/>
      <c r="Y808" s="27"/>
      <c r="Z808" s="28"/>
      <c r="AA808" s="28"/>
      <c r="AB808" s="28"/>
    </row>
    <row r="809" ht="15.75" customHeight="1">
      <c r="D809" s="21"/>
      <c r="M809" s="22"/>
      <c r="N809" s="23"/>
      <c r="O809" s="24"/>
      <c r="P809" s="24"/>
      <c r="Q809" s="24"/>
      <c r="R809" s="24"/>
      <c r="S809" s="24"/>
      <c r="T809" s="24"/>
      <c r="U809" s="25"/>
      <c r="X809" s="26"/>
      <c r="Y809" s="27"/>
      <c r="Z809" s="28"/>
      <c r="AA809" s="28"/>
      <c r="AB809" s="28"/>
    </row>
    <row r="810" ht="15.75" customHeight="1">
      <c r="D810" s="21"/>
      <c r="M810" s="22"/>
      <c r="N810" s="23"/>
      <c r="O810" s="24"/>
      <c r="P810" s="24"/>
      <c r="Q810" s="24"/>
      <c r="R810" s="24"/>
      <c r="S810" s="24"/>
      <c r="T810" s="24"/>
      <c r="U810" s="25"/>
      <c r="X810" s="26"/>
      <c r="Y810" s="27"/>
      <c r="Z810" s="28"/>
      <c r="AA810" s="28"/>
      <c r="AB810" s="28"/>
    </row>
    <row r="811" ht="15.75" customHeight="1">
      <c r="D811" s="21"/>
      <c r="M811" s="22"/>
      <c r="N811" s="23"/>
      <c r="O811" s="24"/>
      <c r="P811" s="24"/>
      <c r="Q811" s="24"/>
      <c r="R811" s="24"/>
      <c r="S811" s="24"/>
      <c r="T811" s="24"/>
      <c r="U811" s="25"/>
      <c r="X811" s="26"/>
      <c r="Y811" s="27"/>
      <c r="Z811" s="28"/>
      <c r="AA811" s="28"/>
      <c r="AB811" s="28"/>
    </row>
    <row r="812" ht="15.75" customHeight="1">
      <c r="D812" s="21"/>
      <c r="M812" s="22"/>
      <c r="N812" s="23"/>
      <c r="O812" s="24"/>
      <c r="P812" s="24"/>
      <c r="Q812" s="24"/>
      <c r="R812" s="24"/>
      <c r="S812" s="24"/>
      <c r="T812" s="24"/>
      <c r="U812" s="25"/>
      <c r="X812" s="26"/>
      <c r="Y812" s="27"/>
      <c r="Z812" s="28"/>
      <c r="AA812" s="28"/>
      <c r="AB812" s="28"/>
    </row>
    <row r="813" ht="15.75" customHeight="1">
      <c r="D813" s="21"/>
      <c r="M813" s="22"/>
      <c r="N813" s="23"/>
      <c r="O813" s="24"/>
      <c r="P813" s="24"/>
      <c r="Q813" s="24"/>
      <c r="R813" s="24"/>
      <c r="S813" s="24"/>
      <c r="T813" s="24"/>
      <c r="U813" s="25"/>
      <c r="X813" s="26"/>
      <c r="Y813" s="27"/>
      <c r="Z813" s="28"/>
      <c r="AA813" s="28"/>
      <c r="AB813" s="28"/>
    </row>
    <row r="814" ht="15.75" customHeight="1">
      <c r="D814" s="21"/>
      <c r="M814" s="22"/>
      <c r="N814" s="23"/>
      <c r="O814" s="24"/>
      <c r="P814" s="24"/>
      <c r="Q814" s="24"/>
      <c r="R814" s="24"/>
      <c r="S814" s="24"/>
      <c r="T814" s="24"/>
      <c r="U814" s="25"/>
      <c r="X814" s="26"/>
      <c r="Y814" s="27"/>
      <c r="Z814" s="28"/>
      <c r="AA814" s="28"/>
      <c r="AB814" s="28"/>
    </row>
    <row r="815" ht="15.75" customHeight="1">
      <c r="D815" s="21"/>
      <c r="M815" s="22"/>
      <c r="N815" s="23"/>
      <c r="O815" s="24"/>
      <c r="P815" s="24"/>
      <c r="Q815" s="24"/>
      <c r="R815" s="24"/>
      <c r="S815" s="24"/>
      <c r="T815" s="24"/>
      <c r="U815" s="25"/>
      <c r="X815" s="26"/>
      <c r="Y815" s="27"/>
      <c r="Z815" s="28"/>
      <c r="AA815" s="28"/>
      <c r="AB815" s="28"/>
    </row>
    <row r="816" ht="15.75" customHeight="1">
      <c r="D816" s="21"/>
      <c r="M816" s="22"/>
      <c r="N816" s="23"/>
      <c r="O816" s="24"/>
      <c r="P816" s="24"/>
      <c r="Q816" s="24"/>
      <c r="R816" s="24"/>
      <c r="S816" s="24"/>
      <c r="T816" s="24"/>
      <c r="U816" s="25"/>
      <c r="X816" s="26"/>
      <c r="Y816" s="27"/>
      <c r="Z816" s="28"/>
      <c r="AA816" s="28"/>
      <c r="AB816" s="28"/>
    </row>
    <row r="817" ht="15.75" customHeight="1">
      <c r="D817" s="21"/>
      <c r="M817" s="22"/>
      <c r="N817" s="23"/>
      <c r="O817" s="24"/>
      <c r="P817" s="24"/>
      <c r="Q817" s="24"/>
      <c r="R817" s="24"/>
      <c r="S817" s="24"/>
      <c r="T817" s="24"/>
      <c r="U817" s="25"/>
      <c r="X817" s="26"/>
      <c r="Y817" s="27"/>
      <c r="Z817" s="28"/>
      <c r="AA817" s="28"/>
      <c r="AB817" s="28"/>
    </row>
    <row r="818" ht="15.75" customHeight="1">
      <c r="D818" s="21"/>
      <c r="M818" s="22"/>
      <c r="N818" s="23"/>
      <c r="O818" s="24"/>
      <c r="P818" s="24"/>
      <c r="Q818" s="24"/>
      <c r="R818" s="24"/>
      <c r="S818" s="24"/>
      <c r="T818" s="24"/>
      <c r="U818" s="25"/>
      <c r="X818" s="26"/>
      <c r="Y818" s="27"/>
      <c r="Z818" s="28"/>
      <c r="AA818" s="28"/>
      <c r="AB818" s="28"/>
    </row>
    <row r="819" ht="15.75" customHeight="1">
      <c r="D819" s="21"/>
      <c r="M819" s="22"/>
      <c r="N819" s="23"/>
      <c r="O819" s="24"/>
      <c r="P819" s="24"/>
      <c r="Q819" s="24"/>
      <c r="R819" s="24"/>
      <c r="S819" s="24"/>
      <c r="T819" s="24"/>
      <c r="U819" s="25"/>
      <c r="X819" s="26"/>
      <c r="Y819" s="27"/>
      <c r="Z819" s="28"/>
      <c r="AA819" s="28"/>
      <c r="AB819" s="28"/>
    </row>
    <row r="820" ht="15.75" customHeight="1">
      <c r="D820" s="21"/>
      <c r="M820" s="22"/>
      <c r="N820" s="23"/>
      <c r="O820" s="24"/>
      <c r="P820" s="24"/>
      <c r="Q820" s="24"/>
      <c r="R820" s="24"/>
      <c r="S820" s="24"/>
      <c r="T820" s="24"/>
      <c r="U820" s="25"/>
      <c r="X820" s="26"/>
      <c r="Y820" s="27"/>
      <c r="Z820" s="28"/>
      <c r="AA820" s="28"/>
      <c r="AB820" s="28"/>
    </row>
    <row r="821" ht="15.75" customHeight="1">
      <c r="D821" s="21"/>
      <c r="M821" s="22"/>
      <c r="N821" s="23"/>
      <c r="O821" s="24"/>
      <c r="P821" s="24"/>
      <c r="Q821" s="24"/>
      <c r="R821" s="24"/>
      <c r="S821" s="24"/>
      <c r="T821" s="24"/>
      <c r="U821" s="25"/>
      <c r="X821" s="26"/>
      <c r="Y821" s="27"/>
      <c r="Z821" s="28"/>
      <c r="AA821" s="28"/>
      <c r="AB821" s="28"/>
    </row>
    <row r="822" ht="15.75" customHeight="1">
      <c r="D822" s="21"/>
      <c r="M822" s="22"/>
      <c r="N822" s="23"/>
      <c r="O822" s="24"/>
      <c r="P822" s="24"/>
      <c r="Q822" s="24"/>
      <c r="R822" s="24"/>
      <c r="S822" s="24"/>
      <c r="T822" s="24"/>
      <c r="U822" s="25"/>
      <c r="X822" s="26"/>
      <c r="Y822" s="27"/>
      <c r="Z822" s="28"/>
      <c r="AA822" s="28"/>
      <c r="AB822" s="28"/>
    </row>
    <row r="823" ht="15.75" customHeight="1">
      <c r="D823" s="21"/>
      <c r="M823" s="22"/>
      <c r="N823" s="23"/>
      <c r="O823" s="24"/>
      <c r="P823" s="24"/>
      <c r="Q823" s="24"/>
      <c r="R823" s="24"/>
      <c r="S823" s="24"/>
      <c r="T823" s="24"/>
      <c r="U823" s="25"/>
      <c r="X823" s="26"/>
      <c r="Y823" s="27"/>
      <c r="Z823" s="28"/>
      <c r="AA823" s="28"/>
      <c r="AB823" s="28"/>
    </row>
    <row r="824" ht="15.75" customHeight="1">
      <c r="D824" s="21"/>
      <c r="M824" s="22"/>
      <c r="N824" s="23"/>
      <c r="O824" s="24"/>
      <c r="P824" s="24"/>
      <c r="Q824" s="24"/>
      <c r="R824" s="24"/>
      <c r="S824" s="24"/>
      <c r="T824" s="24"/>
      <c r="U824" s="25"/>
      <c r="X824" s="26"/>
      <c r="Y824" s="27"/>
      <c r="Z824" s="28"/>
      <c r="AA824" s="28"/>
      <c r="AB824" s="28"/>
    </row>
    <row r="825" ht="15.75" customHeight="1">
      <c r="D825" s="21"/>
      <c r="M825" s="22"/>
      <c r="N825" s="23"/>
      <c r="O825" s="24"/>
      <c r="P825" s="24"/>
      <c r="Q825" s="24"/>
      <c r="R825" s="24"/>
      <c r="S825" s="24"/>
      <c r="T825" s="24"/>
      <c r="U825" s="25"/>
      <c r="X825" s="26"/>
      <c r="Y825" s="27"/>
      <c r="Z825" s="28"/>
      <c r="AA825" s="28"/>
      <c r="AB825" s="28"/>
    </row>
    <row r="826" ht="15.75" customHeight="1">
      <c r="D826" s="21"/>
      <c r="M826" s="22"/>
      <c r="N826" s="23"/>
      <c r="O826" s="24"/>
      <c r="P826" s="24"/>
      <c r="Q826" s="24"/>
      <c r="R826" s="24"/>
      <c r="S826" s="24"/>
      <c r="T826" s="24"/>
      <c r="U826" s="25"/>
      <c r="X826" s="26"/>
      <c r="Y826" s="27"/>
      <c r="Z826" s="28"/>
      <c r="AA826" s="28"/>
      <c r="AB826" s="28"/>
    </row>
    <row r="827" ht="15.75" customHeight="1">
      <c r="D827" s="21"/>
      <c r="M827" s="22"/>
      <c r="N827" s="23"/>
      <c r="O827" s="24"/>
      <c r="P827" s="24"/>
      <c r="Q827" s="24"/>
      <c r="R827" s="24"/>
      <c r="S827" s="24"/>
      <c r="T827" s="24"/>
      <c r="U827" s="25"/>
      <c r="X827" s="26"/>
      <c r="Y827" s="27"/>
      <c r="Z827" s="28"/>
      <c r="AA827" s="28"/>
      <c r="AB827" s="28"/>
    </row>
    <row r="828" ht="15.75" customHeight="1">
      <c r="D828" s="21"/>
      <c r="M828" s="22"/>
      <c r="N828" s="23"/>
      <c r="O828" s="24"/>
      <c r="P828" s="24"/>
      <c r="Q828" s="24"/>
      <c r="R828" s="24"/>
      <c r="S828" s="24"/>
      <c r="T828" s="24"/>
      <c r="U828" s="25"/>
      <c r="X828" s="26"/>
      <c r="Y828" s="27"/>
      <c r="Z828" s="28"/>
      <c r="AA828" s="28"/>
      <c r="AB828" s="28"/>
    </row>
    <row r="829" ht="15.75" customHeight="1">
      <c r="D829" s="21"/>
      <c r="M829" s="22"/>
      <c r="N829" s="23"/>
      <c r="O829" s="24"/>
      <c r="P829" s="24"/>
      <c r="Q829" s="24"/>
      <c r="R829" s="24"/>
      <c r="S829" s="24"/>
      <c r="T829" s="24"/>
      <c r="U829" s="25"/>
      <c r="X829" s="26"/>
      <c r="Y829" s="27"/>
      <c r="Z829" s="28"/>
      <c r="AA829" s="28"/>
      <c r="AB829" s="28"/>
    </row>
    <row r="830" ht="15.75" customHeight="1">
      <c r="D830" s="21"/>
      <c r="M830" s="22"/>
      <c r="N830" s="23"/>
      <c r="O830" s="24"/>
      <c r="P830" s="24"/>
      <c r="Q830" s="24"/>
      <c r="R830" s="24"/>
      <c r="S830" s="24"/>
      <c r="T830" s="24"/>
      <c r="U830" s="25"/>
      <c r="X830" s="26"/>
      <c r="Y830" s="27"/>
      <c r="Z830" s="28"/>
      <c r="AA830" s="28"/>
      <c r="AB830" s="28"/>
    </row>
    <row r="831" ht="15.75" customHeight="1">
      <c r="D831" s="21"/>
      <c r="M831" s="22"/>
      <c r="N831" s="23"/>
      <c r="O831" s="24"/>
      <c r="P831" s="24"/>
      <c r="Q831" s="24"/>
      <c r="R831" s="24"/>
      <c r="S831" s="24"/>
      <c r="T831" s="24"/>
      <c r="U831" s="25"/>
      <c r="X831" s="26"/>
      <c r="Y831" s="27"/>
      <c r="Z831" s="28"/>
      <c r="AA831" s="28"/>
      <c r="AB831" s="28"/>
    </row>
    <row r="832" ht="15.75" customHeight="1">
      <c r="D832" s="21"/>
      <c r="M832" s="22"/>
      <c r="N832" s="23"/>
      <c r="O832" s="24"/>
      <c r="P832" s="24"/>
      <c r="Q832" s="24"/>
      <c r="R832" s="24"/>
      <c r="S832" s="24"/>
      <c r="T832" s="24"/>
      <c r="U832" s="25"/>
      <c r="X832" s="26"/>
      <c r="Y832" s="27"/>
      <c r="Z832" s="28"/>
      <c r="AA832" s="28"/>
      <c r="AB832" s="28"/>
    </row>
    <row r="833" ht="15.75" customHeight="1">
      <c r="D833" s="21"/>
      <c r="M833" s="22"/>
      <c r="N833" s="23"/>
      <c r="O833" s="24"/>
      <c r="P833" s="24"/>
      <c r="Q833" s="24"/>
      <c r="R833" s="24"/>
      <c r="S833" s="24"/>
      <c r="T833" s="24"/>
      <c r="U833" s="25"/>
      <c r="X833" s="26"/>
      <c r="Y833" s="27"/>
      <c r="Z833" s="28"/>
      <c r="AA833" s="28"/>
      <c r="AB833" s="28"/>
    </row>
    <row r="834" ht="15.75" customHeight="1">
      <c r="D834" s="21"/>
      <c r="M834" s="22"/>
      <c r="N834" s="23"/>
      <c r="O834" s="24"/>
      <c r="P834" s="24"/>
      <c r="Q834" s="24"/>
      <c r="R834" s="24"/>
      <c r="S834" s="24"/>
      <c r="T834" s="24"/>
      <c r="U834" s="25"/>
      <c r="X834" s="26"/>
      <c r="Y834" s="27"/>
      <c r="Z834" s="28"/>
      <c r="AA834" s="28"/>
      <c r="AB834" s="28"/>
    </row>
    <row r="835" ht="15.75" customHeight="1">
      <c r="D835" s="21"/>
      <c r="M835" s="22"/>
      <c r="N835" s="23"/>
      <c r="O835" s="24"/>
      <c r="P835" s="24"/>
      <c r="Q835" s="24"/>
      <c r="R835" s="24"/>
      <c r="S835" s="24"/>
      <c r="T835" s="24"/>
      <c r="U835" s="25"/>
      <c r="X835" s="26"/>
      <c r="Y835" s="27"/>
      <c r="Z835" s="28"/>
      <c r="AA835" s="28"/>
      <c r="AB835" s="28"/>
    </row>
    <row r="836" ht="15.75" customHeight="1">
      <c r="D836" s="21"/>
      <c r="M836" s="22"/>
      <c r="N836" s="23"/>
      <c r="O836" s="24"/>
      <c r="P836" s="24"/>
      <c r="Q836" s="24"/>
      <c r="R836" s="24"/>
      <c r="S836" s="24"/>
      <c r="T836" s="24"/>
      <c r="U836" s="25"/>
      <c r="X836" s="26"/>
      <c r="Y836" s="27"/>
      <c r="Z836" s="28"/>
      <c r="AA836" s="28"/>
      <c r="AB836" s="28"/>
    </row>
    <row r="837" ht="15.75" customHeight="1">
      <c r="D837" s="21"/>
      <c r="M837" s="22"/>
      <c r="N837" s="23"/>
      <c r="O837" s="24"/>
      <c r="P837" s="24"/>
      <c r="Q837" s="24"/>
      <c r="R837" s="24"/>
      <c r="S837" s="24"/>
      <c r="T837" s="24"/>
      <c r="U837" s="25"/>
      <c r="X837" s="26"/>
      <c r="Y837" s="27"/>
      <c r="Z837" s="28"/>
      <c r="AA837" s="28"/>
      <c r="AB837" s="28"/>
    </row>
    <row r="838" ht="15.75" customHeight="1">
      <c r="D838" s="21"/>
      <c r="M838" s="22"/>
      <c r="N838" s="23"/>
      <c r="O838" s="24"/>
      <c r="P838" s="24"/>
      <c r="Q838" s="24"/>
      <c r="R838" s="24"/>
      <c r="S838" s="24"/>
      <c r="T838" s="24"/>
      <c r="U838" s="25"/>
      <c r="X838" s="26"/>
      <c r="Y838" s="27"/>
      <c r="Z838" s="28"/>
      <c r="AA838" s="28"/>
      <c r="AB838" s="28"/>
    </row>
    <row r="839" ht="15.75" customHeight="1">
      <c r="D839" s="21"/>
      <c r="M839" s="22"/>
      <c r="N839" s="23"/>
      <c r="O839" s="24"/>
      <c r="P839" s="24"/>
      <c r="Q839" s="24"/>
      <c r="R839" s="24"/>
      <c r="S839" s="24"/>
      <c r="T839" s="24"/>
      <c r="U839" s="25"/>
      <c r="X839" s="26"/>
      <c r="Y839" s="27"/>
      <c r="Z839" s="28"/>
      <c r="AA839" s="28"/>
      <c r="AB839" s="28"/>
    </row>
    <row r="840" ht="15.75" customHeight="1">
      <c r="D840" s="21"/>
      <c r="M840" s="22"/>
      <c r="N840" s="23"/>
      <c r="O840" s="24"/>
      <c r="P840" s="24"/>
      <c r="Q840" s="24"/>
      <c r="R840" s="24"/>
      <c r="S840" s="24"/>
      <c r="T840" s="24"/>
      <c r="U840" s="25"/>
      <c r="X840" s="26"/>
      <c r="Y840" s="27"/>
      <c r="Z840" s="28"/>
      <c r="AA840" s="28"/>
      <c r="AB840" s="28"/>
    </row>
    <row r="841" ht="15.75" customHeight="1">
      <c r="D841" s="21"/>
      <c r="M841" s="22"/>
      <c r="N841" s="23"/>
      <c r="O841" s="24"/>
      <c r="P841" s="24"/>
      <c r="Q841" s="24"/>
      <c r="R841" s="24"/>
      <c r="S841" s="24"/>
      <c r="T841" s="24"/>
      <c r="U841" s="25"/>
      <c r="X841" s="26"/>
      <c r="Y841" s="27"/>
      <c r="Z841" s="28"/>
      <c r="AA841" s="28"/>
      <c r="AB841" s="28"/>
    </row>
    <row r="842" ht="15.75" customHeight="1">
      <c r="D842" s="21"/>
      <c r="M842" s="22"/>
      <c r="N842" s="23"/>
      <c r="O842" s="24"/>
      <c r="P842" s="24"/>
      <c r="Q842" s="24"/>
      <c r="R842" s="24"/>
      <c r="S842" s="24"/>
      <c r="T842" s="24"/>
      <c r="U842" s="25"/>
      <c r="X842" s="26"/>
      <c r="Y842" s="27"/>
      <c r="Z842" s="28"/>
      <c r="AA842" s="28"/>
      <c r="AB842" s="28"/>
    </row>
    <row r="843" ht="15.75" customHeight="1">
      <c r="D843" s="21"/>
      <c r="M843" s="22"/>
      <c r="N843" s="23"/>
      <c r="O843" s="24"/>
      <c r="P843" s="24"/>
      <c r="Q843" s="24"/>
      <c r="R843" s="24"/>
      <c r="S843" s="24"/>
      <c r="T843" s="24"/>
      <c r="U843" s="25"/>
      <c r="X843" s="26"/>
      <c r="Y843" s="27"/>
      <c r="Z843" s="28"/>
      <c r="AA843" s="28"/>
      <c r="AB843" s="28"/>
    </row>
    <row r="844" ht="15.75" customHeight="1">
      <c r="D844" s="21"/>
      <c r="M844" s="22"/>
      <c r="N844" s="23"/>
      <c r="O844" s="24"/>
      <c r="P844" s="24"/>
      <c r="Q844" s="24"/>
      <c r="R844" s="24"/>
      <c r="S844" s="24"/>
      <c r="T844" s="24"/>
      <c r="U844" s="25"/>
      <c r="X844" s="26"/>
      <c r="Y844" s="27"/>
      <c r="Z844" s="28"/>
      <c r="AA844" s="28"/>
      <c r="AB844" s="28"/>
    </row>
    <row r="845" ht="15.75" customHeight="1">
      <c r="D845" s="21"/>
      <c r="M845" s="22"/>
      <c r="N845" s="23"/>
      <c r="O845" s="24"/>
      <c r="P845" s="24"/>
      <c r="Q845" s="24"/>
      <c r="R845" s="24"/>
      <c r="S845" s="24"/>
      <c r="T845" s="24"/>
      <c r="U845" s="25"/>
      <c r="X845" s="26"/>
      <c r="Y845" s="27"/>
      <c r="Z845" s="28"/>
      <c r="AA845" s="28"/>
      <c r="AB845" s="28"/>
    </row>
    <row r="846" ht="15.75" customHeight="1">
      <c r="D846" s="21"/>
      <c r="M846" s="22"/>
      <c r="N846" s="23"/>
      <c r="O846" s="24"/>
      <c r="P846" s="24"/>
      <c r="Q846" s="24"/>
      <c r="R846" s="24"/>
      <c r="S846" s="24"/>
      <c r="T846" s="24"/>
      <c r="U846" s="25"/>
      <c r="X846" s="26"/>
      <c r="Y846" s="27"/>
      <c r="Z846" s="28"/>
      <c r="AA846" s="28"/>
      <c r="AB846" s="28"/>
    </row>
    <row r="847" ht="15.75" customHeight="1">
      <c r="D847" s="21"/>
      <c r="M847" s="22"/>
      <c r="N847" s="23"/>
      <c r="O847" s="24"/>
      <c r="P847" s="24"/>
      <c r="Q847" s="24"/>
      <c r="R847" s="24"/>
      <c r="S847" s="24"/>
      <c r="T847" s="24"/>
      <c r="U847" s="25"/>
      <c r="X847" s="26"/>
      <c r="Y847" s="27"/>
      <c r="Z847" s="28"/>
      <c r="AA847" s="28"/>
      <c r="AB847" s="28"/>
    </row>
    <row r="848" ht="15.75" customHeight="1">
      <c r="D848" s="21"/>
      <c r="M848" s="22"/>
      <c r="N848" s="23"/>
      <c r="O848" s="24"/>
      <c r="P848" s="24"/>
      <c r="Q848" s="24"/>
      <c r="R848" s="24"/>
      <c r="S848" s="24"/>
      <c r="T848" s="24"/>
      <c r="U848" s="25"/>
      <c r="X848" s="26"/>
      <c r="Y848" s="27"/>
      <c r="Z848" s="28"/>
      <c r="AA848" s="28"/>
      <c r="AB848" s="28"/>
    </row>
    <row r="849" ht="15.75" customHeight="1">
      <c r="D849" s="21"/>
      <c r="M849" s="22"/>
      <c r="N849" s="23"/>
      <c r="O849" s="24"/>
      <c r="P849" s="24"/>
      <c r="Q849" s="24"/>
      <c r="R849" s="24"/>
      <c r="S849" s="24"/>
      <c r="T849" s="24"/>
      <c r="U849" s="25"/>
      <c r="X849" s="26"/>
      <c r="Y849" s="27"/>
      <c r="Z849" s="28"/>
      <c r="AA849" s="28"/>
      <c r="AB849" s="28"/>
    </row>
    <row r="850" ht="15.75" customHeight="1">
      <c r="D850" s="21"/>
      <c r="M850" s="22"/>
      <c r="N850" s="23"/>
      <c r="O850" s="24"/>
      <c r="P850" s="24"/>
      <c r="Q850" s="24"/>
      <c r="R850" s="24"/>
      <c r="S850" s="24"/>
      <c r="T850" s="24"/>
      <c r="U850" s="25"/>
      <c r="X850" s="26"/>
      <c r="Y850" s="27"/>
      <c r="Z850" s="28"/>
      <c r="AA850" s="28"/>
      <c r="AB850" s="28"/>
    </row>
    <row r="851" ht="15.75" customHeight="1">
      <c r="D851" s="21"/>
      <c r="M851" s="22"/>
      <c r="N851" s="23"/>
      <c r="O851" s="24"/>
      <c r="P851" s="24"/>
      <c r="Q851" s="24"/>
      <c r="R851" s="24"/>
      <c r="S851" s="24"/>
      <c r="T851" s="24"/>
      <c r="U851" s="25"/>
      <c r="X851" s="26"/>
      <c r="Y851" s="27"/>
      <c r="Z851" s="28"/>
      <c r="AA851" s="28"/>
      <c r="AB851" s="28"/>
    </row>
    <row r="852" ht="15.75" customHeight="1">
      <c r="D852" s="21"/>
      <c r="M852" s="22"/>
      <c r="N852" s="23"/>
      <c r="O852" s="24"/>
      <c r="P852" s="24"/>
      <c r="Q852" s="24"/>
      <c r="R852" s="24"/>
      <c r="S852" s="24"/>
      <c r="T852" s="24"/>
      <c r="U852" s="25"/>
      <c r="X852" s="26"/>
      <c r="Y852" s="27"/>
      <c r="Z852" s="28"/>
      <c r="AA852" s="28"/>
      <c r="AB852" s="28"/>
    </row>
    <row r="853" ht="15.75" customHeight="1">
      <c r="D853" s="21"/>
      <c r="M853" s="22"/>
      <c r="N853" s="23"/>
      <c r="O853" s="24"/>
      <c r="P853" s="24"/>
      <c r="Q853" s="24"/>
      <c r="R853" s="24"/>
      <c r="S853" s="24"/>
      <c r="T853" s="24"/>
      <c r="U853" s="25"/>
      <c r="X853" s="26"/>
      <c r="Y853" s="27"/>
      <c r="Z853" s="28"/>
      <c r="AA853" s="28"/>
      <c r="AB853" s="28"/>
    </row>
    <row r="854" ht="15.75" customHeight="1">
      <c r="D854" s="21"/>
      <c r="M854" s="22"/>
      <c r="N854" s="23"/>
      <c r="O854" s="24"/>
      <c r="P854" s="24"/>
      <c r="Q854" s="24"/>
      <c r="R854" s="24"/>
      <c r="S854" s="24"/>
      <c r="T854" s="24"/>
      <c r="U854" s="25"/>
      <c r="X854" s="26"/>
      <c r="Y854" s="27"/>
      <c r="Z854" s="28"/>
      <c r="AA854" s="28"/>
      <c r="AB854" s="28"/>
    </row>
    <row r="855" ht="15.75" customHeight="1">
      <c r="D855" s="21"/>
      <c r="M855" s="22"/>
      <c r="N855" s="23"/>
      <c r="O855" s="24"/>
      <c r="P855" s="24"/>
      <c r="Q855" s="24"/>
      <c r="R855" s="24"/>
      <c r="S855" s="24"/>
      <c r="T855" s="24"/>
      <c r="U855" s="25"/>
      <c r="X855" s="26"/>
      <c r="Y855" s="27"/>
      <c r="Z855" s="28"/>
      <c r="AA855" s="28"/>
      <c r="AB855" s="28"/>
    </row>
    <row r="856" ht="15.75" customHeight="1">
      <c r="D856" s="21"/>
      <c r="M856" s="22"/>
      <c r="N856" s="23"/>
      <c r="O856" s="24"/>
      <c r="P856" s="24"/>
      <c r="Q856" s="24"/>
      <c r="R856" s="24"/>
      <c r="S856" s="24"/>
      <c r="T856" s="24"/>
      <c r="U856" s="25"/>
      <c r="X856" s="26"/>
      <c r="Y856" s="27"/>
      <c r="Z856" s="28"/>
      <c r="AA856" s="28"/>
      <c r="AB856" s="28"/>
    </row>
    <row r="857" ht="15.75" customHeight="1">
      <c r="D857" s="21"/>
      <c r="M857" s="22"/>
      <c r="N857" s="23"/>
      <c r="O857" s="24"/>
      <c r="P857" s="24"/>
      <c r="Q857" s="24"/>
      <c r="R857" s="24"/>
      <c r="S857" s="24"/>
      <c r="T857" s="24"/>
      <c r="U857" s="25"/>
      <c r="X857" s="26"/>
      <c r="Y857" s="27"/>
      <c r="Z857" s="28"/>
      <c r="AA857" s="28"/>
      <c r="AB857" s="28"/>
    </row>
    <row r="858" ht="15.75" customHeight="1">
      <c r="D858" s="21"/>
      <c r="M858" s="22"/>
      <c r="N858" s="23"/>
      <c r="O858" s="24"/>
      <c r="P858" s="24"/>
      <c r="Q858" s="24"/>
      <c r="R858" s="24"/>
      <c r="S858" s="24"/>
      <c r="T858" s="24"/>
      <c r="U858" s="25"/>
      <c r="X858" s="26"/>
      <c r="Y858" s="27"/>
      <c r="Z858" s="28"/>
      <c r="AA858" s="28"/>
      <c r="AB858" s="28"/>
    </row>
    <row r="859" ht="15.75" customHeight="1">
      <c r="D859" s="21"/>
      <c r="M859" s="22"/>
      <c r="N859" s="23"/>
      <c r="O859" s="24"/>
      <c r="P859" s="24"/>
      <c r="Q859" s="24"/>
      <c r="R859" s="24"/>
      <c r="S859" s="24"/>
      <c r="T859" s="24"/>
      <c r="U859" s="25"/>
      <c r="X859" s="26"/>
      <c r="Y859" s="27"/>
      <c r="Z859" s="28"/>
      <c r="AA859" s="28"/>
      <c r="AB859" s="28"/>
    </row>
    <row r="860" ht="15.75" customHeight="1">
      <c r="D860" s="21"/>
      <c r="M860" s="22"/>
      <c r="N860" s="23"/>
      <c r="O860" s="24"/>
      <c r="P860" s="24"/>
      <c r="Q860" s="24"/>
      <c r="R860" s="24"/>
      <c r="S860" s="24"/>
      <c r="T860" s="24"/>
      <c r="U860" s="25"/>
      <c r="X860" s="26"/>
      <c r="Y860" s="27"/>
      <c r="Z860" s="28"/>
      <c r="AA860" s="28"/>
      <c r="AB860" s="28"/>
    </row>
    <row r="861" ht="15.75" customHeight="1">
      <c r="D861" s="21"/>
      <c r="M861" s="22"/>
      <c r="N861" s="23"/>
      <c r="O861" s="24"/>
      <c r="P861" s="24"/>
      <c r="Q861" s="24"/>
      <c r="R861" s="24"/>
      <c r="S861" s="24"/>
      <c r="T861" s="24"/>
      <c r="U861" s="25"/>
      <c r="X861" s="26"/>
      <c r="Y861" s="27"/>
      <c r="Z861" s="28"/>
      <c r="AA861" s="28"/>
      <c r="AB861" s="28"/>
    </row>
    <row r="862" ht="15.75" customHeight="1">
      <c r="D862" s="21"/>
      <c r="M862" s="22"/>
      <c r="N862" s="23"/>
      <c r="O862" s="24"/>
      <c r="P862" s="24"/>
      <c r="Q862" s="24"/>
      <c r="R862" s="24"/>
      <c r="S862" s="24"/>
      <c r="T862" s="24"/>
      <c r="U862" s="25"/>
      <c r="X862" s="26"/>
      <c r="Y862" s="27"/>
      <c r="Z862" s="28"/>
      <c r="AA862" s="28"/>
      <c r="AB862" s="28"/>
    </row>
    <row r="863" ht="15.75" customHeight="1">
      <c r="D863" s="21"/>
      <c r="M863" s="22"/>
      <c r="N863" s="23"/>
      <c r="O863" s="24"/>
      <c r="P863" s="24"/>
      <c r="Q863" s="24"/>
      <c r="R863" s="24"/>
      <c r="S863" s="24"/>
      <c r="T863" s="24"/>
      <c r="U863" s="25"/>
      <c r="X863" s="26"/>
      <c r="Y863" s="27"/>
      <c r="Z863" s="28"/>
      <c r="AA863" s="28"/>
      <c r="AB863" s="28"/>
    </row>
    <row r="864" ht="15.75" customHeight="1">
      <c r="D864" s="21"/>
      <c r="M864" s="22"/>
      <c r="N864" s="23"/>
      <c r="O864" s="24"/>
      <c r="P864" s="24"/>
      <c r="Q864" s="24"/>
      <c r="R864" s="24"/>
      <c r="S864" s="24"/>
      <c r="T864" s="24"/>
      <c r="U864" s="25"/>
      <c r="X864" s="26"/>
      <c r="Y864" s="27"/>
      <c r="Z864" s="28"/>
      <c r="AA864" s="28"/>
      <c r="AB864" s="28"/>
    </row>
    <row r="865" ht="15.75" customHeight="1">
      <c r="D865" s="21"/>
      <c r="M865" s="22"/>
      <c r="N865" s="23"/>
      <c r="O865" s="24"/>
      <c r="P865" s="24"/>
      <c r="Q865" s="24"/>
      <c r="R865" s="24"/>
      <c r="S865" s="24"/>
      <c r="T865" s="24"/>
      <c r="U865" s="25"/>
      <c r="X865" s="26"/>
      <c r="Y865" s="27"/>
      <c r="Z865" s="28"/>
      <c r="AA865" s="28"/>
      <c r="AB865" s="28"/>
    </row>
    <row r="866" ht="15.75" customHeight="1">
      <c r="D866" s="21"/>
      <c r="M866" s="22"/>
      <c r="N866" s="23"/>
      <c r="O866" s="24"/>
      <c r="P866" s="24"/>
      <c r="Q866" s="24"/>
      <c r="R866" s="24"/>
      <c r="S866" s="24"/>
      <c r="T866" s="24"/>
      <c r="U866" s="25"/>
      <c r="X866" s="26"/>
      <c r="Y866" s="27"/>
      <c r="Z866" s="28"/>
      <c r="AA866" s="28"/>
      <c r="AB866" s="28"/>
    </row>
    <row r="867" ht="15.75" customHeight="1">
      <c r="D867" s="21"/>
      <c r="M867" s="22"/>
      <c r="N867" s="23"/>
      <c r="O867" s="24"/>
      <c r="P867" s="24"/>
      <c r="Q867" s="24"/>
      <c r="R867" s="24"/>
      <c r="S867" s="24"/>
      <c r="T867" s="24"/>
      <c r="U867" s="25"/>
      <c r="X867" s="26"/>
      <c r="Y867" s="27"/>
      <c r="Z867" s="28"/>
      <c r="AA867" s="28"/>
      <c r="AB867" s="28"/>
    </row>
    <row r="868" ht="15.75" customHeight="1">
      <c r="D868" s="21"/>
      <c r="M868" s="22"/>
      <c r="N868" s="23"/>
      <c r="O868" s="24"/>
      <c r="P868" s="24"/>
      <c r="Q868" s="24"/>
      <c r="R868" s="24"/>
      <c r="S868" s="24"/>
      <c r="T868" s="24"/>
      <c r="U868" s="25"/>
      <c r="X868" s="26"/>
      <c r="Y868" s="27"/>
      <c r="Z868" s="28"/>
      <c r="AA868" s="28"/>
      <c r="AB868" s="28"/>
    </row>
    <row r="869" ht="15.75" customHeight="1">
      <c r="D869" s="21"/>
      <c r="M869" s="22"/>
      <c r="N869" s="23"/>
      <c r="O869" s="24"/>
      <c r="P869" s="24"/>
      <c r="Q869" s="24"/>
      <c r="R869" s="24"/>
      <c r="S869" s="24"/>
      <c r="T869" s="24"/>
      <c r="U869" s="25"/>
      <c r="X869" s="26"/>
      <c r="Y869" s="27"/>
      <c r="Z869" s="28"/>
      <c r="AA869" s="28"/>
      <c r="AB869" s="28"/>
    </row>
    <row r="870" ht="15.75" customHeight="1">
      <c r="D870" s="21"/>
      <c r="M870" s="22"/>
      <c r="N870" s="23"/>
      <c r="O870" s="24"/>
      <c r="P870" s="24"/>
      <c r="Q870" s="24"/>
      <c r="R870" s="24"/>
      <c r="S870" s="24"/>
      <c r="T870" s="24"/>
      <c r="U870" s="25"/>
      <c r="X870" s="26"/>
      <c r="Y870" s="27"/>
      <c r="Z870" s="28"/>
      <c r="AA870" s="28"/>
      <c r="AB870" s="28"/>
    </row>
    <row r="871" ht="15.75" customHeight="1">
      <c r="D871" s="21"/>
      <c r="M871" s="22"/>
      <c r="N871" s="23"/>
      <c r="O871" s="24"/>
      <c r="P871" s="24"/>
      <c r="Q871" s="24"/>
      <c r="R871" s="24"/>
      <c r="S871" s="24"/>
      <c r="T871" s="24"/>
      <c r="U871" s="25"/>
      <c r="X871" s="26"/>
      <c r="Y871" s="27"/>
      <c r="Z871" s="28"/>
      <c r="AA871" s="28"/>
      <c r="AB871" s="28"/>
    </row>
    <row r="872" ht="15.75" customHeight="1">
      <c r="D872" s="21"/>
      <c r="M872" s="22"/>
      <c r="N872" s="23"/>
      <c r="O872" s="24"/>
      <c r="P872" s="24"/>
      <c r="Q872" s="24"/>
      <c r="R872" s="24"/>
      <c r="S872" s="24"/>
      <c r="T872" s="24"/>
      <c r="U872" s="25"/>
      <c r="X872" s="26"/>
      <c r="Y872" s="27"/>
      <c r="Z872" s="28"/>
      <c r="AA872" s="28"/>
      <c r="AB872" s="28"/>
    </row>
    <row r="873" ht="15.75" customHeight="1">
      <c r="D873" s="21"/>
      <c r="M873" s="22"/>
      <c r="N873" s="23"/>
      <c r="O873" s="24"/>
      <c r="P873" s="24"/>
      <c r="Q873" s="24"/>
      <c r="R873" s="24"/>
      <c r="S873" s="24"/>
      <c r="T873" s="24"/>
      <c r="U873" s="25"/>
      <c r="X873" s="26"/>
      <c r="Y873" s="27"/>
      <c r="Z873" s="28"/>
      <c r="AA873" s="28"/>
      <c r="AB873" s="28"/>
    </row>
    <row r="874" ht="15.75" customHeight="1">
      <c r="D874" s="21"/>
      <c r="M874" s="22"/>
      <c r="N874" s="23"/>
      <c r="O874" s="24"/>
      <c r="P874" s="24"/>
      <c r="Q874" s="24"/>
      <c r="R874" s="24"/>
      <c r="S874" s="24"/>
      <c r="T874" s="24"/>
      <c r="U874" s="25"/>
      <c r="X874" s="26"/>
      <c r="Y874" s="27"/>
      <c r="Z874" s="28"/>
      <c r="AA874" s="28"/>
      <c r="AB874" s="28"/>
    </row>
    <row r="875" ht="15.75" customHeight="1">
      <c r="D875" s="21"/>
      <c r="M875" s="22"/>
      <c r="N875" s="23"/>
      <c r="O875" s="24"/>
      <c r="P875" s="24"/>
      <c r="Q875" s="24"/>
      <c r="R875" s="24"/>
      <c r="S875" s="24"/>
      <c r="T875" s="24"/>
      <c r="U875" s="25"/>
      <c r="X875" s="26"/>
      <c r="Y875" s="27"/>
      <c r="Z875" s="28"/>
      <c r="AA875" s="28"/>
      <c r="AB875" s="28"/>
    </row>
    <row r="876" ht="15.75" customHeight="1">
      <c r="D876" s="21"/>
      <c r="M876" s="22"/>
      <c r="N876" s="23"/>
      <c r="O876" s="24"/>
      <c r="P876" s="24"/>
      <c r="Q876" s="24"/>
      <c r="R876" s="24"/>
      <c r="S876" s="24"/>
      <c r="T876" s="24"/>
      <c r="U876" s="25"/>
      <c r="X876" s="26"/>
      <c r="Y876" s="27"/>
      <c r="Z876" s="28"/>
      <c r="AA876" s="28"/>
      <c r="AB876" s="28"/>
    </row>
    <row r="877" ht="15.75" customHeight="1">
      <c r="D877" s="21"/>
      <c r="M877" s="22"/>
      <c r="N877" s="23"/>
      <c r="O877" s="24"/>
      <c r="P877" s="24"/>
      <c r="Q877" s="24"/>
      <c r="R877" s="24"/>
      <c r="S877" s="24"/>
      <c r="T877" s="24"/>
      <c r="U877" s="25"/>
      <c r="X877" s="26"/>
      <c r="Y877" s="27"/>
      <c r="Z877" s="28"/>
      <c r="AA877" s="28"/>
      <c r="AB877" s="28"/>
    </row>
    <row r="878" ht="15.75" customHeight="1">
      <c r="D878" s="21"/>
      <c r="M878" s="22"/>
      <c r="N878" s="23"/>
      <c r="O878" s="24"/>
      <c r="P878" s="24"/>
      <c r="Q878" s="24"/>
      <c r="R878" s="24"/>
      <c r="S878" s="24"/>
      <c r="T878" s="24"/>
      <c r="U878" s="25"/>
      <c r="X878" s="26"/>
      <c r="Y878" s="27"/>
      <c r="Z878" s="28"/>
      <c r="AA878" s="28"/>
      <c r="AB878" s="28"/>
    </row>
    <row r="879" ht="15.75" customHeight="1">
      <c r="D879" s="21"/>
      <c r="M879" s="22"/>
      <c r="N879" s="23"/>
      <c r="O879" s="24"/>
      <c r="P879" s="24"/>
      <c r="Q879" s="24"/>
      <c r="R879" s="24"/>
      <c r="S879" s="24"/>
      <c r="T879" s="24"/>
      <c r="U879" s="25"/>
      <c r="X879" s="26"/>
      <c r="Y879" s="27"/>
      <c r="Z879" s="28"/>
      <c r="AA879" s="28"/>
      <c r="AB879" s="28"/>
    </row>
    <row r="880" ht="15.75" customHeight="1">
      <c r="D880" s="21"/>
      <c r="M880" s="22"/>
      <c r="N880" s="23"/>
      <c r="O880" s="24"/>
      <c r="P880" s="24"/>
      <c r="Q880" s="24"/>
      <c r="R880" s="24"/>
      <c r="S880" s="24"/>
      <c r="T880" s="24"/>
      <c r="U880" s="25"/>
      <c r="X880" s="26"/>
      <c r="Y880" s="27"/>
      <c r="Z880" s="28"/>
      <c r="AA880" s="28"/>
      <c r="AB880" s="28"/>
    </row>
    <row r="881" ht="15.75" customHeight="1">
      <c r="D881" s="21"/>
      <c r="M881" s="22"/>
      <c r="N881" s="23"/>
      <c r="O881" s="24"/>
      <c r="P881" s="24"/>
      <c r="Q881" s="24"/>
      <c r="R881" s="24"/>
      <c r="S881" s="24"/>
      <c r="T881" s="24"/>
      <c r="U881" s="25"/>
      <c r="X881" s="26"/>
      <c r="Y881" s="27"/>
      <c r="Z881" s="28"/>
      <c r="AA881" s="28"/>
      <c r="AB881" s="28"/>
    </row>
    <row r="882" ht="15.75" customHeight="1">
      <c r="D882" s="21"/>
      <c r="M882" s="22"/>
      <c r="N882" s="23"/>
      <c r="O882" s="24"/>
      <c r="P882" s="24"/>
      <c r="Q882" s="24"/>
      <c r="R882" s="24"/>
      <c r="S882" s="24"/>
      <c r="T882" s="24"/>
      <c r="U882" s="25"/>
      <c r="X882" s="26"/>
      <c r="Y882" s="27"/>
      <c r="Z882" s="28"/>
      <c r="AA882" s="28"/>
      <c r="AB882" s="28"/>
    </row>
    <row r="883" ht="15.75" customHeight="1">
      <c r="D883" s="21"/>
      <c r="M883" s="22"/>
      <c r="N883" s="23"/>
      <c r="O883" s="24"/>
      <c r="P883" s="24"/>
      <c r="Q883" s="24"/>
      <c r="R883" s="24"/>
      <c r="S883" s="24"/>
      <c r="T883" s="24"/>
      <c r="U883" s="25"/>
      <c r="X883" s="26"/>
      <c r="Y883" s="27"/>
      <c r="Z883" s="28"/>
      <c r="AA883" s="28"/>
      <c r="AB883" s="28"/>
    </row>
    <row r="884" ht="15.75" customHeight="1">
      <c r="D884" s="21"/>
      <c r="M884" s="22"/>
      <c r="N884" s="23"/>
      <c r="O884" s="24"/>
      <c r="P884" s="24"/>
      <c r="Q884" s="24"/>
      <c r="R884" s="24"/>
      <c r="S884" s="24"/>
      <c r="T884" s="24"/>
      <c r="U884" s="25"/>
      <c r="X884" s="26"/>
      <c r="Y884" s="27"/>
      <c r="Z884" s="28"/>
      <c r="AA884" s="28"/>
      <c r="AB884" s="28"/>
    </row>
    <row r="885" ht="15.75" customHeight="1">
      <c r="D885" s="21"/>
      <c r="M885" s="22"/>
      <c r="N885" s="23"/>
      <c r="O885" s="24"/>
      <c r="P885" s="24"/>
      <c r="Q885" s="24"/>
      <c r="R885" s="24"/>
      <c r="S885" s="24"/>
      <c r="T885" s="24"/>
      <c r="U885" s="25"/>
      <c r="X885" s="26"/>
      <c r="Y885" s="27"/>
      <c r="Z885" s="28"/>
      <c r="AA885" s="28"/>
      <c r="AB885" s="28"/>
    </row>
    <row r="886" ht="15.75" customHeight="1">
      <c r="D886" s="21"/>
      <c r="M886" s="22"/>
      <c r="N886" s="23"/>
      <c r="O886" s="24"/>
      <c r="P886" s="24"/>
      <c r="Q886" s="24"/>
      <c r="R886" s="24"/>
      <c r="S886" s="24"/>
      <c r="T886" s="24"/>
      <c r="U886" s="25"/>
      <c r="X886" s="26"/>
      <c r="Y886" s="27"/>
      <c r="Z886" s="28"/>
      <c r="AA886" s="28"/>
      <c r="AB886" s="28"/>
    </row>
    <row r="887" ht="15.75" customHeight="1">
      <c r="D887" s="21"/>
      <c r="M887" s="22"/>
      <c r="N887" s="23"/>
      <c r="O887" s="24"/>
      <c r="P887" s="24"/>
      <c r="Q887" s="24"/>
      <c r="R887" s="24"/>
      <c r="S887" s="24"/>
      <c r="T887" s="24"/>
      <c r="U887" s="25"/>
      <c r="X887" s="26"/>
      <c r="Y887" s="27"/>
      <c r="Z887" s="28"/>
      <c r="AA887" s="28"/>
      <c r="AB887" s="28"/>
    </row>
    <row r="888" ht="15.75" customHeight="1">
      <c r="D888" s="21"/>
      <c r="M888" s="22"/>
      <c r="N888" s="23"/>
      <c r="O888" s="24"/>
      <c r="P888" s="24"/>
      <c r="Q888" s="24"/>
      <c r="R888" s="24"/>
      <c r="S888" s="24"/>
      <c r="T888" s="24"/>
      <c r="U888" s="25"/>
      <c r="X888" s="26"/>
      <c r="Y888" s="27"/>
      <c r="Z888" s="28"/>
      <c r="AA888" s="28"/>
      <c r="AB888" s="28"/>
    </row>
    <row r="889" ht="15.75" customHeight="1">
      <c r="D889" s="21"/>
      <c r="M889" s="22"/>
      <c r="N889" s="23"/>
      <c r="O889" s="24"/>
      <c r="P889" s="24"/>
      <c r="Q889" s="24"/>
      <c r="R889" s="24"/>
      <c r="S889" s="24"/>
      <c r="T889" s="24"/>
      <c r="U889" s="25"/>
      <c r="X889" s="26"/>
      <c r="Y889" s="27"/>
      <c r="Z889" s="28"/>
      <c r="AA889" s="28"/>
      <c r="AB889" s="28"/>
    </row>
    <row r="890" ht="15.75" customHeight="1">
      <c r="D890" s="21"/>
      <c r="M890" s="22"/>
      <c r="N890" s="23"/>
      <c r="O890" s="24"/>
      <c r="P890" s="24"/>
      <c r="Q890" s="24"/>
      <c r="R890" s="24"/>
      <c r="S890" s="24"/>
      <c r="T890" s="24"/>
      <c r="U890" s="25"/>
      <c r="X890" s="26"/>
      <c r="Y890" s="27"/>
      <c r="Z890" s="28"/>
      <c r="AA890" s="28"/>
      <c r="AB890" s="28"/>
    </row>
    <row r="891" ht="15.75" customHeight="1">
      <c r="D891" s="21"/>
      <c r="M891" s="22"/>
      <c r="N891" s="23"/>
      <c r="O891" s="24"/>
      <c r="P891" s="24"/>
      <c r="Q891" s="24"/>
      <c r="R891" s="24"/>
      <c r="S891" s="24"/>
      <c r="T891" s="24"/>
      <c r="U891" s="25"/>
      <c r="X891" s="26"/>
      <c r="Y891" s="27"/>
      <c r="Z891" s="28"/>
      <c r="AA891" s="28"/>
      <c r="AB891" s="28"/>
    </row>
    <row r="892" ht="15.75" customHeight="1">
      <c r="D892" s="21"/>
      <c r="M892" s="22"/>
      <c r="N892" s="23"/>
      <c r="O892" s="24"/>
      <c r="P892" s="24"/>
      <c r="Q892" s="24"/>
      <c r="R892" s="24"/>
      <c r="S892" s="24"/>
      <c r="T892" s="24"/>
      <c r="U892" s="25"/>
      <c r="X892" s="26"/>
      <c r="Y892" s="27"/>
      <c r="Z892" s="28"/>
      <c r="AA892" s="28"/>
      <c r="AB892" s="28"/>
    </row>
    <row r="893" ht="15.75" customHeight="1">
      <c r="D893" s="21"/>
      <c r="M893" s="22"/>
      <c r="N893" s="23"/>
      <c r="O893" s="24"/>
      <c r="P893" s="24"/>
      <c r="Q893" s="24"/>
      <c r="R893" s="24"/>
      <c r="S893" s="24"/>
      <c r="T893" s="24"/>
      <c r="U893" s="25"/>
      <c r="X893" s="26"/>
      <c r="Y893" s="27"/>
      <c r="Z893" s="28"/>
      <c r="AA893" s="28"/>
      <c r="AB893" s="28"/>
    </row>
    <row r="894" ht="15.75" customHeight="1">
      <c r="D894" s="21"/>
      <c r="M894" s="22"/>
      <c r="N894" s="23"/>
      <c r="O894" s="24"/>
      <c r="P894" s="24"/>
      <c r="Q894" s="24"/>
      <c r="R894" s="24"/>
      <c r="S894" s="24"/>
      <c r="T894" s="24"/>
      <c r="U894" s="25"/>
      <c r="X894" s="26"/>
      <c r="Y894" s="27"/>
      <c r="Z894" s="28"/>
      <c r="AA894" s="28"/>
      <c r="AB894" s="28"/>
    </row>
    <row r="895" ht="15.75" customHeight="1">
      <c r="D895" s="21"/>
      <c r="M895" s="22"/>
      <c r="N895" s="23"/>
      <c r="O895" s="24"/>
      <c r="P895" s="24"/>
      <c r="Q895" s="24"/>
      <c r="R895" s="24"/>
      <c r="S895" s="24"/>
      <c r="T895" s="24"/>
      <c r="U895" s="25"/>
      <c r="X895" s="26"/>
      <c r="Y895" s="27"/>
      <c r="Z895" s="28"/>
      <c r="AA895" s="28"/>
      <c r="AB895" s="28"/>
    </row>
    <row r="896" ht="15.75" customHeight="1">
      <c r="D896" s="21"/>
      <c r="M896" s="22"/>
      <c r="N896" s="23"/>
      <c r="O896" s="24"/>
      <c r="P896" s="24"/>
      <c r="Q896" s="24"/>
      <c r="R896" s="24"/>
      <c r="S896" s="24"/>
      <c r="T896" s="24"/>
      <c r="U896" s="25"/>
      <c r="X896" s="26"/>
      <c r="Y896" s="27"/>
      <c r="Z896" s="28"/>
      <c r="AA896" s="28"/>
      <c r="AB896" s="28"/>
    </row>
    <row r="897" ht="15.75" customHeight="1">
      <c r="D897" s="21"/>
      <c r="M897" s="22"/>
      <c r="N897" s="23"/>
      <c r="O897" s="24"/>
      <c r="P897" s="24"/>
      <c r="Q897" s="24"/>
      <c r="R897" s="24"/>
      <c r="S897" s="24"/>
      <c r="T897" s="24"/>
      <c r="U897" s="25"/>
      <c r="X897" s="26"/>
      <c r="Y897" s="27"/>
      <c r="Z897" s="28"/>
      <c r="AA897" s="28"/>
      <c r="AB897" s="28"/>
    </row>
    <row r="898" ht="15.75" customHeight="1">
      <c r="D898" s="21"/>
      <c r="M898" s="22"/>
      <c r="N898" s="23"/>
      <c r="O898" s="24"/>
      <c r="P898" s="24"/>
      <c r="Q898" s="24"/>
      <c r="R898" s="24"/>
      <c r="S898" s="24"/>
      <c r="T898" s="24"/>
      <c r="U898" s="25"/>
      <c r="X898" s="26"/>
      <c r="Y898" s="27"/>
      <c r="Z898" s="28"/>
      <c r="AA898" s="28"/>
      <c r="AB898" s="28"/>
    </row>
    <row r="899" ht="15.75" customHeight="1">
      <c r="D899" s="21"/>
      <c r="M899" s="22"/>
      <c r="N899" s="23"/>
      <c r="O899" s="24"/>
      <c r="P899" s="24"/>
      <c r="Q899" s="24"/>
      <c r="R899" s="24"/>
      <c r="S899" s="24"/>
      <c r="T899" s="24"/>
      <c r="U899" s="25"/>
      <c r="X899" s="26"/>
      <c r="Y899" s="27"/>
      <c r="Z899" s="28"/>
      <c r="AA899" s="28"/>
      <c r="AB899" s="28"/>
    </row>
    <row r="900" ht="15.75" customHeight="1">
      <c r="D900" s="21"/>
      <c r="M900" s="22"/>
      <c r="N900" s="23"/>
      <c r="O900" s="24"/>
      <c r="P900" s="24"/>
      <c r="Q900" s="24"/>
      <c r="R900" s="24"/>
      <c r="S900" s="24"/>
      <c r="T900" s="24"/>
      <c r="U900" s="25"/>
      <c r="X900" s="26"/>
      <c r="Y900" s="27"/>
      <c r="Z900" s="28"/>
      <c r="AA900" s="28"/>
      <c r="AB900" s="28"/>
    </row>
    <row r="901" ht="15.75" customHeight="1">
      <c r="D901" s="21"/>
      <c r="M901" s="22"/>
      <c r="N901" s="23"/>
      <c r="O901" s="24"/>
      <c r="P901" s="24"/>
      <c r="Q901" s="24"/>
      <c r="R901" s="24"/>
      <c r="S901" s="24"/>
      <c r="T901" s="24"/>
      <c r="U901" s="25"/>
      <c r="X901" s="26"/>
      <c r="Y901" s="27"/>
      <c r="Z901" s="28"/>
      <c r="AA901" s="28"/>
      <c r="AB901" s="28"/>
    </row>
    <row r="902" ht="15.75" customHeight="1">
      <c r="D902" s="21"/>
      <c r="M902" s="22"/>
      <c r="N902" s="23"/>
      <c r="O902" s="24"/>
      <c r="P902" s="24"/>
      <c r="Q902" s="24"/>
      <c r="R902" s="24"/>
      <c r="S902" s="24"/>
      <c r="T902" s="24"/>
      <c r="U902" s="25"/>
      <c r="X902" s="26"/>
      <c r="Y902" s="27"/>
      <c r="Z902" s="28"/>
      <c r="AA902" s="28"/>
      <c r="AB902" s="28"/>
    </row>
    <row r="903" ht="15.75" customHeight="1">
      <c r="D903" s="21"/>
      <c r="M903" s="22"/>
      <c r="N903" s="23"/>
      <c r="O903" s="24"/>
      <c r="P903" s="24"/>
      <c r="Q903" s="24"/>
      <c r="R903" s="24"/>
      <c r="S903" s="24"/>
      <c r="T903" s="24"/>
      <c r="U903" s="25"/>
      <c r="X903" s="26"/>
      <c r="Y903" s="27"/>
      <c r="Z903" s="28"/>
      <c r="AA903" s="28"/>
      <c r="AB903" s="28"/>
    </row>
    <row r="904" ht="15.75" customHeight="1">
      <c r="D904" s="21"/>
      <c r="M904" s="22"/>
      <c r="N904" s="23"/>
      <c r="O904" s="24"/>
      <c r="P904" s="24"/>
      <c r="Q904" s="24"/>
      <c r="R904" s="24"/>
      <c r="S904" s="24"/>
      <c r="T904" s="24"/>
      <c r="U904" s="25"/>
      <c r="X904" s="26"/>
      <c r="Y904" s="27"/>
      <c r="Z904" s="28"/>
      <c r="AA904" s="28"/>
      <c r="AB904" s="28"/>
    </row>
    <row r="905" ht="15.75" customHeight="1">
      <c r="D905" s="21"/>
      <c r="M905" s="22"/>
      <c r="N905" s="23"/>
      <c r="O905" s="24"/>
      <c r="P905" s="24"/>
      <c r="Q905" s="24"/>
      <c r="R905" s="24"/>
      <c r="S905" s="24"/>
      <c r="T905" s="24"/>
      <c r="U905" s="25"/>
      <c r="X905" s="26"/>
      <c r="Y905" s="27"/>
      <c r="Z905" s="28"/>
      <c r="AA905" s="28"/>
      <c r="AB905" s="28"/>
    </row>
    <row r="906" ht="15.75" customHeight="1">
      <c r="D906" s="21"/>
      <c r="M906" s="22"/>
      <c r="N906" s="23"/>
      <c r="O906" s="24"/>
      <c r="P906" s="24"/>
      <c r="Q906" s="24"/>
      <c r="R906" s="24"/>
      <c r="S906" s="24"/>
      <c r="T906" s="24"/>
      <c r="U906" s="25"/>
      <c r="X906" s="26"/>
      <c r="Y906" s="27"/>
      <c r="Z906" s="28"/>
      <c r="AA906" s="28"/>
      <c r="AB906" s="28"/>
    </row>
    <row r="907" ht="15.75" customHeight="1">
      <c r="D907" s="21"/>
      <c r="M907" s="22"/>
      <c r="N907" s="23"/>
      <c r="O907" s="24"/>
      <c r="P907" s="24"/>
      <c r="Q907" s="24"/>
      <c r="R907" s="24"/>
      <c r="S907" s="24"/>
      <c r="T907" s="24"/>
      <c r="U907" s="25"/>
      <c r="X907" s="26"/>
      <c r="Y907" s="27"/>
      <c r="Z907" s="28"/>
      <c r="AA907" s="28"/>
      <c r="AB907" s="28"/>
    </row>
    <row r="908" ht="15.75" customHeight="1">
      <c r="D908" s="21"/>
      <c r="M908" s="22"/>
      <c r="N908" s="23"/>
      <c r="O908" s="24"/>
      <c r="P908" s="24"/>
      <c r="Q908" s="24"/>
      <c r="R908" s="24"/>
      <c r="S908" s="24"/>
      <c r="T908" s="24"/>
      <c r="U908" s="25"/>
      <c r="X908" s="26"/>
      <c r="Y908" s="27"/>
      <c r="Z908" s="28"/>
      <c r="AA908" s="28"/>
      <c r="AB908" s="28"/>
    </row>
    <row r="909" ht="15.75" customHeight="1">
      <c r="D909" s="21"/>
      <c r="M909" s="22"/>
      <c r="N909" s="23"/>
      <c r="O909" s="24"/>
      <c r="P909" s="24"/>
      <c r="Q909" s="24"/>
      <c r="R909" s="24"/>
      <c r="S909" s="24"/>
      <c r="T909" s="24"/>
      <c r="U909" s="25"/>
      <c r="X909" s="26"/>
      <c r="Y909" s="27"/>
      <c r="Z909" s="28"/>
      <c r="AA909" s="28"/>
      <c r="AB909" s="28"/>
    </row>
    <row r="910" ht="15.75" customHeight="1">
      <c r="D910" s="21"/>
      <c r="M910" s="22"/>
      <c r="N910" s="23"/>
      <c r="O910" s="24"/>
      <c r="P910" s="24"/>
      <c r="Q910" s="24"/>
      <c r="R910" s="24"/>
      <c r="S910" s="24"/>
      <c r="T910" s="24"/>
      <c r="U910" s="25"/>
      <c r="X910" s="26"/>
      <c r="Y910" s="27"/>
      <c r="Z910" s="28"/>
      <c r="AA910" s="28"/>
      <c r="AB910" s="28"/>
    </row>
    <row r="911" ht="15.75" customHeight="1">
      <c r="D911" s="21"/>
      <c r="M911" s="22"/>
      <c r="N911" s="23"/>
      <c r="O911" s="24"/>
      <c r="P911" s="24"/>
      <c r="Q911" s="24"/>
      <c r="R911" s="24"/>
      <c r="S911" s="24"/>
      <c r="T911" s="24"/>
      <c r="U911" s="25"/>
      <c r="X911" s="26"/>
      <c r="Y911" s="27"/>
      <c r="Z911" s="28"/>
      <c r="AA911" s="28"/>
      <c r="AB911" s="28"/>
    </row>
    <row r="912" ht="15.75" customHeight="1">
      <c r="D912" s="21"/>
      <c r="M912" s="22"/>
      <c r="N912" s="23"/>
      <c r="O912" s="24"/>
      <c r="P912" s="24"/>
      <c r="Q912" s="24"/>
      <c r="R912" s="24"/>
      <c r="S912" s="24"/>
      <c r="T912" s="24"/>
      <c r="U912" s="25"/>
      <c r="X912" s="26"/>
      <c r="Y912" s="27"/>
      <c r="Z912" s="28"/>
      <c r="AA912" s="28"/>
      <c r="AB912" s="28"/>
    </row>
    <row r="913" ht="15.75" customHeight="1">
      <c r="D913" s="21"/>
      <c r="M913" s="22"/>
      <c r="N913" s="23"/>
      <c r="O913" s="24"/>
      <c r="P913" s="24"/>
      <c r="Q913" s="24"/>
      <c r="R913" s="24"/>
      <c r="S913" s="24"/>
      <c r="T913" s="24"/>
      <c r="U913" s="25"/>
      <c r="X913" s="26"/>
      <c r="Y913" s="27"/>
      <c r="Z913" s="28"/>
      <c r="AA913" s="28"/>
      <c r="AB913" s="28"/>
    </row>
    <row r="914" ht="15.75" customHeight="1">
      <c r="D914" s="21"/>
      <c r="M914" s="22"/>
      <c r="N914" s="23"/>
      <c r="O914" s="24"/>
      <c r="P914" s="24"/>
      <c r="Q914" s="24"/>
      <c r="R914" s="24"/>
      <c r="S914" s="24"/>
      <c r="T914" s="24"/>
      <c r="U914" s="25"/>
      <c r="X914" s="26"/>
      <c r="Y914" s="27"/>
      <c r="Z914" s="28"/>
      <c r="AA914" s="28"/>
      <c r="AB914" s="28"/>
    </row>
    <row r="915" ht="15.75" customHeight="1">
      <c r="D915" s="21"/>
      <c r="M915" s="22"/>
      <c r="N915" s="23"/>
      <c r="O915" s="24"/>
      <c r="P915" s="24"/>
      <c r="Q915" s="24"/>
      <c r="R915" s="24"/>
      <c r="S915" s="24"/>
      <c r="T915" s="24"/>
      <c r="U915" s="25"/>
      <c r="X915" s="26"/>
      <c r="Y915" s="27"/>
      <c r="Z915" s="28"/>
      <c r="AA915" s="28"/>
      <c r="AB915" s="28"/>
    </row>
    <row r="916" ht="15.75" customHeight="1">
      <c r="D916" s="21"/>
      <c r="M916" s="22"/>
      <c r="N916" s="23"/>
      <c r="O916" s="24"/>
      <c r="P916" s="24"/>
      <c r="Q916" s="24"/>
      <c r="R916" s="24"/>
      <c r="S916" s="24"/>
      <c r="T916" s="24"/>
      <c r="U916" s="25"/>
      <c r="X916" s="26"/>
      <c r="Y916" s="27"/>
      <c r="Z916" s="28"/>
      <c r="AA916" s="28"/>
      <c r="AB916" s="28"/>
    </row>
    <row r="917" ht="15.75" customHeight="1">
      <c r="D917" s="21"/>
      <c r="M917" s="22"/>
      <c r="N917" s="23"/>
      <c r="O917" s="24"/>
      <c r="P917" s="24"/>
      <c r="Q917" s="24"/>
      <c r="R917" s="24"/>
      <c r="S917" s="24"/>
      <c r="T917" s="24"/>
      <c r="U917" s="25"/>
      <c r="X917" s="26"/>
      <c r="Y917" s="27"/>
      <c r="Z917" s="28"/>
      <c r="AA917" s="28"/>
      <c r="AB917" s="28"/>
    </row>
    <row r="918" ht="15.75" customHeight="1">
      <c r="D918" s="21"/>
      <c r="M918" s="22"/>
      <c r="N918" s="23"/>
      <c r="O918" s="24"/>
      <c r="P918" s="24"/>
      <c r="Q918" s="24"/>
      <c r="R918" s="24"/>
      <c r="S918" s="24"/>
      <c r="T918" s="24"/>
      <c r="U918" s="25"/>
      <c r="X918" s="26"/>
      <c r="Y918" s="27"/>
      <c r="Z918" s="28"/>
      <c r="AA918" s="28"/>
      <c r="AB918" s="28"/>
    </row>
    <row r="919" ht="15.75" customHeight="1">
      <c r="D919" s="21"/>
      <c r="M919" s="22"/>
      <c r="N919" s="23"/>
      <c r="O919" s="24"/>
      <c r="P919" s="24"/>
      <c r="Q919" s="24"/>
      <c r="R919" s="24"/>
      <c r="S919" s="24"/>
      <c r="T919" s="24"/>
      <c r="U919" s="25"/>
      <c r="X919" s="26"/>
      <c r="Y919" s="27"/>
      <c r="Z919" s="28"/>
      <c r="AA919" s="28"/>
      <c r="AB919" s="28"/>
    </row>
    <row r="920" ht="15.75" customHeight="1">
      <c r="D920" s="21"/>
      <c r="M920" s="22"/>
      <c r="N920" s="23"/>
      <c r="O920" s="24"/>
      <c r="P920" s="24"/>
      <c r="Q920" s="24"/>
      <c r="R920" s="24"/>
      <c r="S920" s="24"/>
      <c r="T920" s="24"/>
      <c r="U920" s="25"/>
      <c r="X920" s="26"/>
      <c r="Y920" s="27"/>
      <c r="Z920" s="28"/>
      <c r="AA920" s="28"/>
      <c r="AB920" s="28"/>
    </row>
    <row r="921" ht="15.75" customHeight="1">
      <c r="D921" s="21"/>
      <c r="M921" s="22"/>
      <c r="N921" s="23"/>
      <c r="O921" s="24"/>
      <c r="P921" s="24"/>
      <c r="Q921" s="24"/>
      <c r="R921" s="24"/>
      <c r="S921" s="24"/>
      <c r="T921" s="24"/>
      <c r="U921" s="25"/>
      <c r="X921" s="26"/>
      <c r="Y921" s="27"/>
      <c r="Z921" s="28"/>
      <c r="AA921" s="28"/>
      <c r="AB921" s="28"/>
    </row>
    <row r="922" ht="15.75" customHeight="1">
      <c r="D922" s="21"/>
      <c r="M922" s="22"/>
      <c r="N922" s="23"/>
      <c r="O922" s="24"/>
      <c r="P922" s="24"/>
      <c r="Q922" s="24"/>
      <c r="R922" s="24"/>
      <c r="S922" s="24"/>
      <c r="T922" s="24"/>
      <c r="U922" s="25"/>
      <c r="X922" s="26"/>
      <c r="Y922" s="27"/>
      <c r="Z922" s="28"/>
      <c r="AA922" s="28"/>
      <c r="AB922" s="28"/>
    </row>
    <row r="923" ht="15.75" customHeight="1">
      <c r="D923" s="21"/>
      <c r="M923" s="22"/>
      <c r="N923" s="23"/>
      <c r="O923" s="24"/>
      <c r="P923" s="24"/>
      <c r="Q923" s="24"/>
      <c r="R923" s="24"/>
      <c r="S923" s="24"/>
      <c r="T923" s="24"/>
      <c r="U923" s="25"/>
      <c r="X923" s="26"/>
      <c r="Y923" s="27"/>
      <c r="Z923" s="28"/>
      <c r="AA923" s="28"/>
      <c r="AB923" s="28"/>
    </row>
    <row r="924" ht="15.75" customHeight="1">
      <c r="D924" s="21"/>
      <c r="M924" s="22"/>
      <c r="N924" s="23"/>
      <c r="O924" s="24"/>
      <c r="P924" s="24"/>
      <c r="Q924" s="24"/>
      <c r="R924" s="24"/>
      <c r="S924" s="24"/>
      <c r="T924" s="24"/>
      <c r="U924" s="25"/>
      <c r="X924" s="26"/>
      <c r="Y924" s="27"/>
      <c r="Z924" s="28"/>
      <c r="AA924" s="28"/>
      <c r="AB924" s="28"/>
    </row>
    <row r="925" ht="15.75" customHeight="1">
      <c r="D925" s="21"/>
      <c r="M925" s="22"/>
      <c r="N925" s="23"/>
      <c r="O925" s="24"/>
      <c r="P925" s="24"/>
      <c r="Q925" s="24"/>
      <c r="R925" s="24"/>
      <c r="S925" s="24"/>
      <c r="T925" s="24"/>
      <c r="U925" s="25"/>
      <c r="X925" s="26"/>
      <c r="Y925" s="27"/>
      <c r="Z925" s="28"/>
      <c r="AA925" s="28"/>
      <c r="AB925" s="28"/>
    </row>
    <row r="926" ht="15.75" customHeight="1">
      <c r="D926" s="21"/>
      <c r="M926" s="22"/>
      <c r="N926" s="23"/>
      <c r="O926" s="24"/>
      <c r="P926" s="24"/>
      <c r="Q926" s="24"/>
      <c r="R926" s="24"/>
      <c r="S926" s="24"/>
      <c r="T926" s="24"/>
      <c r="U926" s="25"/>
      <c r="X926" s="26"/>
      <c r="Y926" s="27"/>
      <c r="Z926" s="28"/>
      <c r="AA926" s="28"/>
      <c r="AB926" s="28"/>
    </row>
    <row r="927" ht="15.75" customHeight="1">
      <c r="D927" s="21"/>
      <c r="M927" s="22"/>
      <c r="N927" s="23"/>
      <c r="O927" s="24"/>
      <c r="P927" s="24"/>
      <c r="Q927" s="24"/>
      <c r="R927" s="24"/>
      <c r="S927" s="24"/>
      <c r="T927" s="24"/>
      <c r="U927" s="25"/>
      <c r="X927" s="26"/>
      <c r="Y927" s="27"/>
      <c r="Z927" s="28"/>
      <c r="AA927" s="28"/>
      <c r="AB927" s="28"/>
    </row>
    <row r="928" ht="15.75" customHeight="1">
      <c r="D928" s="21"/>
      <c r="M928" s="22"/>
      <c r="N928" s="23"/>
      <c r="O928" s="24"/>
      <c r="P928" s="24"/>
      <c r="Q928" s="24"/>
      <c r="R928" s="24"/>
      <c r="S928" s="24"/>
      <c r="T928" s="24"/>
      <c r="U928" s="25"/>
      <c r="X928" s="26"/>
      <c r="Y928" s="27"/>
      <c r="Z928" s="28"/>
      <c r="AA928" s="28"/>
      <c r="AB928" s="28"/>
    </row>
    <row r="929" ht="15.75" customHeight="1">
      <c r="D929" s="21"/>
      <c r="M929" s="22"/>
      <c r="N929" s="23"/>
      <c r="O929" s="24"/>
      <c r="P929" s="24"/>
      <c r="Q929" s="24"/>
      <c r="R929" s="24"/>
      <c r="S929" s="24"/>
      <c r="T929" s="24"/>
      <c r="U929" s="25"/>
      <c r="X929" s="26"/>
      <c r="Y929" s="27"/>
      <c r="Z929" s="28"/>
      <c r="AA929" s="28"/>
      <c r="AB929" s="28"/>
    </row>
    <row r="930" ht="15.75" customHeight="1">
      <c r="D930" s="21"/>
      <c r="M930" s="22"/>
      <c r="N930" s="23"/>
      <c r="O930" s="24"/>
      <c r="P930" s="24"/>
      <c r="Q930" s="24"/>
      <c r="R930" s="24"/>
      <c r="S930" s="24"/>
      <c r="T930" s="24"/>
      <c r="U930" s="25"/>
      <c r="X930" s="26"/>
      <c r="Y930" s="27"/>
      <c r="Z930" s="28"/>
      <c r="AA930" s="28"/>
      <c r="AB930" s="28"/>
    </row>
    <row r="931" ht="15.75" customHeight="1">
      <c r="D931" s="21"/>
      <c r="M931" s="22"/>
      <c r="N931" s="23"/>
      <c r="O931" s="24"/>
      <c r="P931" s="24"/>
      <c r="Q931" s="24"/>
      <c r="R931" s="24"/>
      <c r="S931" s="24"/>
      <c r="T931" s="24"/>
      <c r="U931" s="25"/>
      <c r="X931" s="26"/>
      <c r="Y931" s="27"/>
      <c r="Z931" s="28"/>
      <c r="AA931" s="28"/>
      <c r="AB931" s="28"/>
    </row>
    <row r="932" ht="15.75" customHeight="1">
      <c r="D932" s="21"/>
      <c r="M932" s="22"/>
      <c r="N932" s="23"/>
      <c r="O932" s="24"/>
      <c r="P932" s="24"/>
      <c r="Q932" s="24"/>
      <c r="R932" s="24"/>
      <c r="S932" s="24"/>
      <c r="T932" s="24"/>
      <c r="U932" s="25"/>
      <c r="X932" s="26"/>
      <c r="Y932" s="27"/>
      <c r="Z932" s="28"/>
      <c r="AA932" s="28"/>
      <c r="AB932" s="28"/>
    </row>
    <row r="933" ht="15.75" customHeight="1">
      <c r="D933" s="21"/>
      <c r="M933" s="22"/>
      <c r="N933" s="23"/>
      <c r="O933" s="24"/>
      <c r="P933" s="24"/>
      <c r="Q933" s="24"/>
      <c r="R933" s="24"/>
      <c r="S933" s="24"/>
      <c r="T933" s="24"/>
      <c r="U933" s="25"/>
      <c r="X933" s="26"/>
      <c r="Y933" s="27"/>
      <c r="Z933" s="28"/>
      <c r="AA933" s="28"/>
      <c r="AB933" s="28"/>
    </row>
    <row r="934" ht="15.75" customHeight="1">
      <c r="D934" s="21"/>
      <c r="M934" s="22"/>
      <c r="N934" s="23"/>
      <c r="O934" s="24"/>
      <c r="P934" s="24"/>
      <c r="Q934" s="24"/>
      <c r="R934" s="24"/>
      <c r="S934" s="24"/>
      <c r="T934" s="24"/>
      <c r="U934" s="25"/>
      <c r="X934" s="26"/>
      <c r="Y934" s="27"/>
      <c r="Z934" s="28"/>
      <c r="AA934" s="28"/>
      <c r="AB934" s="28"/>
    </row>
    <row r="935" ht="15.75" customHeight="1">
      <c r="D935" s="21"/>
      <c r="M935" s="22"/>
      <c r="N935" s="23"/>
      <c r="O935" s="24"/>
      <c r="P935" s="24"/>
      <c r="Q935" s="24"/>
      <c r="R935" s="24"/>
      <c r="S935" s="24"/>
      <c r="T935" s="24"/>
      <c r="U935" s="25"/>
      <c r="X935" s="26"/>
      <c r="Y935" s="27"/>
      <c r="Z935" s="28"/>
      <c r="AA935" s="28"/>
      <c r="AB935" s="28"/>
    </row>
    <row r="936" ht="15.75" customHeight="1">
      <c r="D936" s="21"/>
      <c r="M936" s="22"/>
      <c r="N936" s="23"/>
      <c r="O936" s="24"/>
      <c r="P936" s="24"/>
      <c r="Q936" s="24"/>
      <c r="R936" s="24"/>
      <c r="S936" s="24"/>
      <c r="T936" s="24"/>
      <c r="U936" s="25"/>
      <c r="X936" s="26"/>
      <c r="Y936" s="27"/>
      <c r="Z936" s="28"/>
      <c r="AA936" s="28"/>
      <c r="AB936" s="28"/>
    </row>
    <row r="937" ht="15.75" customHeight="1">
      <c r="D937" s="21"/>
      <c r="M937" s="22"/>
      <c r="N937" s="23"/>
      <c r="O937" s="24"/>
      <c r="P937" s="24"/>
      <c r="Q937" s="24"/>
      <c r="R937" s="24"/>
      <c r="S937" s="24"/>
      <c r="T937" s="24"/>
      <c r="U937" s="25"/>
      <c r="X937" s="26"/>
      <c r="Y937" s="27"/>
      <c r="Z937" s="28"/>
      <c r="AA937" s="28"/>
      <c r="AB937" s="28"/>
    </row>
    <row r="938" ht="15.75" customHeight="1">
      <c r="D938" s="21"/>
      <c r="M938" s="22"/>
      <c r="N938" s="23"/>
      <c r="O938" s="24"/>
      <c r="P938" s="24"/>
      <c r="Q938" s="24"/>
      <c r="R938" s="24"/>
      <c r="S938" s="24"/>
      <c r="T938" s="24"/>
      <c r="U938" s="25"/>
      <c r="X938" s="26"/>
      <c r="Y938" s="27"/>
      <c r="Z938" s="28"/>
      <c r="AA938" s="28"/>
      <c r="AB938" s="28"/>
    </row>
    <row r="939" ht="15.75" customHeight="1">
      <c r="D939" s="21"/>
      <c r="M939" s="22"/>
      <c r="N939" s="23"/>
      <c r="O939" s="24"/>
      <c r="P939" s="24"/>
      <c r="Q939" s="24"/>
      <c r="R939" s="24"/>
      <c r="S939" s="24"/>
      <c r="T939" s="24"/>
      <c r="U939" s="25"/>
      <c r="X939" s="26"/>
      <c r="Y939" s="27"/>
      <c r="Z939" s="28"/>
      <c r="AA939" s="28"/>
      <c r="AB939" s="28"/>
    </row>
    <row r="940" ht="15.75" customHeight="1">
      <c r="D940" s="21"/>
      <c r="M940" s="22"/>
      <c r="N940" s="23"/>
      <c r="O940" s="24"/>
      <c r="P940" s="24"/>
      <c r="Q940" s="24"/>
      <c r="R940" s="24"/>
      <c r="S940" s="24"/>
      <c r="T940" s="24"/>
      <c r="U940" s="25"/>
      <c r="X940" s="26"/>
      <c r="Y940" s="27"/>
      <c r="Z940" s="28"/>
      <c r="AA940" s="28"/>
      <c r="AB940" s="28"/>
    </row>
    <row r="941" ht="15.75" customHeight="1">
      <c r="D941" s="21"/>
      <c r="M941" s="22"/>
      <c r="N941" s="23"/>
      <c r="O941" s="24"/>
      <c r="P941" s="24"/>
      <c r="Q941" s="24"/>
      <c r="R941" s="24"/>
      <c r="S941" s="24"/>
      <c r="T941" s="24"/>
      <c r="U941" s="25"/>
      <c r="X941" s="26"/>
      <c r="Y941" s="27"/>
      <c r="Z941" s="28"/>
      <c r="AA941" s="28"/>
      <c r="AB941" s="28"/>
    </row>
    <row r="942" ht="15.75" customHeight="1">
      <c r="D942" s="21"/>
      <c r="M942" s="22"/>
      <c r="N942" s="23"/>
      <c r="O942" s="24"/>
      <c r="P942" s="24"/>
      <c r="Q942" s="24"/>
      <c r="R942" s="24"/>
      <c r="S942" s="24"/>
      <c r="T942" s="24"/>
      <c r="U942" s="25"/>
      <c r="X942" s="26"/>
      <c r="Y942" s="27"/>
      <c r="Z942" s="28"/>
      <c r="AA942" s="28"/>
      <c r="AB942" s="28"/>
    </row>
    <row r="943" ht="15.75" customHeight="1">
      <c r="D943" s="21"/>
      <c r="M943" s="22"/>
      <c r="N943" s="23"/>
      <c r="O943" s="24"/>
      <c r="P943" s="24"/>
      <c r="Q943" s="24"/>
      <c r="R943" s="24"/>
      <c r="S943" s="24"/>
      <c r="T943" s="24"/>
      <c r="U943" s="25"/>
      <c r="X943" s="26"/>
      <c r="Y943" s="27"/>
      <c r="Z943" s="28"/>
      <c r="AA943" s="28"/>
      <c r="AB943" s="28"/>
    </row>
    <row r="944" ht="15.75" customHeight="1">
      <c r="D944" s="21"/>
      <c r="M944" s="22"/>
      <c r="N944" s="23"/>
      <c r="O944" s="24"/>
      <c r="P944" s="24"/>
      <c r="Q944" s="24"/>
      <c r="R944" s="24"/>
      <c r="S944" s="24"/>
      <c r="T944" s="24"/>
      <c r="U944" s="25"/>
      <c r="X944" s="26"/>
      <c r="Y944" s="27"/>
      <c r="Z944" s="28"/>
      <c r="AA944" s="28"/>
      <c r="AB944" s="28"/>
    </row>
    <row r="945" ht="15.75" customHeight="1">
      <c r="D945" s="21"/>
      <c r="M945" s="22"/>
      <c r="N945" s="23"/>
      <c r="O945" s="24"/>
      <c r="P945" s="24"/>
      <c r="Q945" s="24"/>
      <c r="R945" s="24"/>
      <c r="S945" s="24"/>
      <c r="T945" s="24"/>
      <c r="U945" s="25"/>
      <c r="X945" s="26"/>
      <c r="Y945" s="27"/>
      <c r="Z945" s="28"/>
      <c r="AA945" s="28"/>
      <c r="AB945" s="28"/>
    </row>
    <row r="946" ht="15.75" customHeight="1">
      <c r="D946" s="21"/>
      <c r="M946" s="22"/>
      <c r="N946" s="23"/>
      <c r="O946" s="24"/>
      <c r="P946" s="24"/>
      <c r="Q946" s="24"/>
      <c r="R946" s="24"/>
      <c r="S946" s="24"/>
      <c r="T946" s="24"/>
      <c r="U946" s="25"/>
      <c r="X946" s="26"/>
      <c r="Y946" s="27"/>
      <c r="Z946" s="28"/>
      <c r="AA946" s="28"/>
      <c r="AB946" s="28"/>
    </row>
    <row r="947" ht="15.75" customHeight="1">
      <c r="D947" s="21"/>
      <c r="M947" s="22"/>
      <c r="N947" s="23"/>
      <c r="O947" s="24"/>
      <c r="P947" s="24"/>
      <c r="Q947" s="24"/>
      <c r="R947" s="24"/>
      <c r="S947" s="24"/>
      <c r="T947" s="24"/>
      <c r="U947" s="25"/>
      <c r="X947" s="26"/>
      <c r="Y947" s="27"/>
      <c r="Z947" s="28"/>
      <c r="AA947" s="28"/>
      <c r="AB947" s="28"/>
    </row>
    <row r="948" ht="15.75" customHeight="1">
      <c r="D948" s="21"/>
      <c r="M948" s="22"/>
      <c r="N948" s="23"/>
      <c r="O948" s="24"/>
      <c r="P948" s="24"/>
      <c r="Q948" s="24"/>
      <c r="R948" s="24"/>
      <c r="S948" s="24"/>
      <c r="T948" s="24"/>
      <c r="U948" s="25"/>
      <c r="X948" s="26"/>
      <c r="Y948" s="27"/>
      <c r="Z948" s="28"/>
      <c r="AA948" s="28"/>
      <c r="AB948" s="28"/>
    </row>
    <row r="949" ht="15.75" customHeight="1">
      <c r="D949" s="21"/>
      <c r="M949" s="22"/>
      <c r="N949" s="23"/>
      <c r="O949" s="24"/>
      <c r="P949" s="24"/>
      <c r="Q949" s="24"/>
      <c r="R949" s="24"/>
      <c r="S949" s="24"/>
      <c r="T949" s="24"/>
      <c r="U949" s="25"/>
      <c r="X949" s="26"/>
      <c r="Y949" s="27"/>
      <c r="Z949" s="28"/>
      <c r="AA949" s="28"/>
      <c r="AB949" s="28"/>
    </row>
    <row r="950" ht="15.75" customHeight="1">
      <c r="D950" s="21"/>
      <c r="M950" s="22"/>
      <c r="N950" s="23"/>
      <c r="O950" s="24"/>
      <c r="P950" s="24"/>
      <c r="Q950" s="24"/>
      <c r="R950" s="24"/>
      <c r="S950" s="24"/>
      <c r="T950" s="24"/>
      <c r="U950" s="25"/>
      <c r="X950" s="26"/>
      <c r="Y950" s="27"/>
      <c r="Z950" s="28"/>
      <c r="AA950" s="28"/>
      <c r="AB950" s="28"/>
    </row>
    <row r="951" ht="15.75" customHeight="1">
      <c r="D951" s="21"/>
      <c r="M951" s="22"/>
      <c r="N951" s="23"/>
      <c r="O951" s="24"/>
      <c r="P951" s="24"/>
      <c r="Q951" s="24"/>
      <c r="R951" s="24"/>
      <c r="S951" s="24"/>
      <c r="T951" s="24"/>
      <c r="U951" s="25"/>
      <c r="X951" s="26"/>
      <c r="Y951" s="27"/>
      <c r="Z951" s="28"/>
      <c r="AA951" s="28"/>
      <c r="AB951" s="28"/>
    </row>
    <row r="952" ht="15.75" customHeight="1">
      <c r="D952" s="21"/>
      <c r="M952" s="22"/>
      <c r="N952" s="23"/>
      <c r="O952" s="24"/>
      <c r="P952" s="24"/>
      <c r="Q952" s="24"/>
      <c r="R952" s="24"/>
      <c r="S952" s="24"/>
      <c r="T952" s="24"/>
      <c r="U952" s="25"/>
      <c r="X952" s="26"/>
      <c r="Y952" s="27"/>
      <c r="Z952" s="28"/>
      <c r="AA952" s="28"/>
      <c r="AB952" s="28"/>
    </row>
    <row r="953" ht="15.75" customHeight="1">
      <c r="D953" s="21"/>
      <c r="M953" s="22"/>
      <c r="N953" s="23"/>
      <c r="O953" s="24"/>
      <c r="P953" s="24"/>
      <c r="Q953" s="24"/>
      <c r="R953" s="24"/>
      <c r="S953" s="24"/>
      <c r="T953" s="24"/>
      <c r="U953" s="25"/>
      <c r="X953" s="26"/>
      <c r="Y953" s="27"/>
      <c r="Z953" s="28"/>
      <c r="AA953" s="28"/>
      <c r="AB953" s="28"/>
    </row>
    <row r="954" ht="15.75" customHeight="1">
      <c r="D954" s="21"/>
      <c r="M954" s="22"/>
      <c r="N954" s="23"/>
      <c r="O954" s="24"/>
      <c r="P954" s="24"/>
      <c r="Q954" s="24"/>
      <c r="R954" s="24"/>
      <c r="S954" s="24"/>
      <c r="T954" s="24"/>
      <c r="U954" s="25"/>
      <c r="X954" s="26"/>
      <c r="Y954" s="27"/>
      <c r="Z954" s="28"/>
      <c r="AA954" s="28"/>
      <c r="AB954" s="28"/>
    </row>
    <row r="955" ht="15.75" customHeight="1">
      <c r="D955" s="21"/>
      <c r="M955" s="22"/>
      <c r="N955" s="23"/>
      <c r="O955" s="24"/>
      <c r="P955" s="24"/>
      <c r="Q955" s="24"/>
      <c r="R955" s="24"/>
      <c r="S955" s="24"/>
      <c r="T955" s="24"/>
      <c r="U955" s="25"/>
      <c r="X955" s="26"/>
      <c r="Y955" s="27"/>
      <c r="Z955" s="28"/>
      <c r="AA955" s="28"/>
      <c r="AB955" s="28"/>
    </row>
    <row r="956" ht="15.75" customHeight="1">
      <c r="D956" s="21"/>
      <c r="M956" s="22"/>
      <c r="N956" s="23"/>
      <c r="O956" s="24"/>
      <c r="P956" s="24"/>
      <c r="Q956" s="24"/>
      <c r="R956" s="24"/>
      <c r="S956" s="24"/>
      <c r="T956" s="24"/>
      <c r="U956" s="25"/>
      <c r="X956" s="26"/>
      <c r="Y956" s="27"/>
      <c r="Z956" s="28"/>
      <c r="AA956" s="28"/>
      <c r="AB956" s="28"/>
    </row>
    <row r="957" ht="15.75" customHeight="1">
      <c r="D957" s="21"/>
      <c r="M957" s="22"/>
      <c r="N957" s="23"/>
      <c r="O957" s="24"/>
      <c r="P957" s="24"/>
      <c r="Q957" s="24"/>
      <c r="R957" s="24"/>
      <c r="S957" s="24"/>
      <c r="T957" s="24"/>
      <c r="U957" s="25"/>
      <c r="X957" s="26"/>
      <c r="Y957" s="27"/>
      <c r="Z957" s="28"/>
      <c r="AA957" s="28"/>
      <c r="AB957" s="28"/>
    </row>
    <row r="958" ht="15.75" customHeight="1">
      <c r="D958" s="21"/>
      <c r="M958" s="22"/>
      <c r="N958" s="23"/>
      <c r="O958" s="24"/>
      <c r="P958" s="24"/>
      <c r="Q958" s="24"/>
      <c r="R958" s="24"/>
      <c r="S958" s="24"/>
      <c r="T958" s="24"/>
      <c r="U958" s="25"/>
      <c r="X958" s="26"/>
      <c r="Y958" s="27"/>
      <c r="Z958" s="28"/>
      <c r="AA958" s="28"/>
      <c r="AB958" s="28"/>
    </row>
    <row r="959" ht="15.75" customHeight="1">
      <c r="D959" s="21"/>
      <c r="M959" s="22"/>
      <c r="N959" s="23"/>
      <c r="O959" s="24"/>
      <c r="P959" s="24"/>
      <c r="Q959" s="24"/>
      <c r="R959" s="24"/>
      <c r="S959" s="24"/>
      <c r="T959" s="24"/>
      <c r="U959" s="25"/>
      <c r="X959" s="26"/>
      <c r="Y959" s="27"/>
      <c r="Z959" s="28"/>
      <c r="AA959" s="28"/>
      <c r="AB959" s="28"/>
    </row>
    <row r="960" ht="15.75" customHeight="1">
      <c r="D960" s="21"/>
      <c r="M960" s="22"/>
      <c r="N960" s="23"/>
      <c r="O960" s="24"/>
      <c r="P960" s="24"/>
      <c r="Q960" s="24"/>
      <c r="R960" s="24"/>
      <c r="S960" s="24"/>
      <c r="T960" s="24"/>
      <c r="U960" s="25"/>
      <c r="X960" s="26"/>
      <c r="Y960" s="27"/>
      <c r="Z960" s="28"/>
      <c r="AA960" s="28"/>
      <c r="AB960" s="28"/>
    </row>
    <row r="961" ht="15.75" customHeight="1">
      <c r="D961" s="21"/>
      <c r="M961" s="22"/>
      <c r="N961" s="23"/>
      <c r="O961" s="24"/>
      <c r="P961" s="24"/>
      <c r="Q961" s="24"/>
      <c r="R961" s="24"/>
      <c r="S961" s="24"/>
      <c r="T961" s="24"/>
      <c r="U961" s="25"/>
      <c r="X961" s="26"/>
      <c r="Y961" s="27"/>
      <c r="Z961" s="28"/>
      <c r="AA961" s="28"/>
      <c r="AB961" s="28"/>
    </row>
    <row r="962" ht="15.75" customHeight="1">
      <c r="D962" s="21"/>
      <c r="M962" s="22"/>
      <c r="N962" s="23"/>
      <c r="O962" s="24"/>
      <c r="P962" s="24"/>
      <c r="Q962" s="24"/>
      <c r="R962" s="24"/>
      <c r="S962" s="24"/>
      <c r="T962" s="24"/>
      <c r="U962" s="25"/>
      <c r="X962" s="26"/>
      <c r="Y962" s="27"/>
      <c r="Z962" s="28"/>
      <c r="AA962" s="28"/>
      <c r="AB962" s="28"/>
    </row>
    <row r="963" ht="15.75" customHeight="1">
      <c r="D963" s="21"/>
      <c r="M963" s="22"/>
      <c r="N963" s="23"/>
      <c r="O963" s="24"/>
      <c r="P963" s="24"/>
      <c r="Q963" s="24"/>
      <c r="R963" s="24"/>
      <c r="S963" s="24"/>
      <c r="T963" s="24"/>
      <c r="U963" s="25"/>
      <c r="X963" s="26"/>
      <c r="Y963" s="27"/>
      <c r="Z963" s="28"/>
      <c r="AA963" s="28"/>
      <c r="AB963" s="28"/>
    </row>
    <row r="964" ht="15.75" customHeight="1">
      <c r="D964" s="21"/>
      <c r="M964" s="22"/>
      <c r="N964" s="23"/>
      <c r="O964" s="24"/>
      <c r="P964" s="24"/>
      <c r="Q964" s="24"/>
      <c r="R964" s="24"/>
      <c r="S964" s="24"/>
      <c r="T964" s="24"/>
      <c r="U964" s="25"/>
      <c r="X964" s="26"/>
      <c r="Y964" s="27"/>
      <c r="Z964" s="28"/>
      <c r="AA964" s="28"/>
      <c r="AB964" s="28"/>
    </row>
    <row r="965" ht="15.75" customHeight="1">
      <c r="D965" s="21"/>
      <c r="M965" s="22"/>
      <c r="N965" s="23"/>
      <c r="O965" s="24"/>
      <c r="P965" s="24"/>
      <c r="Q965" s="24"/>
      <c r="R965" s="24"/>
      <c r="S965" s="24"/>
      <c r="T965" s="24"/>
      <c r="U965" s="25"/>
      <c r="X965" s="26"/>
      <c r="Y965" s="27"/>
      <c r="Z965" s="28"/>
      <c r="AA965" s="28"/>
      <c r="AB965" s="28"/>
    </row>
    <row r="966" ht="15.75" customHeight="1">
      <c r="D966" s="21"/>
      <c r="M966" s="22"/>
      <c r="N966" s="23"/>
      <c r="O966" s="24"/>
      <c r="P966" s="24"/>
      <c r="Q966" s="24"/>
      <c r="R966" s="24"/>
      <c r="S966" s="24"/>
      <c r="T966" s="24"/>
      <c r="U966" s="25"/>
      <c r="X966" s="26"/>
      <c r="Y966" s="27"/>
      <c r="Z966" s="28"/>
      <c r="AA966" s="28"/>
      <c r="AB966" s="28"/>
    </row>
    <row r="967" ht="15.75" customHeight="1">
      <c r="D967" s="21"/>
      <c r="M967" s="22"/>
      <c r="N967" s="23"/>
      <c r="O967" s="24"/>
      <c r="P967" s="24"/>
      <c r="Q967" s="24"/>
      <c r="R967" s="24"/>
      <c r="S967" s="24"/>
      <c r="T967" s="24"/>
      <c r="U967" s="25"/>
      <c r="X967" s="26"/>
      <c r="Y967" s="27"/>
      <c r="Z967" s="28"/>
      <c r="AA967" s="28"/>
      <c r="AB967" s="28"/>
    </row>
    <row r="968" ht="15.75" customHeight="1">
      <c r="D968" s="21"/>
      <c r="M968" s="22"/>
      <c r="N968" s="23"/>
      <c r="O968" s="24"/>
      <c r="P968" s="24"/>
      <c r="Q968" s="24"/>
      <c r="R968" s="24"/>
      <c r="S968" s="24"/>
      <c r="T968" s="24"/>
      <c r="U968" s="25"/>
      <c r="X968" s="26"/>
      <c r="Y968" s="27"/>
      <c r="Z968" s="28"/>
      <c r="AA968" s="28"/>
      <c r="AB968" s="28"/>
    </row>
    <row r="969" ht="15.75" customHeight="1">
      <c r="D969" s="21"/>
      <c r="M969" s="22"/>
      <c r="N969" s="23"/>
      <c r="O969" s="24"/>
      <c r="P969" s="24"/>
      <c r="Q969" s="24"/>
      <c r="R969" s="24"/>
      <c r="S969" s="24"/>
      <c r="T969" s="24"/>
      <c r="U969" s="25"/>
      <c r="X969" s="26"/>
      <c r="Y969" s="27"/>
      <c r="Z969" s="28"/>
      <c r="AA969" s="28"/>
      <c r="AB969" s="28"/>
    </row>
    <row r="970" ht="15.75" customHeight="1">
      <c r="D970" s="21"/>
      <c r="M970" s="22"/>
      <c r="N970" s="23"/>
      <c r="O970" s="24"/>
      <c r="P970" s="24"/>
      <c r="Q970" s="24"/>
      <c r="R970" s="24"/>
      <c r="S970" s="24"/>
      <c r="T970" s="24"/>
      <c r="U970" s="25"/>
      <c r="X970" s="26"/>
      <c r="Y970" s="27"/>
      <c r="Z970" s="28"/>
      <c r="AA970" s="28"/>
      <c r="AB970" s="28"/>
    </row>
    <row r="971" ht="15.75" customHeight="1">
      <c r="D971" s="21"/>
      <c r="M971" s="22"/>
      <c r="N971" s="23"/>
      <c r="O971" s="24"/>
      <c r="P971" s="24"/>
      <c r="Q971" s="24"/>
      <c r="R971" s="24"/>
      <c r="S971" s="24"/>
      <c r="T971" s="24"/>
      <c r="U971" s="25"/>
      <c r="X971" s="26"/>
      <c r="Y971" s="27"/>
      <c r="Z971" s="28"/>
      <c r="AA971" s="28"/>
      <c r="AB971" s="28"/>
    </row>
    <row r="972" ht="15.75" customHeight="1">
      <c r="D972" s="21"/>
      <c r="M972" s="22"/>
      <c r="N972" s="23"/>
      <c r="O972" s="24"/>
      <c r="P972" s="24"/>
      <c r="Q972" s="24"/>
      <c r="R972" s="24"/>
      <c r="S972" s="24"/>
      <c r="T972" s="24"/>
      <c r="U972" s="25"/>
      <c r="X972" s="26"/>
      <c r="Y972" s="27"/>
      <c r="Z972" s="28"/>
      <c r="AA972" s="28"/>
      <c r="AB972" s="28"/>
    </row>
    <row r="973" ht="15.75" customHeight="1">
      <c r="D973" s="21"/>
      <c r="M973" s="22"/>
      <c r="N973" s="23"/>
      <c r="O973" s="24"/>
      <c r="P973" s="24"/>
      <c r="Q973" s="24"/>
      <c r="R973" s="24"/>
      <c r="S973" s="24"/>
      <c r="T973" s="24"/>
      <c r="U973" s="25"/>
      <c r="X973" s="26"/>
      <c r="Y973" s="27"/>
      <c r="Z973" s="28"/>
      <c r="AA973" s="28"/>
      <c r="AB973" s="28"/>
    </row>
    <row r="974" ht="15.75" customHeight="1">
      <c r="D974" s="21"/>
      <c r="M974" s="22"/>
      <c r="N974" s="23"/>
      <c r="O974" s="24"/>
      <c r="P974" s="24"/>
      <c r="Q974" s="24"/>
      <c r="R974" s="24"/>
      <c r="S974" s="24"/>
      <c r="T974" s="24"/>
      <c r="U974" s="25"/>
      <c r="X974" s="26"/>
      <c r="Y974" s="27"/>
      <c r="Z974" s="28"/>
      <c r="AA974" s="28"/>
      <c r="AB974" s="28"/>
    </row>
    <row r="975" ht="15.75" customHeight="1">
      <c r="D975" s="21"/>
      <c r="M975" s="22"/>
      <c r="N975" s="23"/>
      <c r="O975" s="24"/>
      <c r="P975" s="24"/>
      <c r="Q975" s="24"/>
      <c r="R975" s="24"/>
      <c r="S975" s="24"/>
      <c r="T975" s="24"/>
      <c r="U975" s="25"/>
      <c r="X975" s="26"/>
      <c r="Y975" s="27"/>
      <c r="Z975" s="28"/>
      <c r="AA975" s="28"/>
      <c r="AB975" s="28"/>
    </row>
    <row r="976" ht="15.75" customHeight="1">
      <c r="D976" s="21"/>
      <c r="M976" s="22"/>
      <c r="N976" s="23"/>
      <c r="O976" s="24"/>
      <c r="P976" s="24"/>
      <c r="Q976" s="24"/>
      <c r="R976" s="24"/>
      <c r="S976" s="24"/>
      <c r="T976" s="24"/>
      <c r="U976" s="25"/>
      <c r="X976" s="26"/>
      <c r="Y976" s="27"/>
      <c r="Z976" s="28"/>
      <c r="AA976" s="28"/>
      <c r="AB976" s="28"/>
    </row>
    <row r="977" ht="15.75" customHeight="1">
      <c r="D977" s="21"/>
      <c r="M977" s="22"/>
      <c r="N977" s="23"/>
      <c r="O977" s="24"/>
      <c r="P977" s="24"/>
      <c r="Q977" s="24"/>
      <c r="R977" s="24"/>
      <c r="S977" s="24"/>
      <c r="T977" s="24"/>
      <c r="U977" s="25"/>
      <c r="X977" s="26"/>
      <c r="Y977" s="27"/>
      <c r="Z977" s="28"/>
      <c r="AA977" s="28"/>
      <c r="AB977" s="28"/>
    </row>
    <row r="978" ht="15.75" customHeight="1">
      <c r="D978" s="21"/>
      <c r="M978" s="22"/>
      <c r="N978" s="23"/>
      <c r="O978" s="24"/>
      <c r="P978" s="24"/>
      <c r="Q978" s="24"/>
      <c r="R978" s="24"/>
      <c r="S978" s="24"/>
      <c r="T978" s="24"/>
      <c r="U978" s="25"/>
      <c r="X978" s="26"/>
      <c r="Y978" s="27"/>
      <c r="Z978" s="28"/>
      <c r="AA978" s="28"/>
      <c r="AB978" s="28"/>
    </row>
    <row r="979" ht="15.75" customHeight="1">
      <c r="D979" s="21"/>
      <c r="M979" s="22"/>
      <c r="N979" s="23"/>
      <c r="O979" s="24"/>
      <c r="P979" s="24"/>
      <c r="Q979" s="24"/>
      <c r="R979" s="24"/>
      <c r="S979" s="24"/>
      <c r="T979" s="24"/>
      <c r="U979" s="25"/>
      <c r="X979" s="26"/>
      <c r="Y979" s="27"/>
      <c r="Z979" s="28"/>
      <c r="AA979" s="28"/>
      <c r="AB979" s="28"/>
    </row>
    <row r="980" ht="15.75" customHeight="1">
      <c r="D980" s="21"/>
      <c r="M980" s="22"/>
      <c r="N980" s="23"/>
      <c r="O980" s="24"/>
      <c r="P980" s="24"/>
      <c r="Q980" s="24"/>
      <c r="R980" s="24"/>
      <c r="S980" s="24"/>
      <c r="T980" s="24"/>
      <c r="U980" s="25"/>
      <c r="X980" s="26"/>
      <c r="Y980" s="27"/>
      <c r="Z980" s="28"/>
      <c r="AA980" s="28"/>
      <c r="AB980" s="28"/>
    </row>
    <row r="981" ht="15.75" customHeight="1">
      <c r="D981" s="21"/>
      <c r="M981" s="22"/>
      <c r="N981" s="23"/>
      <c r="O981" s="24"/>
      <c r="P981" s="24"/>
      <c r="Q981" s="24"/>
      <c r="R981" s="24"/>
      <c r="S981" s="24"/>
      <c r="T981" s="24"/>
      <c r="U981" s="25"/>
      <c r="X981" s="26"/>
      <c r="Y981" s="27"/>
      <c r="Z981" s="28"/>
      <c r="AA981" s="28"/>
      <c r="AB981" s="28"/>
    </row>
    <row r="982" ht="15.75" customHeight="1">
      <c r="D982" s="21"/>
      <c r="M982" s="22"/>
      <c r="N982" s="23"/>
      <c r="O982" s="24"/>
      <c r="P982" s="24"/>
      <c r="Q982" s="24"/>
      <c r="R982" s="24"/>
      <c r="S982" s="24"/>
      <c r="T982" s="24"/>
      <c r="U982" s="25"/>
      <c r="X982" s="26"/>
      <c r="Y982" s="27"/>
      <c r="Z982" s="28"/>
      <c r="AA982" s="28"/>
      <c r="AB982" s="28"/>
    </row>
    <row r="983" ht="15.75" customHeight="1">
      <c r="D983" s="21"/>
      <c r="M983" s="22"/>
      <c r="N983" s="23"/>
      <c r="O983" s="24"/>
      <c r="P983" s="24"/>
      <c r="Q983" s="24"/>
      <c r="R983" s="24"/>
      <c r="S983" s="24"/>
      <c r="T983" s="24"/>
      <c r="U983" s="25"/>
      <c r="X983" s="26"/>
      <c r="Y983" s="27"/>
      <c r="Z983" s="28"/>
      <c r="AA983" s="28"/>
      <c r="AB983" s="28"/>
    </row>
    <row r="984" ht="15.75" customHeight="1">
      <c r="D984" s="21"/>
      <c r="M984" s="22"/>
      <c r="N984" s="23"/>
      <c r="O984" s="24"/>
      <c r="P984" s="24"/>
      <c r="Q984" s="24"/>
      <c r="R984" s="24"/>
      <c r="S984" s="24"/>
      <c r="T984" s="24"/>
      <c r="U984" s="25"/>
      <c r="X984" s="26"/>
      <c r="Y984" s="27"/>
      <c r="Z984" s="28"/>
      <c r="AA984" s="28"/>
      <c r="AB984" s="28"/>
    </row>
    <row r="985" ht="15.75" customHeight="1">
      <c r="D985" s="21"/>
      <c r="M985" s="22"/>
      <c r="N985" s="23"/>
      <c r="O985" s="24"/>
      <c r="P985" s="24"/>
      <c r="Q985" s="24"/>
      <c r="R985" s="24"/>
      <c r="S985" s="24"/>
      <c r="T985" s="24"/>
      <c r="U985" s="25"/>
      <c r="X985" s="26"/>
      <c r="Y985" s="27"/>
      <c r="Z985" s="28"/>
      <c r="AA985" s="28"/>
      <c r="AB985" s="28"/>
    </row>
    <row r="986" ht="15.75" customHeight="1">
      <c r="D986" s="21"/>
      <c r="M986" s="22"/>
      <c r="N986" s="23"/>
      <c r="O986" s="24"/>
      <c r="P986" s="24"/>
      <c r="Q986" s="24"/>
      <c r="R986" s="24"/>
      <c r="S986" s="24"/>
      <c r="T986" s="24"/>
      <c r="U986" s="25"/>
      <c r="X986" s="26"/>
      <c r="Y986" s="27"/>
      <c r="Z986" s="28"/>
      <c r="AA986" s="28"/>
      <c r="AB986" s="28"/>
    </row>
    <row r="987" ht="15.75" customHeight="1">
      <c r="D987" s="21"/>
      <c r="M987" s="22"/>
      <c r="N987" s="23"/>
      <c r="O987" s="24"/>
      <c r="P987" s="24"/>
      <c r="Q987" s="24"/>
      <c r="R987" s="24"/>
      <c r="S987" s="24"/>
      <c r="T987" s="24"/>
      <c r="U987" s="25"/>
      <c r="X987" s="26"/>
      <c r="Y987" s="27"/>
      <c r="Z987" s="28"/>
      <c r="AA987" s="28"/>
      <c r="AB987" s="28"/>
    </row>
    <row r="988" ht="15.75" customHeight="1">
      <c r="D988" s="21"/>
      <c r="M988" s="22"/>
      <c r="N988" s="23"/>
      <c r="O988" s="24"/>
      <c r="P988" s="24"/>
      <c r="Q988" s="24"/>
      <c r="R988" s="24"/>
      <c r="S988" s="24"/>
      <c r="T988" s="24"/>
      <c r="U988" s="25"/>
      <c r="X988" s="26"/>
      <c r="Y988" s="27"/>
      <c r="Z988" s="28"/>
      <c r="AA988" s="28"/>
      <c r="AB988" s="28"/>
    </row>
    <row r="989" ht="15.75" customHeight="1">
      <c r="D989" s="21"/>
      <c r="M989" s="22"/>
      <c r="N989" s="23"/>
      <c r="O989" s="24"/>
      <c r="P989" s="24"/>
      <c r="Q989" s="24"/>
      <c r="R989" s="24"/>
      <c r="S989" s="24"/>
      <c r="T989" s="24"/>
      <c r="U989" s="25"/>
      <c r="X989" s="26"/>
      <c r="Y989" s="27"/>
      <c r="Z989" s="28"/>
      <c r="AA989" s="28"/>
      <c r="AB989" s="28"/>
    </row>
    <row r="990" ht="15.75" customHeight="1">
      <c r="D990" s="21"/>
      <c r="M990" s="22"/>
      <c r="N990" s="23"/>
      <c r="O990" s="24"/>
      <c r="P990" s="24"/>
      <c r="Q990" s="24"/>
      <c r="R990" s="24"/>
      <c r="S990" s="24"/>
      <c r="T990" s="24"/>
      <c r="U990" s="25"/>
      <c r="X990" s="26"/>
      <c r="Y990" s="27"/>
      <c r="Z990" s="28"/>
      <c r="AA990" s="28"/>
      <c r="AB990" s="28"/>
    </row>
    <row r="991" ht="15.75" customHeight="1">
      <c r="D991" s="21"/>
      <c r="M991" s="22"/>
      <c r="N991" s="23"/>
      <c r="O991" s="24"/>
      <c r="P991" s="24"/>
      <c r="Q991" s="24"/>
      <c r="R991" s="24"/>
      <c r="S991" s="24"/>
      <c r="T991" s="24"/>
      <c r="U991" s="25"/>
      <c r="X991" s="26"/>
      <c r="Y991" s="27"/>
      <c r="Z991" s="28"/>
      <c r="AA991" s="28"/>
      <c r="AB991" s="28"/>
    </row>
    <row r="992" ht="15.75" customHeight="1">
      <c r="D992" s="21"/>
      <c r="M992" s="22"/>
      <c r="N992" s="23"/>
      <c r="O992" s="24"/>
      <c r="P992" s="24"/>
      <c r="Q992" s="24"/>
      <c r="R992" s="24"/>
      <c r="S992" s="24"/>
      <c r="T992" s="24"/>
      <c r="U992" s="25"/>
      <c r="X992" s="26"/>
      <c r="Y992" s="27"/>
      <c r="Z992" s="28"/>
      <c r="AA992" s="28"/>
      <c r="AB992" s="28"/>
    </row>
    <row r="993" ht="15.75" customHeight="1">
      <c r="D993" s="21"/>
      <c r="M993" s="22"/>
      <c r="N993" s="23"/>
      <c r="O993" s="24"/>
      <c r="P993" s="24"/>
      <c r="Q993" s="24"/>
      <c r="R993" s="24"/>
      <c r="S993" s="24"/>
      <c r="T993" s="24"/>
      <c r="U993" s="25"/>
      <c r="X993" s="26"/>
      <c r="Y993" s="27"/>
      <c r="Z993" s="28"/>
      <c r="AA993" s="28"/>
      <c r="AB993" s="28"/>
    </row>
    <row r="994" ht="15.75" customHeight="1">
      <c r="D994" s="21"/>
      <c r="M994" s="22"/>
      <c r="N994" s="23"/>
      <c r="O994" s="24"/>
      <c r="P994" s="24"/>
      <c r="Q994" s="24"/>
      <c r="R994" s="24"/>
      <c r="S994" s="24"/>
      <c r="T994" s="24"/>
      <c r="U994" s="25"/>
      <c r="X994" s="26"/>
      <c r="Y994" s="27"/>
      <c r="Z994" s="28"/>
      <c r="AA994" s="28"/>
      <c r="AB994" s="28"/>
    </row>
    <row r="995" ht="15.75" customHeight="1">
      <c r="D995" s="21"/>
      <c r="M995" s="22"/>
      <c r="N995" s="23"/>
      <c r="O995" s="24"/>
      <c r="P995" s="24"/>
      <c r="Q995" s="24"/>
      <c r="R995" s="24"/>
      <c r="S995" s="24"/>
      <c r="T995" s="24"/>
      <c r="U995" s="25"/>
      <c r="X995" s="26"/>
      <c r="Y995" s="27"/>
      <c r="Z995" s="28"/>
      <c r="AA995" s="28"/>
      <c r="AB995" s="28"/>
    </row>
    <row r="996" ht="15.75" customHeight="1">
      <c r="D996" s="21"/>
      <c r="M996" s="22"/>
      <c r="N996" s="23"/>
      <c r="O996" s="24"/>
      <c r="P996" s="24"/>
      <c r="Q996" s="24"/>
      <c r="R996" s="24"/>
      <c r="S996" s="24"/>
      <c r="T996" s="24"/>
      <c r="U996" s="25"/>
      <c r="X996" s="26"/>
      <c r="Y996" s="27"/>
      <c r="Z996" s="28"/>
      <c r="AA996" s="28"/>
      <c r="AB996" s="28"/>
    </row>
    <row r="997" ht="15.75" customHeight="1">
      <c r="D997" s="21"/>
      <c r="M997" s="22"/>
      <c r="N997" s="23"/>
      <c r="O997" s="24"/>
      <c r="P997" s="24"/>
      <c r="Q997" s="24"/>
      <c r="R997" s="24"/>
      <c r="S997" s="24"/>
      <c r="T997" s="24"/>
      <c r="U997" s="25"/>
      <c r="X997" s="26"/>
      <c r="Y997" s="27"/>
      <c r="Z997" s="28"/>
      <c r="AA997" s="28"/>
      <c r="AB997" s="28"/>
    </row>
    <row r="998" ht="15.75" customHeight="1">
      <c r="D998" s="21"/>
      <c r="M998" s="22"/>
      <c r="N998" s="23"/>
      <c r="O998" s="24"/>
      <c r="P998" s="24"/>
      <c r="Q998" s="24"/>
      <c r="R998" s="24"/>
      <c r="S998" s="24"/>
      <c r="T998" s="24"/>
      <c r="U998" s="25"/>
      <c r="X998" s="26"/>
      <c r="Y998" s="27"/>
      <c r="Z998" s="28"/>
      <c r="AA998" s="28"/>
      <c r="AB998" s="28"/>
    </row>
    <row r="999" ht="15.75" customHeight="1">
      <c r="D999" s="21"/>
      <c r="M999" s="22"/>
      <c r="N999" s="23"/>
      <c r="O999" s="24"/>
      <c r="P999" s="24"/>
      <c r="Q999" s="24"/>
      <c r="R999" s="24"/>
      <c r="S999" s="24"/>
      <c r="T999" s="24"/>
      <c r="U999" s="25"/>
      <c r="X999" s="26"/>
      <c r="Y999" s="27"/>
      <c r="Z999" s="28"/>
      <c r="AA999" s="28"/>
      <c r="AB999" s="28"/>
    </row>
    <row r="1000" ht="15.75" customHeight="1">
      <c r="D1000" s="21"/>
      <c r="M1000" s="22"/>
      <c r="N1000" s="23"/>
      <c r="O1000" s="24"/>
      <c r="P1000" s="24"/>
      <c r="Q1000" s="24"/>
      <c r="R1000" s="24"/>
      <c r="S1000" s="24"/>
      <c r="T1000" s="24"/>
      <c r="U1000" s="25"/>
      <c r="X1000" s="26"/>
      <c r="Y1000" s="27"/>
      <c r="Z1000" s="28"/>
      <c r="AA1000" s="28"/>
      <c r="AB1000" s="28"/>
    </row>
  </sheetData>
  <dataValidations>
    <dataValidation type="list" allowBlank="1" sqref="W2:W101">
      <formula1>"high,medium,low"</formula1>
    </dataValidation>
    <dataValidation type="list" allowBlank="1" showInputMessage="1" prompt="Do entry_1 and entry_2 refer to the same or different software?" sqref="V2:V101">
      <formula1>"same,different,unclear"</formula1>
    </dataValidation>
    <dataValidation type="list" allowBlank="1" showErrorMessage="1" sqref="O2:O101">
      <formula1>"cmd,lib,web,suite,db,undefined,soap,app"</formula1>
    </dataValidation>
    <dataValidation type="list" allowBlank="1" showErrorMessage="1" sqref="E2:E101">
      <formula1>"undefined,cmd,lib,workbench,web,db,soap"</formula1>
    </dataValidation>
    <dataValidation type="list" allowBlank="1" showErrorMessage="1" sqref="C2:C101">
      <formula1>"sourceforge,biotools,galaxy,bioconda_recipes,toolshed"</formula1>
    </dataValidation>
    <dataValidation type="list" allowBlank="1" showErrorMessage="1" sqref="M2:M101">
      <formula1>"github,bioconda_recipes,biotools,bioconductor,galaxy"</formula1>
    </dataValidation>
    <dataValidation type="list" allowBlank="1" showErrorMessage="1" sqref="Y2:Y101">
      <formula1>"FALSE,TRUE"</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86"/>
    <col customWidth="1" min="2" max="2" width="25.29"/>
    <col customWidth="1" min="3" max="3" width="35.14"/>
  </cols>
  <sheetData>
    <row r="1">
      <c r="A1" s="1" t="s">
        <v>0</v>
      </c>
      <c r="B1" s="1" t="s">
        <v>1</v>
      </c>
      <c r="C1" s="2" t="s">
        <v>11</v>
      </c>
    </row>
    <row r="2">
      <c r="A2" s="9" t="s">
        <v>25</v>
      </c>
      <c r="B2" s="9" t="s">
        <v>26</v>
      </c>
      <c r="C2" s="9" t="s">
        <v>30</v>
      </c>
    </row>
    <row r="3">
      <c r="A3" s="9" t="s">
        <v>36</v>
      </c>
      <c r="B3" s="9" t="s">
        <v>37</v>
      </c>
      <c r="C3" s="9" t="s">
        <v>43</v>
      </c>
    </row>
    <row r="4">
      <c r="A4" s="9" t="s">
        <v>46</v>
      </c>
      <c r="B4" s="9" t="s">
        <v>47</v>
      </c>
      <c r="C4" s="9" t="s">
        <v>52</v>
      </c>
    </row>
    <row r="5">
      <c r="A5" s="9" t="s">
        <v>58</v>
      </c>
      <c r="B5" s="9" t="s">
        <v>59</v>
      </c>
      <c r="C5" s="9" t="s">
        <v>63</v>
      </c>
    </row>
    <row r="6">
      <c r="A6" s="9" t="s">
        <v>68</v>
      </c>
      <c r="B6" s="9" t="s">
        <v>69</v>
      </c>
      <c r="C6" s="9" t="s">
        <v>73</v>
      </c>
    </row>
    <row r="7">
      <c r="A7" s="9" t="s">
        <v>77</v>
      </c>
      <c r="B7" s="9" t="s">
        <v>78</v>
      </c>
      <c r="C7" s="9" t="s">
        <v>82</v>
      </c>
    </row>
    <row r="8">
      <c r="A8" s="9" t="s">
        <v>86</v>
      </c>
      <c r="B8" s="9" t="s">
        <v>87</v>
      </c>
      <c r="C8" s="9" t="s">
        <v>91</v>
      </c>
    </row>
    <row r="9">
      <c r="A9" s="9" t="s">
        <v>96</v>
      </c>
      <c r="B9" s="9" t="s">
        <v>97</v>
      </c>
      <c r="C9" s="9" t="s">
        <v>100</v>
      </c>
    </row>
    <row r="10">
      <c r="A10" s="9" t="s">
        <v>103</v>
      </c>
      <c r="B10" s="9" t="s">
        <v>104</v>
      </c>
      <c r="C10" s="9" t="s">
        <v>107</v>
      </c>
    </row>
    <row r="11">
      <c r="A11" s="9" t="s">
        <v>111</v>
      </c>
      <c r="B11" s="9" t="s">
        <v>112</v>
      </c>
      <c r="C11" s="9" t="s">
        <v>116</v>
      </c>
    </row>
    <row r="12">
      <c r="A12" s="9" t="s">
        <v>122</v>
      </c>
      <c r="B12" s="9" t="s">
        <v>123</v>
      </c>
      <c r="C12" s="9" t="s">
        <v>127</v>
      </c>
    </row>
    <row r="13">
      <c r="A13" s="9" t="s">
        <v>129</v>
      </c>
      <c r="B13" s="9" t="s">
        <v>130</v>
      </c>
      <c r="C13" s="9" t="s">
        <v>133</v>
      </c>
    </row>
    <row r="14">
      <c r="A14" s="9" t="s">
        <v>136</v>
      </c>
      <c r="B14" s="9" t="s">
        <v>137</v>
      </c>
      <c r="C14" s="9" t="s">
        <v>141</v>
      </c>
    </row>
    <row r="15">
      <c r="A15" s="9" t="s">
        <v>144</v>
      </c>
      <c r="B15" s="9" t="s">
        <v>145</v>
      </c>
      <c r="C15" s="9" t="s">
        <v>148</v>
      </c>
    </row>
    <row r="16">
      <c r="A16" s="9" t="s">
        <v>152</v>
      </c>
      <c r="B16" s="9" t="s">
        <v>153</v>
      </c>
      <c r="C16" s="9" t="s">
        <v>157</v>
      </c>
    </row>
    <row r="17">
      <c r="A17" s="9" t="s">
        <v>161</v>
      </c>
      <c r="B17" s="9" t="s">
        <v>162</v>
      </c>
      <c r="C17" s="9" t="s">
        <v>166</v>
      </c>
    </row>
    <row r="18">
      <c r="A18" s="9" t="s">
        <v>170</v>
      </c>
      <c r="B18" s="9" t="s">
        <v>171</v>
      </c>
      <c r="C18" s="9" t="s">
        <v>175</v>
      </c>
    </row>
    <row r="19">
      <c r="A19" s="9" t="s">
        <v>178</v>
      </c>
      <c r="B19" s="9" t="s">
        <v>179</v>
      </c>
      <c r="C19" s="9" t="s">
        <v>183</v>
      </c>
    </row>
    <row r="20">
      <c r="A20" s="9" t="s">
        <v>189</v>
      </c>
      <c r="B20" s="9" t="s">
        <v>190</v>
      </c>
      <c r="C20" s="9" t="s">
        <v>193</v>
      </c>
    </row>
    <row r="21">
      <c r="A21" s="9" t="s">
        <v>196</v>
      </c>
      <c r="B21" s="9" t="s">
        <v>197</v>
      </c>
      <c r="C21" s="9" t="s">
        <v>200</v>
      </c>
    </row>
    <row r="22">
      <c r="A22" s="9" t="s">
        <v>205</v>
      </c>
      <c r="B22" s="9" t="s">
        <v>206</v>
      </c>
      <c r="C22" s="9" t="s">
        <v>211</v>
      </c>
    </row>
    <row r="23">
      <c r="A23" s="9" t="s">
        <v>215</v>
      </c>
      <c r="B23" s="9" t="s">
        <v>216</v>
      </c>
      <c r="C23" s="9" t="s">
        <v>219</v>
      </c>
    </row>
    <row r="24">
      <c r="A24" s="9" t="s">
        <v>221</v>
      </c>
      <c r="B24" s="9" t="s">
        <v>222</v>
      </c>
      <c r="C24" s="9" t="s">
        <v>226</v>
      </c>
    </row>
    <row r="25">
      <c r="A25" s="9" t="s">
        <v>231</v>
      </c>
      <c r="B25" s="9" t="s">
        <v>232</v>
      </c>
      <c r="C25" s="9" t="s">
        <v>236</v>
      </c>
    </row>
    <row r="26">
      <c r="A26" s="9" t="s">
        <v>240</v>
      </c>
      <c r="B26" s="9" t="s">
        <v>241</v>
      </c>
      <c r="C26" s="9" t="s">
        <v>244</v>
      </c>
    </row>
    <row r="27">
      <c r="A27" s="9" t="s">
        <v>248</v>
      </c>
      <c r="B27" s="9" t="s">
        <v>249</v>
      </c>
      <c r="C27" s="9" t="s">
        <v>254</v>
      </c>
    </row>
    <row r="28">
      <c r="A28" s="9" t="s">
        <v>257</v>
      </c>
      <c r="B28" s="9" t="s">
        <v>258</v>
      </c>
      <c r="C28" s="9" t="s">
        <v>262</v>
      </c>
    </row>
    <row r="29">
      <c r="A29" s="9" t="s">
        <v>267</v>
      </c>
      <c r="B29" s="9" t="s">
        <v>268</v>
      </c>
      <c r="C29" s="9" t="s">
        <v>271</v>
      </c>
    </row>
    <row r="30">
      <c r="A30" s="9" t="s">
        <v>275</v>
      </c>
      <c r="B30" s="9" t="s">
        <v>276</v>
      </c>
      <c r="C30" s="9" t="s">
        <v>280</v>
      </c>
    </row>
    <row r="31">
      <c r="A31" s="9" t="s">
        <v>284</v>
      </c>
      <c r="B31" s="9" t="s">
        <v>285</v>
      </c>
      <c r="C31" s="9" t="s">
        <v>288</v>
      </c>
    </row>
    <row r="32">
      <c r="A32" s="9" t="s">
        <v>291</v>
      </c>
      <c r="B32" s="9" t="s">
        <v>292</v>
      </c>
      <c r="C32" s="9" t="s">
        <v>296</v>
      </c>
    </row>
    <row r="33">
      <c r="A33" s="9" t="s">
        <v>299</v>
      </c>
      <c r="B33" s="9" t="s">
        <v>300</v>
      </c>
      <c r="C33" s="9" t="s">
        <v>304</v>
      </c>
    </row>
    <row r="34">
      <c r="A34" s="9" t="s">
        <v>307</v>
      </c>
      <c r="B34" s="9" t="s">
        <v>308</v>
      </c>
      <c r="C34" s="9" t="s">
        <v>311</v>
      </c>
    </row>
    <row r="35">
      <c r="A35" s="9" t="s">
        <v>313</v>
      </c>
      <c r="B35" s="9" t="s">
        <v>314</v>
      </c>
      <c r="C35" s="9" t="s">
        <v>317</v>
      </c>
    </row>
    <row r="36">
      <c r="A36" s="9" t="s">
        <v>322</v>
      </c>
      <c r="B36" s="9" t="s">
        <v>323</v>
      </c>
      <c r="C36" s="9" t="s">
        <v>326</v>
      </c>
    </row>
    <row r="37">
      <c r="A37" s="9" t="s">
        <v>329</v>
      </c>
      <c r="B37" s="9" t="s">
        <v>330</v>
      </c>
      <c r="C37" s="9" t="s">
        <v>334</v>
      </c>
    </row>
    <row r="38">
      <c r="A38" s="9" t="s">
        <v>337</v>
      </c>
      <c r="B38" s="9" t="s">
        <v>338</v>
      </c>
      <c r="C38" s="9" t="s">
        <v>342</v>
      </c>
    </row>
    <row r="39">
      <c r="A39" s="9" t="s">
        <v>344</v>
      </c>
      <c r="B39" s="9" t="s">
        <v>345</v>
      </c>
      <c r="C39" s="9" t="s">
        <v>348</v>
      </c>
    </row>
    <row r="40">
      <c r="A40" s="9" t="s">
        <v>351</v>
      </c>
      <c r="B40" s="9" t="s">
        <v>352</v>
      </c>
      <c r="C40" s="9" t="s">
        <v>355</v>
      </c>
    </row>
    <row r="41">
      <c r="A41" s="9" t="s">
        <v>358</v>
      </c>
      <c r="B41" s="9" t="s">
        <v>359</v>
      </c>
      <c r="C41" s="9" t="s">
        <v>362</v>
      </c>
    </row>
    <row r="42">
      <c r="A42" s="9" t="s">
        <v>366</v>
      </c>
      <c r="B42" s="9" t="s">
        <v>367</v>
      </c>
      <c r="C42" s="9" t="s">
        <v>371</v>
      </c>
    </row>
    <row r="43">
      <c r="A43" s="9" t="s">
        <v>372</v>
      </c>
      <c r="B43" s="9" t="s">
        <v>373</v>
      </c>
      <c r="C43" s="9" t="s">
        <v>377</v>
      </c>
    </row>
    <row r="44">
      <c r="A44" s="9" t="s">
        <v>380</v>
      </c>
      <c r="B44" s="9" t="s">
        <v>381</v>
      </c>
      <c r="C44" s="9" t="s">
        <v>385</v>
      </c>
    </row>
    <row r="45">
      <c r="A45" s="9" t="s">
        <v>389</v>
      </c>
      <c r="B45" s="9" t="s">
        <v>390</v>
      </c>
      <c r="C45" s="9" t="s">
        <v>394</v>
      </c>
    </row>
    <row r="46">
      <c r="A46" s="9" t="s">
        <v>397</v>
      </c>
      <c r="B46" s="9" t="s">
        <v>398</v>
      </c>
      <c r="C46" s="9" t="s">
        <v>402</v>
      </c>
    </row>
    <row r="47">
      <c r="A47" s="9" t="s">
        <v>405</v>
      </c>
      <c r="B47" s="9" t="s">
        <v>406</v>
      </c>
      <c r="C47" s="9" t="s">
        <v>410</v>
      </c>
    </row>
    <row r="48">
      <c r="A48" s="9" t="s">
        <v>413</v>
      </c>
      <c r="B48" s="9" t="s">
        <v>414</v>
      </c>
      <c r="C48" s="9" t="s">
        <v>419</v>
      </c>
    </row>
    <row r="49">
      <c r="A49" s="9" t="s">
        <v>423</v>
      </c>
      <c r="B49" s="9" t="s">
        <v>424</v>
      </c>
      <c r="C49" s="9" t="s">
        <v>428</v>
      </c>
    </row>
    <row r="50">
      <c r="A50" s="9" t="s">
        <v>432</v>
      </c>
      <c r="B50" s="9" t="s">
        <v>433</v>
      </c>
      <c r="C50" s="9" t="s">
        <v>436</v>
      </c>
    </row>
    <row r="51">
      <c r="A51" s="9" t="s">
        <v>439</v>
      </c>
      <c r="B51" s="9" t="s">
        <v>440</v>
      </c>
      <c r="C51" s="9" t="s">
        <v>444</v>
      </c>
    </row>
    <row r="52">
      <c r="A52" s="9" t="s">
        <v>447</v>
      </c>
      <c r="B52" s="9" t="s">
        <v>448</v>
      </c>
      <c r="C52" s="9" t="s">
        <v>451</v>
      </c>
    </row>
    <row r="53">
      <c r="A53" s="9" t="s">
        <v>454</v>
      </c>
      <c r="B53" s="9" t="s">
        <v>455</v>
      </c>
      <c r="C53" s="9" t="s">
        <v>459</v>
      </c>
    </row>
    <row r="54">
      <c r="A54" s="9" t="s">
        <v>462</v>
      </c>
      <c r="B54" s="9" t="s">
        <v>463</v>
      </c>
      <c r="C54" s="9" t="s">
        <v>467</v>
      </c>
    </row>
    <row r="55">
      <c r="A55" s="9" t="s">
        <v>470</v>
      </c>
      <c r="B55" s="9" t="s">
        <v>471</v>
      </c>
      <c r="C55" s="9" t="s">
        <v>474</v>
      </c>
    </row>
    <row r="56">
      <c r="A56" s="9" t="s">
        <v>478</v>
      </c>
      <c r="B56" s="9" t="s">
        <v>479</v>
      </c>
      <c r="C56" s="9" t="s">
        <v>483</v>
      </c>
    </row>
    <row r="57">
      <c r="A57" s="9" t="s">
        <v>487</v>
      </c>
      <c r="B57" s="9" t="s">
        <v>488</v>
      </c>
      <c r="C57" s="9" t="s">
        <v>491</v>
      </c>
    </row>
    <row r="58">
      <c r="A58" s="9" t="s">
        <v>494</v>
      </c>
      <c r="B58" s="9" t="s">
        <v>495</v>
      </c>
      <c r="C58" s="9" t="s">
        <v>498</v>
      </c>
    </row>
    <row r="59">
      <c r="A59" s="9" t="s">
        <v>500</v>
      </c>
      <c r="B59" s="9" t="s">
        <v>501</v>
      </c>
      <c r="C59" s="9" t="s">
        <v>504</v>
      </c>
    </row>
    <row r="60">
      <c r="A60" s="9" t="s">
        <v>508</v>
      </c>
      <c r="B60" s="9" t="s">
        <v>509</v>
      </c>
      <c r="C60" s="9" t="s">
        <v>512</v>
      </c>
    </row>
    <row r="61">
      <c r="A61" s="9" t="s">
        <v>516</v>
      </c>
      <c r="B61" s="9" t="s">
        <v>517</v>
      </c>
      <c r="C61" s="9" t="s">
        <v>520</v>
      </c>
    </row>
    <row r="62">
      <c r="A62" s="9" t="s">
        <v>523</v>
      </c>
      <c r="B62" s="9" t="s">
        <v>524</v>
      </c>
      <c r="C62" s="9" t="s">
        <v>527</v>
      </c>
    </row>
    <row r="63">
      <c r="A63" s="9" t="s">
        <v>531</v>
      </c>
      <c r="B63" s="9" t="s">
        <v>532</v>
      </c>
      <c r="C63" s="9" t="s">
        <v>536</v>
      </c>
    </row>
    <row r="64">
      <c r="A64" s="9" t="s">
        <v>540</v>
      </c>
      <c r="B64" s="9" t="s">
        <v>541</v>
      </c>
      <c r="C64" s="9" t="s">
        <v>544</v>
      </c>
    </row>
    <row r="65">
      <c r="A65" s="9" t="s">
        <v>547</v>
      </c>
      <c r="B65" s="9" t="s">
        <v>548</v>
      </c>
      <c r="C65" s="9" t="s">
        <v>551</v>
      </c>
    </row>
    <row r="66">
      <c r="A66" s="9" t="s">
        <v>555</v>
      </c>
      <c r="B66" s="9" t="s">
        <v>556</v>
      </c>
      <c r="C66" s="9" t="s">
        <v>560</v>
      </c>
    </row>
    <row r="67">
      <c r="A67" s="9" t="s">
        <v>563</v>
      </c>
      <c r="B67" s="9" t="s">
        <v>564</v>
      </c>
      <c r="C67" s="9" t="s">
        <v>567</v>
      </c>
    </row>
    <row r="68">
      <c r="A68" s="9" t="s">
        <v>570</v>
      </c>
      <c r="B68" s="9" t="s">
        <v>571</v>
      </c>
      <c r="C68" s="9" t="s">
        <v>576</v>
      </c>
    </row>
    <row r="69">
      <c r="A69" s="9" t="s">
        <v>580</v>
      </c>
      <c r="B69" s="9" t="s">
        <v>581</v>
      </c>
      <c r="C69" s="9" t="s">
        <v>584</v>
      </c>
    </row>
    <row r="70">
      <c r="A70" s="9" t="s">
        <v>587</v>
      </c>
      <c r="B70" s="9" t="s">
        <v>588</v>
      </c>
      <c r="C70" s="9" t="s">
        <v>592</v>
      </c>
    </row>
    <row r="71">
      <c r="A71" s="9" t="s">
        <v>596</v>
      </c>
      <c r="B71" s="9" t="s">
        <v>597</v>
      </c>
      <c r="C71" s="9" t="s">
        <v>600</v>
      </c>
    </row>
    <row r="72">
      <c r="A72" s="9" t="s">
        <v>603</v>
      </c>
      <c r="B72" s="9" t="s">
        <v>604</v>
      </c>
      <c r="C72" s="9" t="s">
        <v>607</v>
      </c>
    </row>
    <row r="73">
      <c r="A73" s="9" t="s">
        <v>609</v>
      </c>
      <c r="B73" s="9" t="s">
        <v>610</v>
      </c>
      <c r="C73" s="9" t="s">
        <v>614</v>
      </c>
    </row>
    <row r="74">
      <c r="A74" s="9" t="s">
        <v>617</v>
      </c>
      <c r="B74" s="9" t="s">
        <v>618</v>
      </c>
      <c r="C74" s="9" t="s">
        <v>621</v>
      </c>
    </row>
    <row r="75">
      <c r="A75" s="9" t="s">
        <v>624</v>
      </c>
      <c r="B75" s="9" t="s">
        <v>625</v>
      </c>
      <c r="C75" s="9" t="s">
        <v>628</v>
      </c>
    </row>
    <row r="76">
      <c r="A76" s="9" t="s">
        <v>633</v>
      </c>
      <c r="B76" s="9" t="s">
        <v>634</v>
      </c>
      <c r="C76" s="9" t="s">
        <v>637</v>
      </c>
    </row>
    <row r="77">
      <c r="A77" s="9" t="s">
        <v>641</v>
      </c>
      <c r="B77" s="9" t="s">
        <v>642</v>
      </c>
      <c r="C77" s="9" t="s">
        <v>644</v>
      </c>
    </row>
    <row r="78">
      <c r="A78" s="9" t="s">
        <v>649</v>
      </c>
      <c r="B78" s="9" t="s">
        <v>650</v>
      </c>
      <c r="C78" s="9" t="s">
        <v>654</v>
      </c>
    </row>
    <row r="79">
      <c r="A79" s="9" t="s">
        <v>657</v>
      </c>
      <c r="B79" s="9" t="s">
        <v>658</v>
      </c>
      <c r="C79" s="9" t="s">
        <v>661</v>
      </c>
    </row>
    <row r="80">
      <c r="A80" s="9" t="s">
        <v>666</v>
      </c>
      <c r="B80" s="9" t="s">
        <v>667</v>
      </c>
      <c r="C80" s="9" t="s">
        <v>671</v>
      </c>
    </row>
    <row r="81">
      <c r="A81" s="9" t="s">
        <v>674</v>
      </c>
      <c r="B81" s="9" t="s">
        <v>675</v>
      </c>
      <c r="C81" s="9" t="s">
        <v>679</v>
      </c>
    </row>
    <row r="82">
      <c r="A82" s="9" t="s">
        <v>681</v>
      </c>
      <c r="B82" s="9" t="s">
        <v>682</v>
      </c>
      <c r="C82" s="9" t="s">
        <v>686</v>
      </c>
    </row>
    <row r="83">
      <c r="A83" s="9" t="s">
        <v>690</v>
      </c>
      <c r="B83" s="9" t="s">
        <v>691</v>
      </c>
      <c r="C83" s="9" t="s">
        <v>693</v>
      </c>
    </row>
    <row r="84">
      <c r="A84" s="9" t="s">
        <v>696</v>
      </c>
      <c r="B84" s="9" t="s">
        <v>697</v>
      </c>
      <c r="C84" s="9" t="s">
        <v>701</v>
      </c>
    </row>
    <row r="85">
      <c r="A85" s="9" t="s">
        <v>705</v>
      </c>
      <c r="B85" s="9" t="s">
        <v>706</v>
      </c>
      <c r="C85" s="9" t="s">
        <v>709</v>
      </c>
    </row>
    <row r="86">
      <c r="A86" s="9" t="s">
        <v>713</v>
      </c>
      <c r="B86" s="9" t="s">
        <v>714</v>
      </c>
      <c r="C86" s="9" t="s">
        <v>717</v>
      </c>
    </row>
    <row r="87">
      <c r="A87" s="9" t="s">
        <v>720</v>
      </c>
      <c r="B87" s="9" t="s">
        <v>721</v>
      </c>
      <c r="C87" s="9" t="s">
        <v>724</v>
      </c>
    </row>
    <row r="88">
      <c r="A88" s="9" t="s">
        <v>727</v>
      </c>
      <c r="B88" s="9" t="s">
        <v>728</v>
      </c>
      <c r="C88" s="9" t="s">
        <v>731</v>
      </c>
    </row>
    <row r="89">
      <c r="A89" s="9" t="s">
        <v>735</v>
      </c>
      <c r="B89" s="9" t="s">
        <v>736</v>
      </c>
      <c r="C89" s="9" t="s">
        <v>740</v>
      </c>
    </row>
    <row r="90">
      <c r="A90" s="9" t="s">
        <v>743</v>
      </c>
      <c r="B90" s="9" t="s">
        <v>744</v>
      </c>
      <c r="C90" s="9" t="s">
        <v>748</v>
      </c>
    </row>
    <row r="91">
      <c r="A91" s="9" t="s">
        <v>753</v>
      </c>
      <c r="B91" s="9" t="s">
        <v>754</v>
      </c>
      <c r="C91" s="9" t="s">
        <v>758</v>
      </c>
    </row>
    <row r="92">
      <c r="A92" s="9" t="s">
        <v>761</v>
      </c>
      <c r="B92" s="9" t="s">
        <v>762</v>
      </c>
      <c r="C92" s="9" t="s">
        <v>766</v>
      </c>
    </row>
    <row r="93">
      <c r="A93" s="9" t="s">
        <v>770</v>
      </c>
      <c r="B93" s="9" t="s">
        <v>771</v>
      </c>
      <c r="C93" s="9" t="s">
        <v>775</v>
      </c>
    </row>
    <row r="94">
      <c r="A94" s="9" t="s">
        <v>778</v>
      </c>
      <c r="B94" s="9" t="s">
        <v>779</v>
      </c>
      <c r="C94" s="9" t="s">
        <v>783</v>
      </c>
    </row>
    <row r="95">
      <c r="A95" s="9" t="s">
        <v>786</v>
      </c>
      <c r="B95" s="9" t="s">
        <v>787</v>
      </c>
      <c r="C95" s="9" t="s">
        <v>790</v>
      </c>
    </row>
    <row r="96">
      <c r="A96" s="9" t="s">
        <v>793</v>
      </c>
      <c r="B96" s="9" t="s">
        <v>794</v>
      </c>
      <c r="C96" s="9" t="s">
        <v>797</v>
      </c>
    </row>
    <row r="97">
      <c r="A97" s="9" t="s">
        <v>801</v>
      </c>
      <c r="B97" s="9" t="s">
        <v>802</v>
      </c>
      <c r="C97" s="9" t="s">
        <v>806</v>
      </c>
    </row>
    <row r="98">
      <c r="A98" s="9" t="s">
        <v>811</v>
      </c>
      <c r="B98" s="9" t="s">
        <v>812</v>
      </c>
      <c r="C98" s="9" t="s">
        <v>815</v>
      </c>
    </row>
    <row r="99">
      <c r="A99" s="9" t="s">
        <v>820</v>
      </c>
      <c r="B99" s="9" t="s">
        <v>821</v>
      </c>
      <c r="C99" s="9" t="s">
        <v>824</v>
      </c>
    </row>
    <row r="100">
      <c r="A100" s="9" t="s">
        <v>827</v>
      </c>
      <c r="B100" s="9" t="s">
        <v>828</v>
      </c>
      <c r="C100" s="9" t="s">
        <v>832</v>
      </c>
    </row>
    <row r="101">
      <c r="A101" s="9" t="s">
        <v>836</v>
      </c>
      <c r="B101" s="9" t="s">
        <v>837</v>
      </c>
      <c r="C101" s="9" t="s">
        <v>841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86"/>
    <col customWidth="1" min="2" max="2" width="14.29"/>
    <col customWidth="1" min="3" max="3" width="17.57"/>
    <col customWidth="1" min="4" max="4" width="36.29"/>
  </cols>
  <sheetData>
    <row r="1">
      <c r="A1" s="29" t="s">
        <v>0</v>
      </c>
      <c r="B1" s="5" t="s">
        <v>21</v>
      </c>
      <c r="C1" s="1" t="s">
        <v>22</v>
      </c>
      <c r="D1" s="4" t="s">
        <v>23</v>
      </c>
      <c r="E1" s="4" t="s">
        <v>24</v>
      </c>
    </row>
    <row r="2">
      <c r="A2" s="9" t="s">
        <v>25</v>
      </c>
      <c r="B2" s="17" t="s">
        <v>33</v>
      </c>
      <c r="C2" s="17" t="s">
        <v>34</v>
      </c>
      <c r="D2" s="30" t="s">
        <v>35</v>
      </c>
      <c r="E2" s="31" t="b">
        <v>0</v>
      </c>
    </row>
    <row r="3">
      <c r="A3" s="9" t="s">
        <v>36</v>
      </c>
      <c r="B3" s="17" t="s">
        <v>33</v>
      </c>
      <c r="C3" s="17" t="s">
        <v>34</v>
      </c>
      <c r="D3" s="30" t="s">
        <v>45</v>
      </c>
      <c r="E3" s="31" t="b">
        <v>0</v>
      </c>
    </row>
    <row r="4">
      <c r="A4" s="9" t="s">
        <v>46</v>
      </c>
      <c r="B4" s="17" t="s">
        <v>33</v>
      </c>
      <c r="C4" s="17" t="s">
        <v>56</v>
      </c>
      <c r="D4" s="30" t="s">
        <v>57</v>
      </c>
      <c r="E4" s="31" t="b">
        <v>0</v>
      </c>
    </row>
    <row r="5">
      <c r="A5" s="9" t="s">
        <v>58</v>
      </c>
      <c r="B5" s="17" t="s">
        <v>33</v>
      </c>
      <c r="C5" s="17" t="s">
        <v>34</v>
      </c>
      <c r="D5" s="30" t="s">
        <v>67</v>
      </c>
      <c r="E5" s="31" t="b">
        <v>0</v>
      </c>
    </row>
    <row r="6">
      <c r="A6" s="9" t="s">
        <v>68</v>
      </c>
      <c r="B6" s="17" t="s">
        <v>33</v>
      </c>
      <c r="C6" s="17" t="s">
        <v>34</v>
      </c>
      <c r="D6" s="30" t="s">
        <v>76</v>
      </c>
      <c r="E6" s="31" t="b">
        <v>0</v>
      </c>
    </row>
    <row r="7">
      <c r="A7" s="9" t="s">
        <v>77</v>
      </c>
      <c r="B7" s="17" t="s">
        <v>33</v>
      </c>
      <c r="C7" s="17" t="s">
        <v>56</v>
      </c>
      <c r="D7" s="30" t="s">
        <v>85</v>
      </c>
      <c r="E7" s="31" t="b">
        <v>0</v>
      </c>
    </row>
    <row r="8">
      <c r="A8" s="9" t="s">
        <v>86</v>
      </c>
      <c r="B8" s="17" t="s">
        <v>94</v>
      </c>
      <c r="C8" s="9"/>
      <c r="D8" s="30" t="s">
        <v>95</v>
      </c>
      <c r="E8" s="31" t="b">
        <v>1</v>
      </c>
    </row>
    <row r="9">
      <c r="A9" s="9" t="s">
        <v>96</v>
      </c>
      <c r="B9" s="17" t="s">
        <v>33</v>
      </c>
      <c r="C9" s="17" t="s">
        <v>56</v>
      </c>
      <c r="D9" s="30" t="s">
        <v>102</v>
      </c>
      <c r="E9" s="31" t="b">
        <v>0</v>
      </c>
    </row>
    <row r="10">
      <c r="A10" s="9" t="s">
        <v>103</v>
      </c>
      <c r="B10" s="17" t="s">
        <v>33</v>
      </c>
      <c r="C10" s="17" t="s">
        <v>109</v>
      </c>
      <c r="D10" s="30" t="s">
        <v>110</v>
      </c>
      <c r="E10" s="31" t="b">
        <v>1</v>
      </c>
    </row>
    <row r="11">
      <c r="A11" s="9" t="s">
        <v>111</v>
      </c>
      <c r="B11" s="17" t="s">
        <v>33</v>
      </c>
      <c r="C11" s="17" t="s">
        <v>34</v>
      </c>
      <c r="D11" s="30" t="s">
        <v>121</v>
      </c>
      <c r="E11" s="31" t="b">
        <v>0</v>
      </c>
    </row>
    <row r="12">
      <c r="A12" s="9" t="s">
        <v>122</v>
      </c>
      <c r="B12" s="17" t="s">
        <v>33</v>
      </c>
      <c r="C12" s="17" t="s">
        <v>34</v>
      </c>
      <c r="D12" s="30" t="s">
        <v>128</v>
      </c>
      <c r="E12" s="31" t="b">
        <v>0</v>
      </c>
    </row>
    <row r="13">
      <c r="A13" s="9" t="s">
        <v>129</v>
      </c>
      <c r="B13" s="17" t="s">
        <v>33</v>
      </c>
      <c r="C13" s="17" t="s">
        <v>34</v>
      </c>
      <c r="D13" s="30" t="s">
        <v>135</v>
      </c>
      <c r="E13" s="31" t="b">
        <v>0</v>
      </c>
    </row>
    <row r="14">
      <c r="A14" s="9" t="s">
        <v>136</v>
      </c>
      <c r="B14" s="17" t="s">
        <v>33</v>
      </c>
      <c r="C14" s="17" t="s">
        <v>56</v>
      </c>
      <c r="D14" s="30" t="s">
        <v>143</v>
      </c>
      <c r="E14" s="31" t="b">
        <v>0</v>
      </c>
    </row>
    <row r="15">
      <c r="A15" s="9" t="s">
        <v>144</v>
      </c>
      <c r="B15" s="17" t="s">
        <v>33</v>
      </c>
      <c r="C15" s="17" t="s">
        <v>34</v>
      </c>
      <c r="D15" s="30" t="s">
        <v>151</v>
      </c>
      <c r="E15" s="31" t="b">
        <v>0</v>
      </c>
    </row>
    <row r="16">
      <c r="A16" s="9" t="s">
        <v>152</v>
      </c>
      <c r="B16" s="17" t="s">
        <v>33</v>
      </c>
      <c r="C16" s="17" t="s">
        <v>109</v>
      </c>
      <c r="D16" s="30" t="s">
        <v>160</v>
      </c>
      <c r="E16" s="31" t="b">
        <v>1</v>
      </c>
    </row>
    <row r="17">
      <c r="A17" s="9" t="s">
        <v>161</v>
      </c>
      <c r="B17" s="17" t="s">
        <v>33</v>
      </c>
      <c r="C17" s="17" t="s">
        <v>109</v>
      </c>
      <c r="D17" s="30" t="s">
        <v>169</v>
      </c>
      <c r="E17" s="31" t="b">
        <v>1</v>
      </c>
    </row>
    <row r="18">
      <c r="A18" s="9" t="s">
        <v>170</v>
      </c>
      <c r="B18" s="17" t="s">
        <v>33</v>
      </c>
      <c r="C18" s="17" t="s">
        <v>109</v>
      </c>
      <c r="D18" s="30" t="s">
        <v>177</v>
      </c>
      <c r="E18" s="31" t="b">
        <v>1</v>
      </c>
    </row>
    <row r="19">
      <c r="A19" s="9" t="s">
        <v>178</v>
      </c>
      <c r="B19" s="17" t="s">
        <v>187</v>
      </c>
      <c r="C19" s="17" t="s">
        <v>56</v>
      </c>
      <c r="D19" s="30" t="s">
        <v>188</v>
      </c>
      <c r="E19" s="31" t="b">
        <v>0</v>
      </c>
    </row>
    <row r="20">
      <c r="A20" s="9" t="s">
        <v>189</v>
      </c>
      <c r="B20" s="17" t="s">
        <v>187</v>
      </c>
      <c r="C20" s="17" t="s">
        <v>34</v>
      </c>
      <c r="D20" s="30" t="s">
        <v>195</v>
      </c>
      <c r="E20" s="31" t="b">
        <v>0</v>
      </c>
    </row>
    <row r="21">
      <c r="A21" s="9" t="s">
        <v>196</v>
      </c>
      <c r="B21" s="17" t="s">
        <v>187</v>
      </c>
      <c r="C21" s="17" t="s">
        <v>34</v>
      </c>
      <c r="D21" s="30" t="s">
        <v>204</v>
      </c>
      <c r="E21" s="31" t="b">
        <v>0</v>
      </c>
    </row>
    <row r="22">
      <c r="A22" s="9" t="s">
        <v>205</v>
      </c>
      <c r="B22" s="17" t="s">
        <v>33</v>
      </c>
      <c r="C22" s="17" t="s">
        <v>109</v>
      </c>
      <c r="D22" s="30" t="s">
        <v>214</v>
      </c>
      <c r="E22" s="31" t="b">
        <v>1</v>
      </c>
    </row>
    <row r="23">
      <c r="A23" s="9" t="s">
        <v>215</v>
      </c>
      <c r="B23" s="17" t="s">
        <v>33</v>
      </c>
      <c r="C23" s="17" t="s">
        <v>34</v>
      </c>
      <c r="D23" s="30" t="s">
        <v>128</v>
      </c>
      <c r="E23" s="31" t="b">
        <v>0</v>
      </c>
    </row>
    <row r="24">
      <c r="A24" s="9" t="s">
        <v>221</v>
      </c>
      <c r="B24" s="17" t="s">
        <v>33</v>
      </c>
      <c r="C24" s="17" t="s">
        <v>34</v>
      </c>
      <c r="D24" s="30" t="s">
        <v>230</v>
      </c>
      <c r="E24" s="31" t="b">
        <v>0</v>
      </c>
    </row>
    <row r="25">
      <c r="A25" s="9" t="s">
        <v>231</v>
      </c>
      <c r="B25" s="17" t="s">
        <v>33</v>
      </c>
      <c r="C25" s="17" t="s">
        <v>56</v>
      </c>
      <c r="D25" s="30" t="s">
        <v>239</v>
      </c>
      <c r="E25" s="31" t="b">
        <v>0</v>
      </c>
    </row>
    <row r="26">
      <c r="A26" s="9" t="s">
        <v>240</v>
      </c>
      <c r="B26" s="17" t="s">
        <v>33</v>
      </c>
      <c r="C26" s="17" t="s">
        <v>34</v>
      </c>
      <c r="D26" s="30" t="s">
        <v>247</v>
      </c>
      <c r="E26" s="31" t="b">
        <v>0</v>
      </c>
    </row>
    <row r="27">
      <c r="A27" s="9" t="s">
        <v>248</v>
      </c>
      <c r="B27" s="17" t="s">
        <v>33</v>
      </c>
      <c r="C27" s="17" t="s">
        <v>56</v>
      </c>
      <c r="D27" s="30" t="s">
        <v>256</v>
      </c>
      <c r="E27" s="31" t="b">
        <v>0</v>
      </c>
    </row>
    <row r="28">
      <c r="A28" s="9" t="s">
        <v>257</v>
      </c>
      <c r="B28" s="17" t="s">
        <v>33</v>
      </c>
      <c r="C28" s="17" t="s">
        <v>34</v>
      </c>
      <c r="D28" s="30" t="s">
        <v>266</v>
      </c>
      <c r="E28" s="31" t="b">
        <v>0</v>
      </c>
    </row>
    <row r="29">
      <c r="A29" s="9" t="s">
        <v>267</v>
      </c>
      <c r="B29" s="17" t="s">
        <v>94</v>
      </c>
      <c r="C29" s="9"/>
      <c r="D29" s="30" t="s">
        <v>274</v>
      </c>
      <c r="E29" s="31" t="b">
        <v>1</v>
      </c>
    </row>
    <row r="30">
      <c r="A30" s="9" t="s">
        <v>275</v>
      </c>
      <c r="B30" s="17" t="s">
        <v>187</v>
      </c>
      <c r="C30" s="17" t="s">
        <v>34</v>
      </c>
      <c r="D30" s="30" t="s">
        <v>283</v>
      </c>
      <c r="E30" s="31" t="b">
        <v>0</v>
      </c>
    </row>
    <row r="31">
      <c r="A31" s="9" t="s">
        <v>284</v>
      </c>
      <c r="B31" s="17" t="s">
        <v>33</v>
      </c>
      <c r="C31" s="17" t="s">
        <v>109</v>
      </c>
      <c r="D31" s="30" t="s">
        <v>290</v>
      </c>
      <c r="E31" s="31" t="b">
        <v>1</v>
      </c>
    </row>
    <row r="32">
      <c r="A32" s="9" t="s">
        <v>291</v>
      </c>
      <c r="B32" s="17" t="s">
        <v>33</v>
      </c>
      <c r="C32" s="17" t="s">
        <v>34</v>
      </c>
      <c r="D32" s="30" t="s">
        <v>298</v>
      </c>
      <c r="E32" s="31" t="b">
        <v>0</v>
      </c>
    </row>
    <row r="33">
      <c r="A33" s="9" t="s">
        <v>299</v>
      </c>
      <c r="B33" s="17" t="s">
        <v>33</v>
      </c>
      <c r="C33" s="17" t="s">
        <v>56</v>
      </c>
      <c r="D33" s="30" t="s">
        <v>306</v>
      </c>
      <c r="E33" s="31" t="b">
        <v>0</v>
      </c>
    </row>
    <row r="34">
      <c r="A34" s="9" t="s">
        <v>307</v>
      </c>
      <c r="B34" s="17" t="s">
        <v>33</v>
      </c>
      <c r="C34" s="17" t="s">
        <v>34</v>
      </c>
      <c r="D34" s="30" t="s">
        <v>312</v>
      </c>
      <c r="E34" s="31" t="b">
        <v>0</v>
      </c>
    </row>
    <row r="35">
      <c r="A35" s="9" t="s">
        <v>313</v>
      </c>
      <c r="B35" s="17" t="s">
        <v>33</v>
      </c>
      <c r="C35" s="17" t="s">
        <v>34</v>
      </c>
      <c r="D35" s="30" t="s">
        <v>321</v>
      </c>
      <c r="E35" s="31" t="b">
        <v>0</v>
      </c>
    </row>
    <row r="36">
      <c r="A36" s="9" t="s">
        <v>322</v>
      </c>
      <c r="B36" s="17" t="s">
        <v>187</v>
      </c>
      <c r="C36" s="17" t="s">
        <v>34</v>
      </c>
      <c r="D36" s="30" t="s">
        <v>328</v>
      </c>
      <c r="E36" s="31" t="b">
        <v>0</v>
      </c>
    </row>
    <row r="37">
      <c r="A37" s="9" t="s">
        <v>329</v>
      </c>
      <c r="B37" s="17" t="s">
        <v>33</v>
      </c>
      <c r="C37" s="17" t="s">
        <v>34</v>
      </c>
      <c r="D37" s="30" t="s">
        <v>336</v>
      </c>
      <c r="E37" s="31" t="b">
        <v>0</v>
      </c>
    </row>
    <row r="38">
      <c r="A38" s="9" t="s">
        <v>337</v>
      </c>
      <c r="B38" s="17" t="s">
        <v>33</v>
      </c>
      <c r="C38" s="17" t="s">
        <v>34</v>
      </c>
      <c r="D38" s="30" t="s">
        <v>230</v>
      </c>
      <c r="E38" s="31" t="b">
        <v>0</v>
      </c>
    </row>
    <row r="39">
      <c r="A39" s="9" t="s">
        <v>344</v>
      </c>
      <c r="B39" s="17" t="s">
        <v>33</v>
      </c>
      <c r="C39" s="17" t="s">
        <v>34</v>
      </c>
      <c r="D39" s="30" t="s">
        <v>350</v>
      </c>
      <c r="E39" s="31" t="b">
        <v>0</v>
      </c>
    </row>
    <row r="40">
      <c r="A40" s="9" t="s">
        <v>351</v>
      </c>
      <c r="B40" s="17" t="s">
        <v>33</v>
      </c>
      <c r="C40" s="17" t="s">
        <v>56</v>
      </c>
      <c r="D40" s="30" t="s">
        <v>357</v>
      </c>
      <c r="E40" s="31" t="b">
        <v>0</v>
      </c>
    </row>
    <row r="41">
      <c r="A41" s="9" t="s">
        <v>358</v>
      </c>
      <c r="B41" s="17" t="s">
        <v>187</v>
      </c>
      <c r="C41" s="17" t="s">
        <v>56</v>
      </c>
      <c r="D41" s="30" t="s">
        <v>365</v>
      </c>
      <c r="E41" s="31" t="b">
        <v>0</v>
      </c>
    </row>
    <row r="42">
      <c r="A42" s="9" t="s">
        <v>366</v>
      </c>
      <c r="B42" s="17" t="s">
        <v>33</v>
      </c>
      <c r="C42" s="17" t="s">
        <v>34</v>
      </c>
      <c r="D42" s="30" t="s">
        <v>128</v>
      </c>
      <c r="E42" s="31" t="b">
        <v>0</v>
      </c>
    </row>
    <row r="43">
      <c r="A43" s="9" t="s">
        <v>372</v>
      </c>
      <c r="B43" s="17" t="s">
        <v>33</v>
      </c>
      <c r="C43" s="17" t="s">
        <v>34</v>
      </c>
      <c r="D43" s="30" t="s">
        <v>128</v>
      </c>
      <c r="E43" s="31" t="b">
        <v>0</v>
      </c>
    </row>
    <row r="44">
      <c r="A44" s="9" t="s">
        <v>380</v>
      </c>
      <c r="B44" s="17" t="s">
        <v>33</v>
      </c>
      <c r="C44" s="17" t="s">
        <v>56</v>
      </c>
      <c r="D44" s="30" t="s">
        <v>388</v>
      </c>
      <c r="E44" s="31" t="b">
        <v>0</v>
      </c>
    </row>
    <row r="45">
      <c r="A45" s="9" t="s">
        <v>389</v>
      </c>
      <c r="B45" s="17" t="s">
        <v>33</v>
      </c>
      <c r="C45" s="17" t="s">
        <v>109</v>
      </c>
      <c r="D45" s="30" t="s">
        <v>396</v>
      </c>
      <c r="E45" s="31" t="b">
        <v>1</v>
      </c>
    </row>
    <row r="46">
      <c r="A46" s="9" t="s">
        <v>397</v>
      </c>
      <c r="B46" s="17" t="s">
        <v>33</v>
      </c>
      <c r="C46" s="17" t="s">
        <v>56</v>
      </c>
      <c r="D46" s="30" t="s">
        <v>404</v>
      </c>
      <c r="E46" s="31" t="b">
        <v>0</v>
      </c>
    </row>
    <row r="47">
      <c r="A47" s="9" t="s">
        <v>405</v>
      </c>
      <c r="B47" s="17" t="s">
        <v>94</v>
      </c>
      <c r="C47" s="9"/>
      <c r="D47" s="30" t="s">
        <v>412</v>
      </c>
      <c r="E47" s="31" t="b">
        <v>1</v>
      </c>
    </row>
    <row r="48">
      <c r="A48" s="9" t="s">
        <v>413</v>
      </c>
      <c r="B48" s="17" t="s">
        <v>33</v>
      </c>
      <c r="C48" s="17" t="s">
        <v>56</v>
      </c>
      <c r="D48" s="30" t="s">
        <v>422</v>
      </c>
      <c r="E48" s="31" t="b">
        <v>0</v>
      </c>
    </row>
    <row r="49">
      <c r="A49" s="9" t="s">
        <v>423</v>
      </c>
      <c r="B49" s="17" t="s">
        <v>33</v>
      </c>
      <c r="C49" s="17" t="s">
        <v>109</v>
      </c>
      <c r="D49" s="30" t="s">
        <v>431</v>
      </c>
      <c r="E49" s="31" t="b">
        <v>1</v>
      </c>
    </row>
    <row r="50">
      <c r="A50" s="9" t="s">
        <v>432</v>
      </c>
      <c r="B50" s="17" t="s">
        <v>33</v>
      </c>
      <c r="C50" s="17" t="s">
        <v>34</v>
      </c>
      <c r="D50" s="30" t="s">
        <v>438</v>
      </c>
      <c r="E50" s="31" t="b">
        <v>0</v>
      </c>
    </row>
    <row r="51">
      <c r="A51" s="9" t="s">
        <v>439</v>
      </c>
      <c r="B51" s="17" t="s">
        <v>187</v>
      </c>
      <c r="C51" s="17" t="s">
        <v>34</v>
      </c>
      <c r="D51" s="30" t="s">
        <v>446</v>
      </c>
      <c r="E51" s="31" t="b">
        <v>0</v>
      </c>
    </row>
    <row r="52">
      <c r="A52" s="9" t="s">
        <v>447</v>
      </c>
      <c r="B52" s="17" t="s">
        <v>33</v>
      </c>
      <c r="C52" s="17" t="s">
        <v>56</v>
      </c>
      <c r="D52" s="30" t="s">
        <v>453</v>
      </c>
      <c r="E52" s="31" t="b">
        <v>0</v>
      </c>
    </row>
    <row r="53">
      <c r="A53" s="9" t="s">
        <v>454</v>
      </c>
      <c r="B53" s="17" t="s">
        <v>187</v>
      </c>
      <c r="C53" s="17" t="s">
        <v>56</v>
      </c>
      <c r="D53" s="30" t="s">
        <v>461</v>
      </c>
      <c r="E53" s="31" t="b">
        <v>0</v>
      </c>
    </row>
    <row r="54">
      <c r="A54" s="9" t="s">
        <v>462</v>
      </c>
      <c r="B54" s="17" t="s">
        <v>33</v>
      </c>
      <c r="C54" s="17" t="s">
        <v>56</v>
      </c>
      <c r="D54" s="30" t="s">
        <v>469</v>
      </c>
      <c r="E54" s="31" t="b">
        <v>0</v>
      </c>
    </row>
    <row r="55">
      <c r="A55" s="9" t="s">
        <v>470</v>
      </c>
      <c r="B55" s="17" t="s">
        <v>33</v>
      </c>
      <c r="C55" s="17" t="s">
        <v>109</v>
      </c>
      <c r="D55" s="30" t="s">
        <v>477</v>
      </c>
      <c r="E55" s="31" t="b">
        <v>1</v>
      </c>
    </row>
    <row r="56">
      <c r="A56" s="9" t="s">
        <v>478</v>
      </c>
      <c r="B56" s="17" t="s">
        <v>187</v>
      </c>
      <c r="C56" s="17" t="s">
        <v>34</v>
      </c>
      <c r="D56" s="30" t="s">
        <v>486</v>
      </c>
      <c r="E56" s="31" t="b">
        <v>0</v>
      </c>
    </row>
    <row r="57">
      <c r="A57" s="9" t="s">
        <v>487</v>
      </c>
      <c r="B57" s="17" t="s">
        <v>33</v>
      </c>
      <c r="C57" s="17" t="s">
        <v>34</v>
      </c>
      <c r="D57" s="30" t="s">
        <v>493</v>
      </c>
      <c r="E57" s="31" t="b">
        <v>0</v>
      </c>
    </row>
    <row r="58">
      <c r="A58" s="9" t="s">
        <v>494</v>
      </c>
      <c r="B58" s="17" t="s">
        <v>33</v>
      </c>
      <c r="C58" s="17" t="s">
        <v>109</v>
      </c>
      <c r="D58" s="30" t="s">
        <v>477</v>
      </c>
      <c r="E58" s="31" t="b">
        <v>1</v>
      </c>
    </row>
    <row r="59">
      <c r="A59" s="9" t="s">
        <v>500</v>
      </c>
      <c r="B59" s="17" t="s">
        <v>187</v>
      </c>
      <c r="C59" s="17" t="s">
        <v>109</v>
      </c>
      <c r="D59" s="30" t="s">
        <v>507</v>
      </c>
      <c r="E59" s="31" t="b">
        <v>1</v>
      </c>
    </row>
    <row r="60">
      <c r="A60" s="9" t="s">
        <v>508</v>
      </c>
      <c r="B60" s="17" t="s">
        <v>33</v>
      </c>
      <c r="C60" s="17" t="s">
        <v>109</v>
      </c>
      <c r="D60" s="30" t="s">
        <v>515</v>
      </c>
      <c r="E60" s="31" t="b">
        <v>1</v>
      </c>
    </row>
    <row r="61">
      <c r="A61" s="9" t="s">
        <v>516</v>
      </c>
      <c r="B61" s="17" t="s">
        <v>33</v>
      </c>
      <c r="C61" s="17" t="s">
        <v>34</v>
      </c>
      <c r="D61" s="30" t="s">
        <v>522</v>
      </c>
      <c r="E61" s="31" t="b">
        <v>0</v>
      </c>
    </row>
    <row r="62">
      <c r="A62" s="9" t="s">
        <v>523</v>
      </c>
      <c r="B62" s="17" t="s">
        <v>33</v>
      </c>
      <c r="C62" s="17" t="s">
        <v>34</v>
      </c>
      <c r="D62" s="30" t="s">
        <v>530</v>
      </c>
      <c r="E62" s="31" t="b">
        <v>0</v>
      </c>
    </row>
    <row r="63">
      <c r="A63" s="9" t="s">
        <v>531</v>
      </c>
      <c r="B63" s="17" t="s">
        <v>33</v>
      </c>
      <c r="C63" s="17" t="s">
        <v>109</v>
      </c>
      <c r="D63" s="30" t="s">
        <v>539</v>
      </c>
      <c r="E63" s="31" t="b">
        <v>1</v>
      </c>
    </row>
    <row r="64">
      <c r="A64" s="9" t="s">
        <v>540</v>
      </c>
      <c r="B64" s="17" t="s">
        <v>33</v>
      </c>
      <c r="C64" s="17" t="s">
        <v>34</v>
      </c>
      <c r="D64" s="30" t="s">
        <v>546</v>
      </c>
      <c r="E64" s="31" t="b">
        <v>0</v>
      </c>
    </row>
    <row r="65">
      <c r="A65" s="9" t="s">
        <v>547</v>
      </c>
      <c r="B65" s="17" t="s">
        <v>33</v>
      </c>
      <c r="C65" s="17" t="s">
        <v>109</v>
      </c>
      <c r="D65" s="30" t="s">
        <v>554</v>
      </c>
      <c r="E65" s="31" t="b">
        <v>1</v>
      </c>
    </row>
    <row r="66">
      <c r="A66" s="9" t="s">
        <v>555</v>
      </c>
      <c r="B66" s="17" t="s">
        <v>33</v>
      </c>
      <c r="C66" s="17" t="s">
        <v>109</v>
      </c>
      <c r="D66" s="30" t="s">
        <v>562</v>
      </c>
      <c r="E66" s="31" t="b">
        <v>1</v>
      </c>
    </row>
    <row r="67">
      <c r="A67" s="9" t="s">
        <v>563</v>
      </c>
      <c r="B67" s="17" t="s">
        <v>187</v>
      </c>
      <c r="C67" s="17" t="s">
        <v>56</v>
      </c>
      <c r="D67" s="30" t="s">
        <v>569</v>
      </c>
      <c r="E67" s="31" t="b">
        <v>0</v>
      </c>
    </row>
    <row r="68">
      <c r="A68" s="9" t="s">
        <v>570</v>
      </c>
      <c r="B68" s="17" t="s">
        <v>33</v>
      </c>
      <c r="C68" s="17" t="s">
        <v>56</v>
      </c>
      <c r="D68" s="30" t="s">
        <v>579</v>
      </c>
      <c r="E68" s="31" t="b">
        <v>0</v>
      </c>
    </row>
    <row r="69">
      <c r="A69" s="9" t="s">
        <v>580</v>
      </c>
      <c r="B69" s="17" t="s">
        <v>33</v>
      </c>
      <c r="C69" s="17" t="s">
        <v>34</v>
      </c>
      <c r="D69" s="30" t="s">
        <v>586</v>
      </c>
      <c r="E69" s="31" t="b">
        <v>0</v>
      </c>
    </row>
    <row r="70">
      <c r="A70" s="9" t="s">
        <v>587</v>
      </c>
      <c r="B70" s="17" t="s">
        <v>33</v>
      </c>
      <c r="C70" s="17" t="s">
        <v>34</v>
      </c>
      <c r="D70" s="30" t="s">
        <v>595</v>
      </c>
      <c r="E70" s="31" t="b">
        <v>0</v>
      </c>
    </row>
    <row r="71">
      <c r="A71" s="9" t="s">
        <v>596</v>
      </c>
      <c r="B71" s="17" t="s">
        <v>33</v>
      </c>
      <c r="C71" s="17" t="s">
        <v>109</v>
      </c>
      <c r="D71" s="30" t="s">
        <v>602</v>
      </c>
      <c r="E71" s="31" t="b">
        <v>1</v>
      </c>
    </row>
    <row r="72">
      <c r="A72" s="9" t="s">
        <v>603</v>
      </c>
      <c r="B72" s="17" t="s">
        <v>33</v>
      </c>
      <c r="C72" s="17" t="s">
        <v>56</v>
      </c>
      <c r="D72" s="30" t="s">
        <v>608</v>
      </c>
      <c r="E72" s="31" t="b">
        <v>0</v>
      </c>
    </row>
    <row r="73">
      <c r="A73" s="9" t="s">
        <v>609</v>
      </c>
      <c r="B73" s="17" t="s">
        <v>187</v>
      </c>
      <c r="C73" s="17" t="s">
        <v>56</v>
      </c>
      <c r="D73" s="30" t="s">
        <v>616</v>
      </c>
      <c r="E73" s="31" t="b">
        <v>0</v>
      </c>
    </row>
    <row r="74">
      <c r="A74" s="9" t="s">
        <v>617</v>
      </c>
      <c r="B74" s="17" t="s">
        <v>33</v>
      </c>
      <c r="C74" s="17" t="s">
        <v>109</v>
      </c>
      <c r="D74" s="30" t="s">
        <v>623</v>
      </c>
      <c r="E74" s="31" t="b">
        <v>1</v>
      </c>
    </row>
    <row r="75">
      <c r="A75" s="9" t="s">
        <v>624</v>
      </c>
      <c r="B75" s="17" t="s">
        <v>33</v>
      </c>
      <c r="C75" s="17" t="s">
        <v>56</v>
      </c>
      <c r="D75" s="30" t="s">
        <v>632</v>
      </c>
      <c r="E75" s="31" t="b">
        <v>0</v>
      </c>
    </row>
    <row r="76">
      <c r="A76" s="9" t="s">
        <v>633</v>
      </c>
      <c r="B76" s="17" t="s">
        <v>33</v>
      </c>
      <c r="C76" s="17" t="s">
        <v>56</v>
      </c>
      <c r="D76" s="30" t="s">
        <v>640</v>
      </c>
      <c r="E76" s="31" t="b">
        <v>0</v>
      </c>
    </row>
    <row r="77">
      <c r="A77" s="9" t="s">
        <v>641</v>
      </c>
      <c r="B77" s="17" t="s">
        <v>187</v>
      </c>
      <c r="C77" s="17" t="s">
        <v>56</v>
      </c>
      <c r="D77" s="30" t="s">
        <v>648</v>
      </c>
      <c r="E77" s="31" t="b">
        <v>0</v>
      </c>
    </row>
    <row r="78">
      <c r="A78" s="9" t="s">
        <v>649</v>
      </c>
      <c r="B78" s="17" t="s">
        <v>33</v>
      </c>
      <c r="C78" s="17" t="s">
        <v>34</v>
      </c>
      <c r="D78" s="30" t="s">
        <v>656</v>
      </c>
      <c r="E78" s="31" t="b">
        <v>0</v>
      </c>
    </row>
    <row r="79">
      <c r="A79" s="9" t="s">
        <v>657</v>
      </c>
      <c r="B79" s="17" t="s">
        <v>33</v>
      </c>
      <c r="C79" s="17" t="s">
        <v>34</v>
      </c>
      <c r="D79" s="30" t="s">
        <v>665</v>
      </c>
      <c r="E79" s="31" t="b">
        <v>0</v>
      </c>
    </row>
    <row r="80">
      <c r="A80" s="9" t="s">
        <v>666</v>
      </c>
      <c r="B80" s="17" t="s">
        <v>33</v>
      </c>
      <c r="C80" s="17" t="s">
        <v>34</v>
      </c>
      <c r="D80" s="30" t="s">
        <v>673</v>
      </c>
      <c r="E80" s="31" t="b">
        <v>0</v>
      </c>
    </row>
    <row r="81">
      <c r="A81" s="9" t="s">
        <v>674</v>
      </c>
      <c r="B81" s="17" t="s">
        <v>33</v>
      </c>
      <c r="C81" s="17" t="s">
        <v>34</v>
      </c>
      <c r="D81" s="30" t="s">
        <v>656</v>
      </c>
      <c r="E81" s="31" t="b">
        <v>0</v>
      </c>
    </row>
    <row r="82">
      <c r="A82" s="9" t="s">
        <v>681</v>
      </c>
      <c r="B82" s="17" t="s">
        <v>33</v>
      </c>
      <c r="C82" s="17" t="s">
        <v>34</v>
      </c>
      <c r="D82" s="30" t="s">
        <v>689</v>
      </c>
      <c r="E82" s="31" t="b">
        <v>0</v>
      </c>
    </row>
    <row r="83">
      <c r="A83" s="9" t="s">
        <v>690</v>
      </c>
      <c r="B83" s="17" t="s">
        <v>33</v>
      </c>
      <c r="C83" s="17" t="s">
        <v>109</v>
      </c>
      <c r="D83" s="30" t="s">
        <v>695</v>
      </c>
      <c r="E83" s="31" t="b">
        <v>1</v>
      </c>
    </row>
    <row r="84">
      <c r="A84" s="9" t="s">
        <v>696</v>
      </c>
      <c r="B84" s="17" t="s">
        <v>187</v>
      </c>
      <c r="C84" s="17" t="s">
        <v>109</v>
      </c>
      <c r="D84" s="30" t="s">
        <v>704</v>
      </c>
      <c r="E84" s="31" t="b">
        <v>1</v>
      </c>
    </row>
    <row r="85">
      <c r="A85" s="9" t="s">
        <v>705</v>
      </c>
      <c r="B85" s="17" t="s">
        <v>33</v>
      </c>
      <c r="C85" s="17" t="s">
        <v>56</v>
      </c>
      <c r="D85" s="30" t="s">
        <v>712</v>
      </c>
      <c r="E85" s="31" t="b">
        <v>0</v>
      </c>
    </row>
    <row r="86">
      <c r="A86" s="9" t="s">
        <v>713</v>
      </c>
      <c r="B86" s="17" t="s">
        <v>33</v>
      </c>
      <c r="C86" s="17" t="s">
        <v>109</v>
      </c>
      <c r="D86" s="30" t="s">
        <v>719</v>
      </c>
      <c r="E86" s="31" t="b">
        <v>1</v>
      </c>
    </row>
    <row r="87">
      <c r="A87" s="9" t="s">
        <v>720</v>
      </c>
      <c r="B87" s="17" t="s">
        <v>33</v>
      </c>
      <c r="C87" s="17" t="s">
        <v>34</v>
      </c>
      <c r="D87" s="30" t="s">
        <v>726</v>
      </c>
      <c r="E87" s="31" t="b">
        <v>0</v>
      </c>
    </row>
    <row r="88">
      <c r="A88" s="9" t="s">
        <v>727</v>
      </c>
      <c r="B88" s="17" t="s">
        <v>187</v>
      </c>
      <c r="C88" s="17" t="s">
        <v>56</v>
      </c>
      <c r="D88" s="30" t="s">
        <v>734</v>
      </c>
      <c r="E88" s="31" t="b">
        <v>0</v>
      </c>
    </row>
    <row r="89">
      <c r="A89" s="9" t="s">
        <v>735</v>
      </c>
      <c r="B89" s="17" t="s">
        <v>33</v>
      </c>
      <c r="C89" s="17" t="s">
        <v>34</v>
      </c>
      <c r="D89" s="30" t="s">
        <v>742</v>
      </c>
      <c r="E89" s="31" t="b">
        <v>0</v>
      </c>
    </row>
    <row r="90">
      <c r="A90" s="9" t="s">
        <v>743</v>
      </c>
      <c r="B90" s="17" t="s">
        <v>187</v>
      </c>
      <c r="C90" s="17" t="s">
        <v>56</v>
      </c>
      <c r="D90" s="30" t="s">
        <v>752</v>
      </c>
      <c r="E90" s="31" t="b">
        <v>0</v>
      </c>
    </row>
    <row r="91">
      <c r="A91" s="9" t="s">
        <v>753</v>
      </c>
      <c r="B91" s="17" t="s">
        <v>33</v>
      </c>
      <c r="C91" s="17" t="s">
        <v>34</v>
      </c>
      <c r="D91" s="30" t="s">
        <v>760</v>
      </c>
      <c r="E91" s="31" t="b">
        <v>0</v>
      </c>
    </row>
    <row r="92">
      <c r="A92" s="9" t="s">
        <v>761</v>
      </c>
      <c r="B92" s="17" t="s">
        <v>33</v>
      </c>
      <c r="C92" s="17" t="s">
        <v>56</v>
      </c>
      <c r="D92" s="30" t="s">
        <v>769</v>
      </c>
      <c r="E92" s="31" t="b">
        <v>0</v>
      </c>
    </row>
    <row r="93">
      <c r="A93" s="9" t="s">
        <v>770</v>
      </c>
      <c r="B93" s="17" t="s">
        <v>33</v>
      </c>
      <c r="C93" s="17" t="s">
        <v>56</v>
      </c>
      <c r="D93" s="30" t="s">
        <v>777</v>
      </c>
      <c r="E93" s="31" t="b">
        <v>0</v>
      </c>
    </row>
    <row r="94">
      <c r="A94" s="9" t="s">
        <v>778</v>
      </c>
      <c r="B94" s="17" t="s">
        <v>33</v>
      </c>
      <c r="C94" s="17" t="s">
        <v>56</v>
      </c>
      <c r="D94" s="30" t="s">
        <v>785</v>
      </c>
      <c r="E94" s="31" t="b">
        <v>0</v>
      </c>
    </row>
    <row r="95">
      <c r="A95" s="9" t="s">
        <v>786</v>
      </c>
      <c r="B95" s="17" t="s">
        <v>187</v>
      </c>
      <c r="C95" s="17" t="s">
        <v>109</v>
      </c>
      <c r="D95" s="30" t="s">
        <v>792</v>
      </c>
      <c r="E95" s="31" t="b">
        <v>1</v>
      </c>
    </row>
    <row r="96">
      <c r="A96" s="9" t="s">
        <v>793</v>
      </c>
      <c r="B96" s="17" t="s">
        <v>33</v>
      </c>
      <c r="C96" s="17" t="s">
        <v>34</v>
      </c>
      <c r="D96" s="30" t="s">
        <v>800</v>
      </c>
      <c r="E96" s="31" t="b">
        <v>0</v>
      </c>
    </row>
    <row r="97">
      <c r="A97" s="9" t="s">
        <v>801</v>
      </c>
      <c r="B97" s="17" t="s">
        <v>33</v>
      </c>
      <c r="C97" s="17" t="s">
        <v>109</v>
      </c>
      <c r="D97" s="30" t="s">
        <v>810</v>
      </c>
      <c r="E97" s="31" t="b">
        <v>1</v>
      </c>
    </row>
    <row r="98">
      <c r="A98" s="9" t="s">
        <v>811</v>
      </c>
      <c r="B98" s="17" t="s">
        <v>33</v>
      </c>
      <c r="C98" s="17" t="s">
        <v>109</v>
      </c>
      <c r="D98" s="30" t="s">
        <v>819</v>
      </c>
      <c r="E98" s="31" t="b">
        <v>1</v>
      </c>
    </row>
    <row r="99">
      <c r="A99" s="9" t="s">
        <v>820</v>
      </c>
      <c r="B99" s="17" t="s">
        <v>187</v>
      </c>
      <c r="C99" s="17" t="s">
        <v>109</v>
      </c>
      <c r="D99" s="30" t="s">
        <v>826</v>
      </c>
      <c r="E99" s="31" t="b">
        <v>1</v>
      </c>
    </row>
    <row r="100">
      <c r="A100" s="9" t="s">
        <v>827</v>
      </c>
      <c r="B100" s="17" t="s">
        <v>33</v>
      </c>
      <c r="C100" s="17" t="s">
        <v>34</v>
      </c>
      <c r="D100" s="30" t="s">
        <v>835</v>
      </c>
      <c r="E100" s="31" t="b">
        <v>0</v>
      </c>
    </row>
    <row r="101">
      <c r="A101" s="9" t="s">
        <v>836</v>
      </c>
      <c r="B101" s="17" t="s">
        <v>33</v>
      </c>
      <c r="C101" s="17" t="s">
        <v>34</v>
      </c>
      <c r="D101" s="30" t="s">
        <v>835</v>
      </c>
      <c r="E101" s="31" t="b">
        <v>0</v>
      </c>
    </row>
    <row r="102">
      <c r="D102" s="32"/>
    </row>
    <row r="103">
      <c r="D103" s="32"/>
    </row>
    <row r="104">
      <c r="D104" s="32"/>
    </row>
    <row r="105">
      <c r="D105" s="32"/>
    </row>
    <row r="106">
      <c r="D106" s="32"/>
    </row>
    <row r="107">
      <c r="D107" s="32"/>
    </row>
    <row r="108">
      <c r="D108" s="32"/>
    </row>
    <row r="109">
      <c r="D109" s="32"/>
    </row>
    <row r="110">
      <c r="D110" s="32"/>
    </row>
    <row r="111">
      <c r="D111" s="32"/>
    </row>
    <row r="112">
      <c r="D112" s="32"/>
    </row>
    <row r="113">
      <c r="D113" s="32"/>
    </row>
    <row r="114">
      <c r="D114" s="32"/>
    </row>
    <row r="115">
      <c r="D115" s="32"/>
    </row>
    <row r="116">
      <c r="D116" s="32"/>
    </row>
    <row r="117">
      <c r="D117" s="32"/>
    </row>
    <row r="118">
      <c r="D118" s="32"/>
    </row>
    <row r="119">
      <c r="D119" s="32"/>
    </row>
    <row r="120">
      <c r="D120" s="32"/>
    </row>
    <row r="121">
      <c r="D121" s="32"/>
    </row>
    <row r="122">
      <c r="D122" s="32"/>
    </row>
    <row r="123">
      <c r="D123" s="32"/>
    </row>
    <row r="124">
      <c r="D124" s="32"/>
    </row>
    <row r="125">
      <c r="D125" s="32"/>
    </row>
    <row r="126">
      <c r="D126" s="32"/>
    </row>
    <row r="127">
      <c r="D127" s="32"/>
    </row>
    <row r="128">
      <c r="D128" s="32"/>
    </row>
    <row r="129">
      <c r="D129" s="32"/>
    </row>
    <row r="130">
      <c r="D130" s="32"/>
    </row>
    <row r="131">
      <c r="D131" s="32"/>
    </row>
    <row r="132">
      <c r="D132" s="32"/>
    </row>
    <row r="133">
      <c r="D133" s="32"/>
    </row>
    <row r="134">
      <c r="D134" s="32"/>
    </row>
    <row r="135">
      <c r="D135" s="32"/>
    </row>
    <row r="136">
      <c r="D136" s="32"/>
    </row>
    <row r="137">
      <c r="D137" s="32"/>
    </row>
    <row r="138">
      <c r="D138" s="32"/>
    </row>
    <row r="139">
      <c r="D139" s="32"/>
    </row>
    <row r="140">
      <c r="D140" s="32"/>
    </row>
    <row r="141">
      <c r="D141" s="32"/>
    </row>
    <row r="142">
      <c r="D142" s="32"/>
    </row>
    <row r="143">
      <c r="D143" s="32"/>
    </row>
    <row r="144">
      <c r="D144" s="32"/>
    </row>
    <row r="145">
      <c r="D145" s="32"/>
    </row>
    <row r="146">
      <c r="D146" s="32"/>
    </row>
    <row r="147">
      <c r="D147" s="32"/>
    </row>
    <row r="148">
      <c r="D148" s="32"/>
    </row>
    <row r="149">
      <c r="D149" s="32"/>
    </row>
    <row r="150">
      <c r="D150" s="32"/>
    </row>
    <row r="151">
      <c r="D151" s="32"/>
    </row>
    <row r="152">
      <c r="D152" s="32"/>
    </row>
    <row r="153">
      <c r="D153" s="32"/>
    </row>
    <row r="154">
      <c r="D154" s="32"/>
    </row>
    <row r="155">
      <c r="D155" s="32"/>
    </row>
    <row r="156">
      <c r="D156" s="32"/>
    </row>
    <row r="157">
      <c r="D157" s="32"/>
    </row>
    <row r="158">
      <c r="D158" s="32"/>
    </row>
    <row r="159">
      <c r="D159" s="32"/>
    </row>
    <row r="160">
      <c r="D160" s="32"/>
    </row>
    <row r="161">
      <c r="D161" s="32"/>
    </row>
    <row r="162">
      <c r="D162" s="32"/>
    </row>
    <row r="163">
      <c r="D163" s="32"/>
    </row>
    <row r="164">
      <c r="D164" s="32"/>
    </row>
    <row r="165">
      <c r="D165" s="32"/>
    </row>
    <row r="166">
      <c r="D166" s="32"/>
    </row>
    <row r="167">
      <c r="D167" s="32"/>
    </row>
    <row r="168">
      <c r="D168" s="32"/>
    </row>
    <row r="169">
      <c r="D169" s="32"/>
    </row>
    <row r="170">
      <c r="D170" s="32"/>
    </row>
    <row r="171">
      <c r="D171" s="32"/>
    </row>
    <row r="172">
      <c r="D172" s="32"/>
    </row>
    <row r="173">
      <c r="D173" s="32"/>
    </row>
    <row r="174">
      <c r="D174" s="32"/>
    </row>
    <row r="175">
      <c r="D175" s="32"/>
    </row>
    <row r="176">
      <c r="D176" s="32"/>
    </row>
    <row r="177">
      <c r="D177" s="32"/>
    </row>
    <row r="178">
      <c r="D178" s="32"/>
    </row>
    <row r="179">
      <c r="D179" s="32"/>
    </row>
    <row r="180">
      <c r="D180" s="32"/>
    </row>
    <row r="181">
      <c r="D181" s="32"/>
    </row>
    <row r="182">
      <c r="D182" s="32"/>
    </row>
    <row r="183">
      <c r="D183" s="32"/>
    </row>
    <row r="184">
      <c r="D184" s="32"/>
    </row>
    <row r="185">
      <c r="D185" s="32"/>
    </row>
    <row r="186">
      <c r="D186" s="32"/>
    </row>
    <row r="187">
      <c r="D187" s="32"/>
    </row>
    <row r="188">
      <c r="D188" s="32"/>
    </row>
    <row r="189">
      <c r="D189" s="32"/>
    </row>
    <row r="190">
      <c r="D190" s="32"/>
    </row>
    <row r="191">
      <c r="D191" s="32"/>
    </row>
    <row r="192">
      <c r="D192" s="32"/>
    </row>
    <row r="193">
      <c r="D193" s="32"/>
    </row>
    <row r="194">
      <c r="D194" s="32"/>
    </row>
    <row r="195">
      <c r="D195" s="32"/>
    </row>
    <row r="196">
      <c r="D196" s="32"/>
    </row>
    <row r="197">
      <c r="D197" s="32"/>
    </row>
    <row r="198">
      <c r="D198" s="32"/>
    </row>
    <row r="199">
      <c r="D199" s="32"/>
    </row>
    <row r="200">
      <c r="D200" s="32"/>
    </row>
    <row r="201">
      <c r="D201" s="32"/>
    </row>
    <row r="202">
      <c r="D202" s="32"/>
    </row>
    <row r="203">
      <c r="D203" s="32"/>
    </row>
    <row r="204">
      <c r="D204" s="32"/>
    </row>
    <row r="205">
      <c r="D205" s="32"/>
    </row>
    <row r="206">
      <c r="D206" s="32"/>
    </row>
    <row r="207">
      <c r="D207" s="32"/>
    </row>
    <row r="208">
      <c r="D208" s="32"/>
    </row>
    <row r="209">
      <c r="D209" s="32"/>
    </row>
    <row r="210">
      <c r="D210" s="32"/>
    </row>
    <row r="211">
      <c r="D211" s="32"/>
    </row>
    <row r="212">
      <c r="D212" s="32"/>
    </row>
    <row r="213">
      <c r="D213" s="32"/>
    </row>
    <row r="214">
      <c r="D214" s="32"/>
    </row>
    <row r="215">
      <c r="D215" s="32"/>
    </row>
    <row r="216">
      <c r="D216" s="32"/>
    </row>
    <row r="217">
      <c r="D217" s="32"/>
    </row>
    <row r="218">
      <c r="D218" s="32"/>
    </row>
    <row r="219">
      <c r="D219" s="32"/>
    </row>
    <row r="220">
      <c r="D220" s="32"/>
    </row>
    <row r="221">
      <c r="D221" s="32"/>
    </row>
    <row r="222">
      <c r="D222" s="32"/>
    </row>
    <row r="223">
      <c r="D223" s="32"/>
    </row>
    <row r="224">
      <c r="D224" s="32"/>
    </row>
    <row r="225">
      <c r="D225" s="32"/>
    </row>
    <row r="226">
      <c r="D226" s="32"/>
    </row>
    <row r="227">
      <c r="D227" s="32"/>
    </row>
    <row r="228">
      <c r="D228" s="32"/>
    </row>
    <row r="229">
      <c r="D229" s="32"/>
    </row>
    <row r="230">
      <c r="D230" s="32"/>
    </row>
    <row r="231">
      <c r="D231" s="32"/>
    </row>
    <row r="232">
      <c r="D232" s="32"/>
    </row>
    <row r="233">
      <c r="D233" s="32"/>
    </row>
    <row r="234">
      <c r="D234" s="32"/>
    </row>
    <row r="235">
      <c r="D235" s="32"/>
    </row>
    <row r="236">
      <c r="D236" s="32"/>
    </row>
    <row r="237">
      <c r="D237" s="32"/>
    </row>
    <row r="238">
      <c r="D238" s="32"/>
    </row>
    <row r="239">
      <c r="D239" s="32"/>
    </row>
    <row r="240">
      <c r="D240" s="32"/>
    </row>
    <row r="241">
      <c r="D241" s="32"/>
    </row>
    <row r="242">
      <c r="D242" s="32"/>
    </row>
    <row r="243">
      <c r="D243" s="32"/>
    </row>
    <row r="244">
      <c r="D244" s="32"/>
    </row>
    <row r="245">
      <c r="D245" s="32"/>
    </row>
    <row r="246">
      <c r="D246" s="32"/>
    </row>
    <row r="247">
      <c r="D247" s="32"/>
    </row>
    <row r="248">
      <c r="D248" s="32"/>
    </row>
    <row r="249">
      <c r="D249" s="32"/>
    </row>
    <row r="250">
      <c r="D250" s="32"/>
    </row>
    <row r="251">
      <c r="D251" s="32"/>
    </row>
    <row r="252">
      <c r="D252" s="32"/>
    </row>
    <row r="253">
      <c r="D253" s="32"/>
    </row>
    <row r="254">
      <c r="D254" s="32"/>
    </row>
    <row r="255">
      <c r="D255" s="32"/>
    </row>
    <row r="256">
      <c r="D256" s="32"/>
    </row>
    <row r="257">
      <c r="D257" s="32"/>
    </row>
    <row r="258">
      <c r="D258" s="32"/>
    </row>
    <row r="259">
      <c r="D259" s="32"/>
    </row>
    <row r="260">
      <c r="D260" s="32"/>
    </row>
    <row r="261">
      <c r="D261" s="32"/>
    </row>
    <row r="262">
      <c r="D262" s="32"/>
    </row>
    <row r="263">
      <c r="D263" s="32"/>
    </row>
    <row r="264">
      <c r="D264" s="32"/>
    </row>
    <row r="265">
      <c r="D265" s="32"/>
    </row>
    <row r="266">
      <c r="D266" s="32"/>
    </row>
    <row r="267">
      <c r="D267" s="32"/>
    </row>
    <row r="268">
      <c r="D268" s="32"/>
    </row>
    <row r="269">
      <c r="D269" s="32"/>
    </row>
    <row r="270">
      <c r="D270" s="32"/>
    </row>
    <row r="271">
      <c r="D271" s="32"/>
    </row>
    <row r="272">
      <c r="D272" s="32"/>
    </row>
    <row r="273">
      <c r="D273" s="32"/>
    </row>
    <row r="274">
      <c r="D274" s="32"/>
    </row>
    <row r="275">
      <c r="D275" s="32"/>
    </row>
    <row r="276">
      <c r="D276" s="32"/>
    </row>
    <row r="277">
      <c r="D277" s="32"/>
    </row>
    <row r="278">
      <c r="D278" s="32"/>
    </row>
    <row r="279">
      <c r="D279" s="32"/>
    </row>
    <row r="280">
      <c r="D280" s="32"/>
    </row>
    <row r="281">
      <c r="D281" s="32"/>
    </row>
    <row r="282">
      <c r="D282" s="32"/>
    </row>
    <row r="283">
      <c r="D283" s="32"/>
    </row>
    <row r="284">
      <c r="D284" s="32"/>
    </row>
    <row r="285">
      <c r="D285" s="32"/>
    </row>
    <row r="286">
      <c r="D286" s="32"/>
    </row>
    <row r="287">
      <c r="D287" s="32"/>
    </row>
    <row r="288">
      <c r="D288" s="32"/>
    </row>
    <row r="289">
      <c r="D289" s="32"/>
    </row>
    <row r="290">
      <c r="D290" s="32"/>
    </row>
    <row r="291">
      <c r="D291" s="32"/>
    </row>
    <row r="292">
      <c r="D292" s="32"/>
    </row>
    <row r="293">
      <c r="D293" s="32"/>
    </row>
    <row r="294">
      <c r="D294" s="32"/>
    </row>
    <row r="295">
      <c r="D295" s="32"/>
    </row>
    <row r="296">
      <c r="D296" s="32"/>
    </row>
    <row r="297">
      <c r="D297" s="32"/>
    </row>
    <row r="298">
      <c r="D298" s="32"/>
    </row>
    <row r="299">
      <c r="D299" s="32"/>
    </row>
    <row r="300">
      <c r="D300" s="32"/>
    </row>
    <row r="301">
      <c r="D301" s="32"/>
    </row>
    <row r="302">
      <c r="D302" s="32"/>
    </row>
    <row r="303">
      <c r="D303" s="32"/>
    </row>
    <row r="304">
      <c r="D304" s="32"/>
    </row>
    <row r="305">
      <c r="D305" s="32"/>
    </row>
    <row r="306">
      <c r="D306" s="32"/>
    </row>
    <row r="307">
      <c r="D307" s="32"/>
    </row>
    <row r="308">
      <c r="D308" s="32"/>
    </row>
    <row r="309">
      <c r="D309" s="32"/>
    </row>
    <row r="310">
      <c r="D310" s="32"/>
    </row>
    <row r="311">
      <c r="D311" s="32"/>
    </row>
    <row r="312">
      <c r="D312" s="32"/>
    </row>
    <row r="313">
      <c r="D313" s="32"/>
    </row>
    <row r="314">
      <c r="D314" s="32"/>
    </row>
    <row r="315">
      <c r="D315" s="32"/>
    </row>
    <row r="316">
      <c r="D316" s="32"/>
    </row>
    <row r="317">
      <c r="D317" s="32"/>
    </row>
    <row r="318">
      <c r="D318" s="32"/>
    </row>
    <row r="319">
      <c r="D319" s="32"/>
    </row>
    <row r="320">
      <c r="D320" s="32"/>
    </row>
    <row r="321">
      <c r="D321" s="32"/>
    </row>
    <row r="322">
      <c r="D322" s="32"/>
    </row>
    <row r="323">
      <c r="D323" s="32"/>
    </row>
    <row r="324">
      <c r="D324" s="32"/>
    </row>
    <row r="325">
      <c r="D325" s="32"/>
    </row>
    <row r="326">
      <c r="D326" s="32"/>
    </row>
    <row r="327">
      <c r="D327" s="32"/>
    </row>
    <row r="328">
      <c r="D328" s="32"/>
    </row>
    <row r="329">
      <c r="D329" s="32"/>
    </row>
    <row r="330">
      <c r="D330" s="32"/>
    </row>
    <row r="331">
      <c r="D331" s="32"/>
    </row>
    <row r="332">
      <c r="D332" s="32"/>
    </row>
    <row r="333">
      <c r="D333" s="32"/>
    </row>
    <row r="334">
      <c r="D334" s="32"/>
    </row>
    <row r="335">
      <c r="D335" s="32"/>
    </row>
    <row r="336">
      <c r="D336" s="32"/>
    </row>
    <row r="337">
      <c r="D337" s="32"/>
    </row>
    <row r="338">
      <c r="D338" s="32"/>
    </row>
    <row r="339">
      <c r="D339" s="32"/>
    </row>
    <row r="340">
      <c r="D340" s="32"/>
    </row>
    <row r="341">
      <c r="D341" s="32"/>
    </row>
    <row r="342">
      <c r="D342" s="32"/>
    </row>
    <row r="343">
      <c r="D343" s="32"/>
    </row>
    <row r="344">
      <c r="D344" s="32"/>
    </row>
    <row r="345">
      <c r="D345" s="32"/>
    </row>
    <row r="346">
      <c r="D346" s="32"/>
    </row>
    <row r="347">
      <c r="D347" s="32"/>
    </row>
    <row r="348">
      <c r="D348" s="32"/>
    </row>
    <row r="349">
      <c r="D349" s="32"/>
    </row>
    <row r="350">
      <c r="D350" s="32"/>
    </row>
    <row r="351">
      <c r="D351" s="32"/>
    </row>
    <row r="352">
      <c r="D352" s="32"/>
    </row>
    <row r="353">
      <c r="D353" s="32"/>
    </row>
    <row r="354">
      <c r="D354" s="32"/>
    </row>
    <row r="355">
      <c r="D355" s="32"/>
    </row>
    <row r="356">
      <c r="D356" s="32"/>
    </row>
    <row r="357">
      <c r="D357" s="32"/>
    </row>
    <row r="358">
      <c r="D358" s="32"/>
    </row>
    <row r="359">
      <c r="D359" s="32"/>
    </row>
    <row r="360">
      <c r="D360" s="32"/>
    </row>
    <row r="361">
      <c r="D361" s="32"/>
    </row>
    <row r="362">
      <c r="D362" s="32"/>
    </row>
    <row r="363">
      <c r="D363" s="32"/>
    </row>
    <row r="364">
      <c r="D364" s="32"/>
    </row>
    <row r="365">
      <c r="D365" s="32"/>
    </row>
    <row r="366">
      <c r="D366" s="32"/>
    </row>
    <row r="367">
      <c r="D367" s="32"/>
    </row>
    <row r="368">
      <c r="D368" s="32"/>
    </row>
    <row r="369">
      <c r="D369" s="32"/>
    </row>
    <row r="370">
      <c r="D370" s="32"/>
    </row>
    <row r="371">
      <c r="D371" s="32"/>
    </row>
    <row r="372">
      <c r="D372" s="32"/>
    </row>
    <row r="373">
      <c r="D373" s="32"/>
    </row>
    <row r="374">
      <c r="D374" s="32"/>
    </row>
    <row r="375">
      <c r="D375" s="32"/>
    </row>
    <row r="376">
      <c r="D376" s="32"/>
    </row>
    <row r="377">
      <c r="D377" s="32"/>
    </row>
    <row r="378">
      <c r="D378" s="32"/>
    </row>
    <row r="379">
      <c r="D379" s="32"/>
    </row>
    <row r="380">
      <c r="D380" s="32"/>
    </row>
    <row r="381">
      <c r="D381" s="32"/>
    </row>
    <row r="382">
      <c r="D382" s="32"/>
    </row>
    <row r="383">
      <c r="D383" s="32"/>
    </row>
    <row r="384">
      <c r="D384" s="32"/>
    </row>
    <row r="385">
      <c r="D385" s="32"/>
    </row>
    <row r="386">
      <c r="D386" s="32"/>
    </row>
    <row r="387">
      <c r="D387" s="32"/>
    </row>
    <row r="388">
      <c r="D388" s="32"/>
    </row>
    <row r="389">
      <c r="D389" s="32"/>
    </row>
    <row r="390">
      <c r="D390" s="32"/>
    </row>
    <row r="391">
      <c r="D391" s="32"/>
    </row>
    <row r="392">
      <c r="D392" s="32"/>
    </row>
    <row r="393">
      <c r="D393" s="32"/>
    </row>
    <row r="394">
      <c r="D394" s="32"/>
    </row>
    <row r="395">
      <c r="D395" s="32"/>
    </row>
    <row r="396">
      <c r="D396" s="32"/>
    </row>
    <row r="397">
      <c r="D397" s="32"/>
    </row>
    <row r="398">
      <c r="D398" s="32"/>
    </row>
    <row r="399">
      <c r="D399" s="32"/>
    </row>
    <row r="400">
      <c r="D400" s="32"/>
    </row>
    <row r="401">
      <c r="D401" s="32"/>
    </row>
    <row r="402">
      <c r="D402" s="32"/>
    </row>
    <row r="403">
      <c r="D403" s="32"/>
    </row>
    <row r="404">
      <c r="D404" s="32"/>
    </row>
    <row r="405">
      <c r="D405" s="32"/>
    </row>
    <row r="406">
      <c r="D406" s="32"/>
    </row>
    <row r="407">
      <c r="D407" s="32"/>
    </row>
    <row r="408">
      <c r="D408" s="32"/>
    </row>
    <row r="409">
      <c r="D409" s="32"/>
    </row>
    <row r="410">
      <c r="D410" s="32"/>
    </row>
    <row r="411">
      <c r="D411" s="32"/>
    </row>
    <row r="412">
      <c r="D412" s="32"/>
    </row>
    <row r="413">
      <c r="D413" s="32"/>
    </row>
    <row r="414">
      <c r="D414" s="32"/>
    </row>
    <row r="415">
      <c r="D415" s="32"/>
    </row>
    <row r="416">
      <c r="D416" s="32"/>
    </row>
    <row r="417">
      <c r="D417" s="32"/>
    </row>
    <row r="418">
      <c r="D418" s="32"/>
    </row>
    <row r="419">
      <c r="D419" s="32"/>
    </row>
    <row r="420">
      <c r="D420" s="32"/>
    </row>
    <row r="421">
      <c r="D421" s="32"/>
    </row>
    <row r="422">
      <c r="D422" s="32"/>
    </row>
    <row r="423">
      <c r="D423" s="32"/>
    </row>
    <row r="424">
      <c r="D424" s="32"/>
    </row>
    <row r="425">
      <c r="D425" s="32"/>
    </row>
    <row r="426">
      <c r="D426" s="32"/>
    </row>
    <row r="427">
      <c r="D427" s="32"/>
    </row>
    <row r="428">
      <c r="D428" s="32"/>
    </row>
    <row r="429">
      <c r="D429" s="32"/>
    </row>
    <row r="430">
      <c r="D430" s="32"/>
    </row>
    <row r="431">
      <c r="D431" s="32"/>
    </row>
    <row r="432">
      <c r="D432" s="32"/>
    </row>
    <row r="433">
      <c r="D433" s="32"/>
    </row>
    <row r="434">
      <c r="D434" s="32"/>
    </row>
    <row r="435">
      <c r="D435" s="32"/>
    </row>
    <row r="436">
      <c r="D436" s="32"/>
    </row>
    <row r="437">
      <c r="D437" s="32"/>
    </row>
    <row r="438">
      <c r="D438" s="32"/>
    </row>
    <row r="439">
      <c r="D439" s="32"/>
    </row>
    <row r="440">
      <c r="D440" s="32"/>
    </row>
    <row r="441">
      <c r="D441" s="32"/>
    </row>
    <row r="442">
      <c r="D442" s="32"/>
    </row>
    <row r="443">
      <c r="D443" s="32"/>
    </row>
    <row r="444">
      <c r="D444" s="32"/>
    </row>
    <row r="445">
      <c r="D445" s="32"/>
    </row>
    <row r="446">
      <c r="D446" s="32"/>
    </row>
    <row r="447">
      <c r="D447" s="32"/>
    </row>
    <row r="448">
      <c r="D448" s="32"/>
    </row>
    <row r="449">
      <c r="D449" s="32"/>
    </row>
    <row r="450">
      <c r="D450" s="32"/>
    </row>
    <row r="451">
      <c r="D451" s="32"/>
    </row>
    <row r="452">
      <c r="D452" s="32"/>
    </row>
    <row r="453">
      <c r="D453" s="32"/>
    </row>
    <row r="454">
      <c r="D454" s="32"/>
    </row>
    <row r="455">
      <c r="D455" s="32"/>
    </row>
    <row r="456">
      <c r="D456" s="32"/>
    </row>
    <row r="457">
      <c r="D457" s="32"/>
    </row>
    <row r="458">
      <c r="D458" s="32"/>
    </row>
    <row r="459">
      <c r="D459" s="32"/>
    </row>
    <row r="460">
      <c r="D460" s="32"/>
    </row>
    <row r="461">
      <c r="D461" s="32"/>
    </row>
    <row r="462">
      <c r="D462" s="32"/>
    </row>
    <row r="463">
      <c r="D463" s="32"/>
    </row>
    <row r="464">
      <c r="D464" s="32"/>
    </row>
    <row r="465">
      <c r="D465" s="32"/>
    </row>
    <row r="466">
      <c r="D466" s="32"/>
    </row>
    <row r="467">
      <c r="D467" s="32"/>
    </row>
    <row r="468">
      <c r="D468" s="32"/>
    </row>
    <row r="469">
      <c r="D469" s="32"/>
    </row>
    <row r="470">
      <c r="D470" s="32"/>
    </row>
    <row r="471">
      <c r="D471" s="32"/>
    </row>
    <row r="472">
      <c r="D472" s="32"/>
    </row>
    <row r="473">
      <c r="D473" s="32"/>
    </row>
    <row r="474">
      <c r="D474" s="32"/>
    </row>
    <row r="475">
      <c r="D475" s="32"/>
    </row>
    <row r="476">
      <c r="D476" s="32"/>
    </row>
    <row r="477">
      <c r="D477" s="32"/>
    </row>
    <row r="478">
      <c r="D478" s="32"/>
    </row>
    <row r="479">
      <c r="D479" s="32"/>
    </row>
    <row r="480">
      <c r="D480" s="32"/>
    </row>
    <row r="481">
      <c r="D481" s="32"/>
    </row>
    <row r="482">
      <c r="D482" s="32"/>
    </row>
    <row r="483">
      <c r="D483" s="32"/>
    </row>
    <row r="484">
      <c r="D484" s="32"/>
    </row>
    <row r="485">
      <c r="D485" s="32"/>
    </row>
    <row r="486">
      <c r="D486" s="32"/>
    </row>
    <row r="487">
      <c r="D487" s="32"/>
    </row>
    <row r="488">
      <c r="D488" s="32"/>
    </row>
    <row r="489">
      <c r="D489" s="32"/>
    </row>
    <row r="490">
      <c r="D490" s="32"/>
    </row>
    <row r="491">
      <c r="D491" s="32"/>
    </row>
    <row r="492">
      <c r="D492" s="32"/>
    </row>
    <row r="493">
      <c r="D493" s="32"/>
    </row>
    <row r="494">
      <c r="D494" s="32"/>
    </row>
    <row r="495">
      <c r="D495" s="32"/>
    </row>
    <row r="496">
      <c r="D496" s="32"/>
    </row>
    <row r="497">
      <c r="D497" s="32"/>
    </row>
    <row r="498">
      <c r="D498" s="32"/>
    </row>
    <row r="499">
      <c r="D499" s="32"/>
    </row>
    <row r="500">
      <c r="D500" s="32"/>
    </row>
    <row r="501">
      <c r="D501" s="32"/>
    </row>
    <row r="502">
      <c r="D502" s="32"/>
    </row>
    <row r="503">
      <c r="D503" s="32"/>
    </row>
    <row r="504">
      <c r="D504" s="32"/>
    </row>
    <row r="505">
      <c r="D505" s="32"/>
    </row>
    <row r="506">
      <c r="D506" s="32"/>
    </row>
    <row r="507">
      <c r="D507" s="32"/>
    </row>
    <row r="508">
      <c r="D508" s="32"/>
    </row>
    <row r="509">
      <c r="D509" s="32"/>
    </row>
    <row r="510">
      <c r="D510" s="32"/>
    </row>
    <row r="511">
      <c r="D511" s="32"/>
    </row>
    <row r="512">
      <c r="D512" s="32"/>
    </row>
    <row r="513">
      <c r="D513" s="32"/>
    </row>
    <row r="514">
      <c r="D514" s="32"/>
    </row>
    <row r="515">
      <c r="D515" s="32"/>
    </row>
    <row r="516">
      <c r="D516" s="32"/>
    </row>
    <row r="517">
      <c r="D517" s="32"/>
    </row>
    <row r="518">
      <c r="D518" s="32"/>
    </row>
    <row r="519">
      <c r="D519" s="32"/>
    </row>
    <row r="520">
      <c r="D520" s="32"/>
    </row>
    <row r="521">
      <c r="D521" s="32"/>
    </row>
    <row r="522">
      <c r="D522" s="32"/>
    </row>
    <row r="523">
      <c r="D523" s="32"/>
    </row>
    <row r="524">
      <c r="D524" s="32"/>
    </row>
    <row r="525">
      <c r="D525" s="32"/>
    </row>
    <row r="526">
      <c r="D526" s="32"/>
    </row>
    <row r="527">
      <c r="D527" s="32"/>
    </row>
    <row r="528">
      <c r="D528" s="32"/>
    </row>
    <row r="529">
      <c r="D529" s="32"/>
    </row>
    <row r="530">
      <c r="D530" s="32"/>
    </row>
    <row r="531">
      <c r="D531" s="32"/>
    </row>
    <row r="532">
      <c r="D532" s="32"/>
    </row>
    <row r="533">
      <c r="D533" s="32"/>
    </row>
    <row r="534">
      <c r="D534" s="32"/>
    </row>
    <row r="535">
      <c r="D535" s="32"/>
    </row>
    <row r="536">
      <c r="D536" s="32"/>
    </row>
    <row r="537">
      <c r="D537" s="32"/>
    </row>
    <row r="538">
      <c r="D538" s="32"/>
    </row>
    <row r="539">
      <c r="D539" s="32"/>
    </row>
    <row r="540">
      <c r="D540" s="32"/>
    </row>
    <row r="541">
      <c r="D541" s="32"/>
    </row>
    <row r="542">
      <c r="D542" s="32"/>
    </row>
    <row r="543">
      <c r="D543" s="32"/>
    </row>
    <row r="544">
      <c r="D544" s="32"/>
    </row>
    <row r="545">
      <c r="D545" s="32"/>
    </row>
    <row r="546">
      <c r="D546" s="32"/>
    </row>
    <row r="547">
      <c r="D547" s="32"/>
    </row>
    <row r="548">
      <c r="D548" s="32"/>
    </row>
    <row r="549">
      <c r="D549" s="32"/>
    </row>
    <row r="550">
      <c r="D550" s="32"/>
    </row>
    <row r="551">
      <c r="D551" s="32"/>
    </row>
    <row r="552">
      <c r="D552" s="32"/>
    </row>
    <row r="553">
      <c r="D553" s="32"/>
    </row>
    <row r="554">
      <c r="D554" s="32"/>
    </row>
    <row r="555">
      <c r="D555" s="32"/>
    </row>
    <row r="556">
      <c r="D556" s="32"/>
    </row>
    <row r="557">
      <c r="D557" s="32"/>
    </row>
    <row r="558">
      <c r="D558" s="32"/>
    </row>
    <row r="559">
      <c r="D559" s="32"/>
    </row>
    <row r="560">
      <c r="D560" s="32"/>
    </row>
    <row r="561">
      <c r="D561" s="32"/>
    </row>
    <row r="562">
      <c r="D562" s="32"/>
    </row>
    <row r="563">
      <c r="D563" s="32"/>
    </row>
    <row r="564">
      <c r="D564" s="32"/>
    </row>
    <row r="565">
      <c r="D565" s="32"/>
    </row>
    <row r="566">
      <c r="D566" s="32"/>
    </row>
    <row r="567">
      <c r="D567" s="32"/>
    </row>
    <row r="568">
      <c r="D568" s="32"/>
    </row>
    <row r="569">
      <c r="D569" s="32"/>
    </row>
    <row r="570">
      <c r="D570" s="32"/>
    </row>
    <row r="571">
      <c r="D571" s="32"/>
    </row>
    <row r="572">
      <c r="D572" s="32"/>
    </row>
    <row r="573">
      <c r="D573" s="32"/>
    </row>
    <row r="574">
      <c r="D574" s="32"/>
    </row>
    <row r="575">
      <c r="D575" s="32"/>
    </row>
    <row r="576">
      <c r="D576" s="32"/>
    </row>
    <row r="577">
      <c r="D577" s="32"/>
    </row>
    <row r="578">
      <c r="D578" s="32"/>
    </row>
    <row r="579">
      <c r="D579" s="32"/>
    </row>
    <row r="580">
      <c r="D580" s="32"/>
    </row>
    <row r="581">
      <c r="D581" s="32"/>
    </row>
    <row r="582">
      <c r="D582" s="32"/>
    </row>
    <row r="583">
      <c r="D583" s="32"/>
    </row>
    <row r="584">
      <c r="D584" s="32"/>
    </row>
    <row r="585">
      <c r="D585" s="32"/>
    </row>
    <row r="586">
      <c r="D586" s="32"/>
    </row>
    <row r="587">
      <c r="D587" s="32"/>
    </row>
    <row r="588">
      <c r="D588" s="32"/>
    </row>
    <row r="589">
      <c r="D589" s="32"/>
    </row>
    <row r="590">
      <c r="D590" s="32"/>
    </row>
    <row r="591">
      <c r="D591" s="32"/>
    </row>
    <row r="592">
      <c r="D592" s="32"/>
    </row>
    <row r="593">
      <c r="D593" s="32"/>
    </row>
    <row r="594">
      <c r="D594" s="32"/>
    </row>
    <row r="595">
      <c r="D595" s="32"/>
    </row>
    <row r="596">
      <c r="D596" s="32"/>
    </row>
    <row r="597">
      <c r="D597" s="32"/>
    </row>
    <row r="598">
      <c r="D598" s="32"/>
    </row>
    <row r="599">
      <c r="D599" s="32"/>
    </row>
    <row r="600">
      <c r="D600" s="32"/>
    </row>
    <row r="601">
      <c r="D601" s="32"/>
    </row>
    <row r="602">
      <c r="D602" s="32"/>
    </row>
    <row r="603">
      <c r="D603" s="32"/>
    </row>
    <row r="604">
      <c r="D604" s="32"/>
    </row>
    <row r="605">
      <c r="D605" s="32"/>
    </row>
    <row r="606">
      <c r="D606" s="32"/>
    </row>
    <row r="607">
      <c r="D607" s="32"/>
    </row>
    <row r="608">
      <c r="D608" s="32"/>
    </row>
    <row r="609">
      <c r="D609" s="32"/>
    </row>
    <row r="610">
      <c r="D610" s="32"/>
    </row>
    <row r="611">
      <c r="D611" s="32"/>
    </row>
    <row r="612">
      <c r="D612" s="32"/>
    </row>
    <row r="613">
      <c r="D613" s="32"/>
    </row>
    <row r="614">
      <c r="D614" s="32"/>
    </row>
    <row r="615">
      <c r="D615" s="32"/>
    </row>
    <row r="616">
      <c r="D616" s="32"/>
    </row>
    <row r="617">
      <c r="D617" s="32"/>
    </row>
    <row r="618">
      <c r="D618" s="32"/>
    </row>
    <row r="619">
      <c r="D619" s="32"/>
    </row>
    <row r="620">
      <c r="D620" s="32"/>
    </row>
    <row r="621">
      <c r="D621" s="32"/>
    </row>
    <row r="622">
      <c r="D622" s="32"/>
    </row>
    <row r="623">
      <c r="D623" s="32"/>
    </row>
    <row r="624">
      <c r="D624" s="32"/>
    </row>
    <row r="625">
      <c r="D625" s="32"/>
    </row>
    <row r="626">
      <c r="D626" s="32"/>
    </row>
    <row r="627">
      <c r="D627" s="32"/>
    </row>
    <row r="628">
      <c r="D628" s="32"/>
    </row>
    <row r="629">
      <c r="D629" s="32"/>
    </row>
    <row r="630">
      <c r="D630" s="32"/>
    </row>
    <row r="631">
      <c r="D631" s="32"/>
    </row>
    <row r="632">
      <c r="D632" s="32"/>
    </row>
    <row r="633">
      <c r="D633" s="32"/>
    </row>
    <row r="634">
      <c r="D634" s="32"/>
    </row>
    <row r="635">
      <c r="D635" s="32"/>
    </row>
    <row r="636">
      <c r="D636" s="32"/>
    </row>
    <row r="637">
      <c r="D637" s="32"/>
    </row>
    <row r="638">
      <c r="D638" s="32"/>
    </row>
    <row r="639">
      <c r="D639" s="32"/>
    </row>
    <row r="640">
      <c r="D640" s="32"/>
    </row>
    <row r="641">
      <c r="D641" s="32"/>
    </row>
    <row r="642">
      <c r="D642" s="32"/>
    </row>
    <row r="643">
      <c r="D643" s="32"/>
    </row>
    <row r="644">
      <c r="D644" s="32"/>
    </row>
    <row r="645">
      <c r="D645" s="32"/>
    </row>
    <row r="646">
      <c r="D646" s="32"/>
    </row>
    <row r="647">
      <c r="D647" s="32"/>
    </row>
    <row r="648">
      <c r="D648" s="32"/>
    </row>
    <row r="649">
      <c r="D649" s="32"/>
    </row>
    <row r="650">
      <c r="D650" s="32"/>
    </row>
    <row r="651">
      <c r="D651" s="32"/>
    </row>
    <row r="652">
      <c r="D652" s="32"/>
    </row>
    <row r="653">
      <c r="D653" s="32"/>
    </row>
    <row r="654">
      <c r="D654" s="32"/>
    </row>
    <row r="655">
      <c r="D655" s="32"/>
    </row>
    <row r="656">
      <c r="D656" s="32"/>
    </row>
    <row r="657">
      <c r="D657" s="32"/>
    </row>
    <row r="658">
      <c r="D658" s="32"/>
    </row>
    <row r="659">
      <c r="D659" s="32"/>
    </row>
    <row r="660">
      <c r="D660" s="32"/>
    </row>
    <row r="661">
      <c r="D661" s="32"/>
    </row>
    <row r="662">
      <c r="D662" s="32"/>
    </row>
    <row r="663">
      <c r="D663" s="32"/>
    </row>
    <row r="664">
      <c r="D664" s="32"/>
    </row>
    <row r="665">
      <c r="D665" s="32"/>
    </row>
    <row r="666">
      <c r="D666" s="32"/>
    </row>
    <row r="667">
      <c r="D667" s="32"/>
    </row>
    <row r="668">
      <c r="D668" s="32"/>
    </row>
    <row r="669">
      <c r="D669" s="32"/>
    </row>
    <row r="670">
      <c r="D670" s="32"/>
    </row>
    <row r="671">
      <c r="D671" s="32"/>
    </row>
    <row r="672">
      <c r="D672" s="32"/>
    </row>
    <row r="673">
      <c r="D673" s="32"/>
    </row>
    <row r="674">
      <c r="D674" s="32"/>
    </row>
    <row r="675">
      <c r="D675" s="32"/>
    </row>
    <row r="676">
      <c r="D676" s="32"/>
    </row>
    <row r="677">
      <c r="D677" s="32"/>
    </row>
    <row r="678">
      <c r="D678" s="32"/>
    </row>
    <row r="679">
      <c r="D679" s="32"/>
    </row>
    <row r="680">
      <c r="D680" s="32"/>
    </row>
    <row r="681">
      <c r="D681" s="32"/>
    </row>
    <row r="682">
      <c r="D682" s="32"/>
    </row>
    <row r="683">
      <c r="D683" s="32"/>
    </row>
    <row r="684">
      <c r="D684" s="32"/>
    </row>
    <row r="685">
      <c r="D685" s="32"/>
    </row>
    <row r="686">
      <c r="D686" s="32"/>
    </row>
    <row r="687">
      <c r="D687" s="32"/>
    </row>
    <row r="688">
      <c r="D688" s="32"/>
    </row>
    <row r="689">
      <c r="D689" s="32"/>
    </row>
    <row r="690">
      <c r="D690" s="32"/>
    </row>
    <row r="691">
      <c r="D691" s="32"/>
    </row>
    <row r="692">
      <c r="D692" s="32"/>
    </row>
    <row r="693">
      <c r="D693" s="32"/>
    </row>
    <row r="694">
      <c r="D694" s="32"/>
    </row>
    <row r="695">
      <c r="D695" s="32"/>
    </row>
    <row r="696">
      <c r="D696" s="32"/>
    </row>
    <row r="697">
      <c r="D697" s="32"/>
    </row>
    <row r="698">
      <c r="D698" s="32"/>
    </row>
    <row r="699">
      <c r="D699" s="32"/>
    </row>
    <row r="700">
      <c r="D700" s="32"/>
    </row>
    <row r="701">
      <c r="D701" s="32"/>
    </row>
    <row r="702">
      <c r="D702" s="32"/>
    </row>
    <row r="703">
      <c r="D703" s="32"/>
    </row>
    <row r="704">
      <c r="D704" s="32"/>
    </row>
    <row r="705">
      <c r="D705" s="32"/>
    </row>
    <row r="706">
      <c r="D706" s="32"/>
    </row>
    <row r="707">
      <c r="D707" s="32"/>
    </row>
    <row r="708">
      <c r="D708" s="32"/>
    </row>
    <row r="709">
      <c r="D709" s="32"/>
    </row>
    <row r="710">
      <c r="D710" s="32"/>
    </row>
    <row r="711">
      <c r="D711" s="32"/>
    </row>
    <row r="712">
      <c r="D712" s="32"/>
    </row>
    <row r="713">
      <c r="D713" s="32"/>
    </row>
    <row r="714">
      <c r="D714" s="32"/>
    </row>
    <row r="715">
      <c r="D715" s="32"/>
    </row>
    <row r="716">
      <c r="D716" s="32"/>
    </row>
    <row r="717">
      <c r="D717" s="32"/>
    </row>
    <row r="718">
      <c r="D718" s="32"/>
    </row>
    <row r="719">
      <c r="D719" s="32"/>
    </row>
    <row r="720">
      <c r="D720" s="32"/>
    </row>
    <row r="721">
      <c r="D721" s="32"/>
    </row>
    <row r="722">
      <c r="D722" s="32"/>
    </row>
    <row r="723">
      <c r="D723" s="32"/>
    </row>
    <row r="724">
      <c r="D724" s="32"/>
    </row>
    <row r="725">
      <c r="D725" s="32"/>
    </row>
    <row r="726">
      <c r="D726" s="32"/>
    </row>
    <row r="727">
      <c r="D727" s="32"/>
    </row>
    <row r="728">
      <c r="D728" s="32"/>
    </row>
    <row r="729">
      <c r="D729" s="32"/>
    </row>
    <row r="730">
      <c r="D730" s="32"/>
    </row>
    <row r="731">
      <c r="D731" s="32"/>
    </row>
    <row r="732">
      <c r="D732" s="32"/>
    </row>
    <row r="733">
      <c r="D733" s="32"/>
    </row>
    <row r="734">
      <c r="D734" s="32"/>
    </row>
    <row r="735">
      <c r="D735" s="32"/>
    </row>
    <row r="736">
      <c r="D736" s="32"/>
    </row>
    <row r="737">
      <c r="D737" s="32"/>
    </row>
    <row r="738">
      <c r="D738" s="32"/>
    </row>
    <row r="739">
      <c r="D739" s="32"/>
    </row>
    <row r="740">
      <c r="D740" s="32"/>
    </row>
    <row r="741">
      <c r="D741" s="32"/>
    </row>
    <row r="742">
      <c r="D742" s="32"/>
    </row>
    <row r="743">
      <c r="D743" s="32"/>
    </row>
    <row r="744">
      <c r="D744" s="32"/>
    </row>
    <row r="745">
      <c r="D745" s="32"/>
    </row>
    <row r="746">
      <c r="D746" s="32"/>
    </row>
    <row r="747">
      <c r="D747" s="32"/>
    </row>
    <row r="748">
      <c r="D748" s="32"/>
    </row>
    <row r="749">
      <c r="D749" s="32"/>
    </row>
    <row r="750">
      <c r="D750" s="32"/>
    </row>
    <row r="751">
      <c r="D751" s="32"/>
    </row>
    <row r="752">
      <c r="D752" s="32"/>
    </row>
    <row r="753">
      <c r="D753" s="32"/>
    </row>
    <row r="754">
      <c r="D754" s="32"/>
    </row>
    <row r="755">
      <c r="D755" s="32"/>
    </row>
    <row r="756">
      <c r="D756" s="32"/>
    </row>
    <row r="757">
      <c r="D757" s="32"/>
    </row>
    <row r="758">
      <c r="D758" s="32"/>
    </row>
    <row r="759">
      <c r="D759" s="32"/>
    </row>
    <row r="760">
      <c r="D760" s="32"/>
    </row>
    <row r="761">
      <c r="D761" s="32"/>
    </row>
    <row r="762">
      <c r="D762" s="32"/>
    </row>
    <row r="763">
      <c r="D763" s="32"/>
    </row>
    <row r="764">
      <c r="D764" s="32"/>
    </row>
    <row r="765">
      <c r="D765" s="32"/>
    </row>
    <row r="766">
      <c r="D766" s="32"/>
    </row>
    <row r="767">
      <c r="D767" s="32"/>
    </row>
    <row r="768">
      <c r="D768" s="32"/>
    </row>
    <row r="769">
      <c r="D769" s="32"/>
    </row>
    <row r="770">
      <c r="D770" s="32"/>
    </row>
    <row r="771">
      <c r="D771" s="32"/>
    </row>
    <row r="772">
      <c r="D772" s="32"/>
    </row>
    <row r="773">
      <c r="D773" s="32"/>
    </row>
    <row r="774">
      <c r="D774" s="32"/>
    </row>
    <row r="775">
      <c r="D775" s="32"/>
    </row>
    <row r="776">
      <c r="D776" s="32"/>
    </row>
    <row r="777">
      <c r="D777" s="32"/>
    </row>
    <row r="778">
      <c r="D778" s="32"/>
    </row>
    <row r="779">
      <c r="D779" s="32"/>
    </row>
    <row r="780">
      <c r="D780" s="32"/>
    </row>
    <row r="781">
      <c r="D781" s="32"/>
    </row>
    <row r="782">
      <c r="D782" s="32"/>
    </row>
    <row r="783">
      <c r="D783" s="32"/>
    </row>
    <row r="784">
      <c r="D784" s="32"/>
    </row>
    <row r="785">
      <c r="D785" s="32"/>
    </row>
    <row r="786">
      <c r="D786" s="32"/>
    </row>
    <row r="787">
      <c r="D787" s="32"/>
    </row>
    <row r="788">
      <c r="D788" s="32"/>
    </row>
    <row r="789">
      <c r="D789" s="32"/>
    </row>
    <row r="790">
      <c r="D790" s="32"/>
    </row>
    <row r="791">
      <c r="D791" s="32"/>
    </row>
    <row r="792">
      <c r="D792" s="32"/>
    </row>
    <row r="793">
      <c r="D793" s="32"/>
    </row>
    <row r="794">
      <c r="D794" s="32"/>
    </row>
    <row r="795">
      <c r="D795" s="32"/>
    </row>
    <row r="796">
      <c r="D796" s="32"/>
    </row>
    <row r="797">
      <c r="D797" s="32"/>
    </row>
    <row r="798">
      <c r="D798" s="32"/>
    </row>
    <row r="799">
      <c r="D799" s="32"/>
    </row>
    <row r="800">
      <c r="D800" s="32"/>
    </row>
    <row r="801">
      <c r="D801" s="32"/>
    </row>
    <row r="802">
      <c r="D802" s="32"/>
    </row>
    <row r="803">
      <c r="D803" s="32"/>
    </row>
    <row r="804">
      <c r="D804" s="32"/>
    </row>
    <row r="805">
      <c r="D805" s="32"/>
    </row>
    <row r="806">
      <c r="D806" s="32"/>
    </row>
    <row r="807">
      <c r="D807" s="32"/>
    </row>
    <row r="808">
      <c r="D808" s="32"/>
    </row>
    <row r="809">
      <c r="D809" s="32"/>
    </row>
    <row r="810">
      <c r="D810" s="32"/>
    </row>
    <row r="811">
      <c r="D811" s="32"/>
    </row>
    <row r="812">
      <c r="D812" s="32"/>
    </row>
    <row r="813">
      <c r="D813" s="32"/>
    </row>
    <row r="814">
      <c r="D814" s="32"/>
    </row>
    <row r="815">
      <c r="D815" s="32"/>
    </row>
    <row r="816">
      <c r="D816" s="32"/>
    </row>
    <row r="817">
      <c r="D817" s="32"/>
    </row>
    <row r="818">
      <c r="D818" s="32"/>
    </row>
    <row r="819">
      <c r="D819" s="32"/>
    </row>
    <row r="820">
      <c r="D820" s="32"/>
    </row>
    <row r="821">
      <c r="D821" s="32"/>
    </row>
    <row r="822">
      <c r="D822" s="32"/>
    </row>
    <row r="823">
      <c r="D823" s="32"/>
    </row>
    <row r="824">
      <c r="D824" s="32"/>
    </row>
    <row r="825">
      <c r="D825" s="32"/>
    </row>
    <row r="826">
      <c r="D826" s="32"/>
    </row>
    <row r="827">
      <c r="D827" s="32"/>
    </row>
    <row r="828">
      <c r="D828" s="32"/>
    </row>
    <row r="829">
      <c r="D829" s="32"/>
    </row>
    <row r="830">
      <c r="D830" s="32"/>
    </row>
    <row r="831">
      <c r="D831" s="32"/>
    </row>
    <row r="832">
      <c r="D832" s="32"/>
    </row>
    <row r="833">
      <c r="D833" s="32"/>
    </row>
    <row r="834">
      <c r="D834" s="32"/>
    </row>
    <row r="835">
      <c r="D835" s="32"/>
    </row>
    <row r="836">
      <c r="D836" s="32"/>
    </row>
    <row r="837">
      <c r="D837" s="32"/>
    </row>
    <row r="838">
      <c r="D838" s="32"/>
    </row>
    <row r="839">
      <c r="D839" s="32"/>
    </row>
    <row r="840">
      <c r="D840" s="32"/>
    </row>
    <row r="841">
      <c r="D841" s="32"/>
    </row>
    <row r="842">
      <c r="D842" s="32"/>
    </row>
    <row r="843">
      <c r="D843" s="32"/>
    </row>
    <row r="844">
      <c r="D844" s="32"/>
    </row>
    <row r="845">
      <c r="D845" s="32"/>
    </row>
    <row r="846">
      <c r="D846" s="32"/>
    </row>
    <row r="847">
      <c r="D847" s="32"/>
    </row>
    <row r="848">
      <c r="D848" s="32"/>
    </row>
    <row r="849">
      <c r="D849" s="32"/>
    </row>
    <row r="850">
      <c r="D850" s="32"/>
    </row>
    <row r="851">
      <c r="D851" s="32"/>
    </row>
    <row r="852">
      <c r="D852" s="32"/>
    </row>
    <row r="853">
      <c r="D853" s="32"/>
    </row>
    <row r="854">
      <c r="D854" s="32"/>
    </row>
    <row r="855">
      <c r="D855" s="32"/>
    </row>
    <row r="856">
      <c r="D856" s="32"/>
    </row>
    <row r="857">
      <c r="D857" s="32"/>
    </row>
    <row r="858">
      <c r="D858" s="32"/>
    </row>
    <row r="859">
      <c r="D859" s="32"/>
    </row>
    <row r="860">
      <c r="D860" s="32"/>
    </row>
    <row r="861">
      <c r="D861" s="32"/>
    </row>
    <row r="862">
      <c r="D862" s="32"/>
    </row>
    <row r="863">
      <c r="D863" s="32"/>
    </row>
    <row r="864">
      <c r="D864" s="32"/>
    </row>
    <row r="865">
      <c r="D865" s="32"/>
    </row>
    <row r="866">
      <c r="D866" s="32"/>
    </row>
    <row r="867">
      <c r="D867" s="32"/>
    </row>
    <row r="868">
      <c r="D868" s="32"/>
    </row>
    <row r="869">
      <c r="D869" s="32"/>
    </row>
    <row r="870">
      <c r="D870" s="32"/>
    </row>
    <row r="871">
      <c r="D871" s="32"/>
    </row>
    <row r="872">
      <c r="D872" s="32"/>
    </row>
    <row r="873">
      <c r="D873" s="32"/>
    </row>
    <row r="874">
      <c r="D874" s="32"/>
    </row>
    <row r="875">
      <c r="D875" s="32"/>
    </row>
    <row r="876">
      <c r="D876" s="32"/>
    </row>
    <row r="877">
      <c r="D877" s="32"/>
    </row>
    <row r="878">
      <c r="D878" s="32"/>
    </row>
    <row r="879">
      <c r="D879" s="32"/>
    </row>
    <row r="880">
      <c r="D880" s="32"/>
    </row>
    <row r="881">
      <c r="D881" s="32"/>
    </row>
    <row r="882">
      <c r="D882" s="32"/>
    </row>
    <row r="883">
      <c r="D883" s="32"/>
    </row>
    <row r="884">
      <c r="D884" s="32"/>
    </row>
    <row r="885">
      <c r="D885" s="32"/>
    </row>
    <row r="886">
      <c r="D886" s="32"/>
    </row>
    <row r="887">
      <c r="D887" s="32"/>
    </row>
    <row r="888">
      <c r="D888" s="32"/>
    </row>
    <row r="889">
      <c r="D889" s="32"/>
    </row>
    <row r="890">
      <c r="D890" s="32"/>
    </row>
    <row r="891">
      <c r="D891" s="32"/>
    </row>
    <row r="892">
      <c r="D892" s="32"/>
    </row>
    <row r="893">
      <c r="D893" s="32"/>
    </row>
    <row r="894">
      <c r="D894" s="32"/>
    </row>
    <row r="895">
      <c r="D895" s="32"/>
    </row>
    <row r="896">
      <c r="D896" s="32"/>
    </row>
    <row r="897">
      <c r="D897" s="32"/>
    </row>
    <row r="898">
      <c r="D898" s="32"/>
    </row>
    <row r="899">
      <c r="D899" s="32"/>
    </row>
    <row r="900">
      <c r="D900" s="32"/>
    </row>
    <row r="901">
      <c r="D901" s="32"/>
    </row>
    <row r="902">
      <c r="D902" s="32"/>
    </row>
    <row r="903">
      <c r="D903" s="32"/>
    </row>
    <row r="904">
      <c r="D904" s="32"/>
    </row>
    <row r="905">
      <c r="D905" s="32"/>
    </row>
    <row r="906">
      <c r="D906" s="32"/>
    </row>
    <row r="907">
      <c r="D907" s="32"/>
    </row>
    <row r="908">
      <c r="D908" s="32"/>
    </row>
    <row r="909">
      <c r="D909" s="32"/>
    </row>
    <row r="910">
      <c r="D910" s="32"/>
    </row>
    <row r="911">
      <c r="D911" s="32"/>
    </row>
    <row r="912">
      <c r="D912" s="32"/>
    </row>
    <row r="913">
      <c r="D913" s="32"/>
    </row>
    <row r="914">
      <c r="D914" s="32"/>
    </row>
    <row r="915">
      <c r="D915" s="32"/>
    </row>
    <row r="916">
      <c r="D916" s="32"/>
    </row>
    <row r="917">
      <c r="D917" s="32"/>
    </row>
    <row r="918">
      <c r="D918" s="32"/>
    </row>
    <row r="919">
      <c r="D919" s="32"/>
    </row>
    <row r="920">
      <c r="D920" s="32"/>
    </row>
    <row r="921">
      <c r="D921" s="32"/>
    </row>
    <row r="922">
      <c r="D922" s="32"/>
    </row>
    <row r="923">
      <c r="D923" s="32"/>
    </row>
    <row r="924">
      <c r="D924" s="32"/>
    </row>
    <row r="925">
      <c r="D925" s="32"/>
    </row>
    <row r="926">
      <c r="D926" s="32"/>
    </row>
    <row r="927">
      <c r="D927" s="32"/>
    </row>
    <row r="928">
      <c r="D928" s="32"/>
    </row>
    <row r="929">
      <c r="D929" s="32"/>
    </row>
    <row r="930">
      <c r="D930" s="32"/>
    </row>
    <row r="931">
      <c r="D931" s="32"/>
    </row>
    <row r="932">
      <c r="D932" s="32"/>
    </row>
    <row r="933">
      <c r="D933" s="32"/>
    </row>
    <row r="934">
      <c r="D934" s="32"/>
    </row>
    <row r="935">
      <c r="D935" s="32"/>
    </row>
    <row r="936">
      <c r="D936" s="32"/>
    </row>
    <row r="937">
      <c r="D937" s="32"/>
    </row>
    <row r="938">
      <c r="D938" s="32"/>
    </row>
    <row r="939">
      <c r="D939" s="32"/>
    </row>
    <row r="940">
      <c r="D940" s="32"/>
    </row>
    <row r="941">
      <c r="D941" s="32"/>
    </row>
    <row r="942">
      <c r="D942" s="32"/>
    </row>
    <row r="943">
      <c r="D943" s="32"/>
    </row>
    <row r="944">
      <c r="D944" s="32"/>
    </row>
    <row r="945">
      <c r="D945" s="32"/>
    </row>
    <row r="946">
      <c r="D946" s="32"/>
    </row>
    <row r="947">
      <c r="D947" s="32"/>
    </row>
    <row r="948">
      <c r="D948" s="32"/>
    </row>
    <row r="949">
      <c r="D949" s="32"/>
    </row>
    <row r="950">
      <c r="D950" s="32"/>
    </row>
    <row r="951">
      <c r="D951" s="32"/>
    </row>
    <row r="952">
      <c r="D952" s="32"/>
    </row>
    <row r="953">
      <c r="D953" s="32"/>
    </row>
    <row r="954">
      <c r="D954" s="32"/>
    </row>
    <row r="955">
      <c r="D955" s="32"/>
    </row>
    <row r="956">
      <c r="D956" s="32"/>
    </row>
    <row r="957">
      <c r="D957" s="32"/>
    </row>
    <row r="958">
      <c r="D958" s="32"/>
    </row>
    <row r="959">
      <c r="D959" s="32"/>
    </row>
    <row r="960">
      <c r="D960" s="32"/>
    </row>
    <row r="961">
      <c r="D961" s="32"/>
    </row>
    <row r="962">
      <c r="D962" s="32"/>
    </row>
    <row r="963">
      <c r="D963" s="32"/>
    </row>
    <row r="964">
      <c r="D964" s="32"/>
    </row>
    <row r="965">
      <c r="D965" s="32"/>
    </row>
    <row r="966">
      <c r="D966" s="32"/>
    </row>
    <row r="967">
      <c r="D967" s="32"/>
    </row>
    <row r="968">
      <c r="D968" s="32"/>
    </row>
    <row r="969">
      <c r="D969" s="32"/>
    </row>
    <row r="970">
      <c r="D970" s="32"/>
    </row>
    <row r="971">
      <c r="D971" s="32"/>
    </row>
    <row r="972">
      <c r="D972" s="32"/>
    </row>
    <row r="973">
      <c r="D973" s="32"/>
    </row>
    <row r="974">
      <c r="D974" s="32"/>
    </row>
    <row r="975">
      <c r="D975" s="32"/>
    </row>
    <row r="976">
      <c r="D976" s="32"/>
    </row>
    <row r="977">
      <c r="D977" s="32"/>
    </row>
    <row r="978">
      <c r="D978" s="32"/>
    </row>
    <row r="979">
      <c r="D979" s="32"/>
    </row>
    <row r="980">
      <c r="D980" s="32"/>
    </row>
    <row r="981">
      <c r="D981" s="32"/>
    </row>
    <row r="982">
      <c r="D982" s="32"/>
    </row>
    <row r="983">
      <c r="D983" s="32"/>
    </row>
    <row r="984">
      <c r="D984" s="32"/>
    </row>
    <row r="985">
      <c r="D985" s="32"/>
    </row>
    <row r="986">
      <c r="D986" s="32"/>
    </row>
    <row r="987">
      <c r="D987" s="32"/>
    </row>
    <row r="988">
      <c r="D988" s="32"/>
    </row>
    <row r="989">
      <c r="D989" s="32"/>
    </row>
    <row r="990">
      <c r="D990" s="32"/>
    </row>
    <row r="991">
      <c r="D991" s="32"/>
    </row>
    <row r="992">
      <c r="D992" s="32"/>
    </row>
    <row r="993">
      <c r="D993" s="32"/>
    </row>
    <row r="994">
      <c r="D994" s="32"/>
    </row>
    <row r="995">
      <c r="D995" s="32"/>
    </row>
    <row r="996">
      <c r="D996" s="32"/>
    </row>
    <row r="997">
      <c r="D997" s="32"/>
    </row>
    <row r="998">
      <c r="D998" s="32"/>
    </row>
    <row r="999">
      <c r="D999" s="32"/>
    </row>
    <row r="1000">
      <c r="D1000" s="32"/>
    </row>
  </sheetData>
  <dataValidations>
    <dataValidation type="list" allowBlank="1" sqref="C2:C101">
      <formula1>"high,medium,low"</formula1>
    </dataValidation>
    <dataValidation type="list" allowBlank="1" showInputMessage="1" prompt="Do entry_1 and entry_2 refer to the same or different software?" sqref="B2:B101">
      <formula1>"same,different,unclear"</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2025-04-03T13:56:23Z</dcterms:created>
  <dc:creator>openpyxl</dc:creator>
</cp:coreProperties>
</file>