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perkolator/app/lib/"/>
    </mc:Choice>
  </mc:AlternateContent>
  <bookViews>
    <workbookView xWindow="0" yWindow="-28360" windowWidth="47980" windowHeight="28360" tabRatio="500" activeTab="1"/>
  </bookViews>
  <sheets>
    <sheet name="Equity Valuation" sheetId="2" r:id="rId1"/>
    <sheet name="Drivers" sheetId="1" r:id="rId2"/>
  </sheets>
  <externalReferences>
    <externalReference r:id="rId3"/>
    <externalReference r:id="rId4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64" i="1" l="1"/>
  <c r="I82" i="1"/>
  <c r="X29" i="1"/>
  <c r="AB28" i="1"/>
  <c r="X30" i="1"/>
  <c r="AB30" i="1"/>
  <c r="AB31" i="1"/>
  <c r="AB29" i="1"/>
  <c r="W28" i="1"/>
  <c r="X28" i="1"/>
  <c r="Y28" i="1"/>
  <c r="W31" i="1"/>
  <c r="X31" i="1"/>
  <c r="Y31" i="1"/>
  <c r="Y30" i="1"/>
  <c r="W29" i="1"/>
  <c r="Y29" i="1"/>
  <c r="W32" i="1"/>
  <c r="G35" i="1"/>
  <c r="G36" i="1"/>
  <c r="V30" i="1"/>
  <c r="Z37" i="1"/>
  <c r="Z79" i="1"/>
  <c r="V79" i="1"/>
  <c r="W79" i="1"/>
  <c r="Z65" i="1"/>
  <c r="AB65" i="1"/>
  <c r="Y43" i="1"/>
  <c r="AB43" i="1"/>
  <c r="Y44" i="1"/>
  <c r="AB44" i="1"/>
  <c r="AB45" i="1"/>
  <c r="AB46" i="1"/>
  <c r="G9" i="1"/>
  <c r="H9" i="1"/>
  <c r="K9" i="1"/>
  <c r="V73" i="1"/>
  <c r="AB73" i="1"/>
  <c r="Z64" i="1"/>
  <c r="AB64" i="1"/>
  <c r="V63" i="1"/>
  <c r="Y63" i="1"/>
  <c r="Y73" i="1"/>
  <c r="V64" i="1"/>
  <c r="Y64" i="1"/>
  <c r="V65" i="1"/>
  <c r="Y65" i="1"/>
  <c r="G65" i="1"/>
  <c r="G64" i="1"/>
  <c r="G63" i="1"/>
  <c r="O79" i="1"/>
  <c r="P79" i="1"/>
  <c r="O78" i="1"/>
  <c r="P78" i="1"/>
  <c r="O77" i="1"/>
  <c r="P77" i="1"/>
  <c r="O76" i="1"/>
  <c r="P76" i="1"/>
  <c r="O75" i="1"/>
  <c r="P75" i="1"/>
  <c r="O74" i="1"/>
  <c r="P74" i="1"/>
  <c r="O73" i="1"/>
  <c r="P73" i="1"/>
  <c r="O72" i="1"/>
  <c r="P72" i="1"/>
  <c r="O71" i="1"/>
  <c r="P71" i="1"/>
  <c r="O70" i="1"/>
  <c r="P70" i="1"/>
  <c r="O69" i="1"/>
  <c r="P69" i="1"/>
  <c r="O68" i="1"/>
  <c r="P68" i="1"/>
  <c r="O67" i="1"/>
  <c r="P67" i="1"/>
  <c r="V32" i="1"/>
  <c r="W37" i="1"/>
  <c r="L30" i="1"/>
  <c r="P30" i="1"/>
  <c r="G28" i="1"/>
  <c r="G31" i="1"/>
  <c r="Z63" i="1"/>
  <c r="AB74" i="1"/>
  <c r="AB75" i="1"/>
  <c r="AB76" i="1"/>
  <c r="AB77" i="1"/>
  <c r="AB78" i="1"/>
  <c r="AB68" i="1"/>
  <c r="AB69" i="1"/>
  <c r="AB70" i="1"/>
  <c r="AB71" i="1"/>
  <c r="AB72" i="1"/>
  <c r="AB67" i="1"/>
  <c r="AB63" i="1"/>
  <c r="Y74" i="1"/>
  <c r="Y75" i="1"/>
  <c r="Y76" i="1"/>
  <c r="Y77" i="1"/>
  <c r="Y78" i="1"/>
  <c r="Y68" i="1"/>
  <c r="Y69" i="1"/>
  <c r="Y70" i="1"/>
  <c r="Y71" i="1"/>
  <c r="Y72" i="1"/>
  <c r="Y67" i="1"/>
  <c r="G78" i="1"/>
  <c r="Z60" i="1"/>
  <c r="W56" i="1"/>
  <c r="W57" i="1"/>
  <c r="H49" i="1"/>
  <c r="W49" i="1"/>
  <c r="AB49" i="1"/>
  <c r="H51" i="1"/>
  <c r="W51" i="1"/>
  <c r="AB51" i="1"/>
  <c r="H50" i="1"/>
  <c r="W50" i="1"/>
  <c r="AB50" i="1"/>
  <c r="AB60" i="1"/>
  <c r="G11" i="1"/>
  <c r="H11" i="1"/>
  <c r="I12" i="1"/>
  <c r="X36" i="1"/>
  <c r="X35" i="1"/>
  <c r="Y51" i="1"/>
  <c r="Y49" i="1"/>
  <c r="Y50" i="1"/>
  <c r="Y60" i="1"/>
  <c r="Y45" i="1"/>
  <c r="Y46" i="1"/>
  <c r="H34" i="1"/>
  <c r="G34" i="1"/>
  <c r="I34" i="1"/>
  <c r="G22" i="1"/>
  <c r="I22" i="1"/>
  <c r="G20" i="1"/>
  <c r="I20" i="1"/>
  <c r="H23" i="1"/>
  <c r="V35" i="1"/>
  <c r="V36" i="1"/>
  <c r="G67" i="1"/>
  <c r="G75" i="1"/>
  <c r="G77" i="1"/>
  <c r="G76" i="1"/>
  <c r="G37" i="1"/>
  <c r="L36" i="1"/>
  <c r="L35" i="1"/>
  <c r="L34" i="1"/>
  <c r="X34" i="1"/>
  <c r="AA34" i="1"/>
  <c r="P34" i="1"/>
  <c r="O34" i="1"/>
  <c r="O36" i="1"/>
  <c r="O35" i="1"/>
  <c r="V82" i="1"/>
  <c r="O65" i="1"/>
  <c r="O64" i="1"/>
  <c r="O63" i="1"/>
  <c r="U62" i="1"/>
  <c r="T62" i="1"/>
  <c r="S62" i="1"/>
  <c r="U64" i="1"/>
  <c r="U48" i="1"/>
  <c r="T64" i="1"/>
  <c r="T48" i="1"/>
  <c r="S64" i="1"/>
  <c r="S48" i="1"/>
  <c r="O51" i="1"/>
  <c r="U51" i="1"/>
  <c r="U42" i="1"/>
  <c r="T51" i="1"/>
  <c r="T42" i="1"/>
  <c r="S51" i="1"/>
  <c r="S42" i="1"/>
  <c r="V60" i="1"/>
  <c r="G51" i="1"/>
  <c r="I51" i="1"/>
  <c r="G50" i="1"/>
  <c r="I50" i="1"/>
  <c r="G49" i="1"/>
  <c r="I49" i="1"/>
  <c r="I60" i="1"/>
  <c r="G60" i="1"/>
  <c r="P46" i="1"/>
  <c r="N46" i="1"/>
  <c r="O50" i="1"/>
  <c r="O49" i="1"/>
  <c r="G45" i="1"/>
  <c r="I45" i="1"/>
  <c r="G43" i="1"/>
  <c r="I43" i="1"/>
  <c r="G44" i="1"/>
  <c r="I44" i="1"/>
  <c r="I46" i="1"/>
  <c r="G46" i="1"/>
  <c r="O45" i="1"/>
  <c r="O44" i="1"/>
  <c r="O43" i="1"/>
  <c r="O31" i="1"/>
  <c r="O28" i="1"/>
  <c r="L31" i="1"/>
  <c r="L29" i="1"/>
  <c r="I65" i="1"/>
  <c r="I63" i="1"/>
  <c r="Y54" i="1"/>
  <c r="Y53" i="1"/>
  <c r="AB53" i="1"/>
  <c r="AB54" i="1"/>
  <c r="L28" i="1"/>
  <c r="K16" i="1"/>
  <c r="K11" i="1"/>
  <c r="K22" i="1"/>
  <c r="K20" i="1"/>
  <c r="O53" i="1"/>
  <c r="G53" i="1"/>
  <c r="G54" i="1"/>
  <c r="O54" i="1"/>
  <c r="P28" i="1"/>
  <c r="P31" i="1"/>
  <c r="P29" i="1"/>
  <c r="P51" i="1"/>
  <c r="P50" i="1"/>
  <c r="P49" i="1"/>
  <c r="G57" i="1"/>
  <c r="G55" i="1"/>
  <c r="U31" i="1"/>
  <c r="T31" i="1"/>
  <c r="S31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44" i="1"/>
  <c r="U26" i="1"/>
  <c r="S44" i="1"/>
  <c r="S26" i="1"/>
  <c r="T44" i="1"/>
  <c r="T26" i="1"/>
  <c r="G56" i="1"/>
  <c r="G58" i="1"/>
  <c r="I5" i="1"/>
  <c r="K5" i="1"/>
  <c r="G29" i="1"/>
  <c r="O29" i="1"/>
  <c r="G30" i="1"/>
  <c r="O30" i="1"/>
  <c r="G32" i="1"/>
  <c r="Y32" i="1"/>
  <c r="AB32" i="1"/>
  <c r="G6" i="1"/>
  <c r="G10" i="1"/>
  <c r="H10" i="1"/>
  <c r="K10" i="1"/>
  <c r="H12" i="1"/>
  <c r="K12" i="1"/>
  <c r="G17" i="1"/>
  <c r="G21" i="1"/>
  <c r="I21" i="1"/>
  <c r="K21" i="1"/>
  <c r="I23" i="1"/>
  <c r="K23" i="1"/>
  <c r="H28" i="1"/>
  <c r="I28" i="1"/>
  <c r="H29" i="1"/>
  <c r="I29" i="1"/>
  <c r="H30" i="1"/>
  <c r="I30" i="1"/>
  <c r="H31" i="1"/>
  <c r="I31" i="1"/>
  <c r="I32" i="1"/>
  <c r="Y34" i="1"/>
  <c r="AB34" i="1"/>
  <c r="H35" i="1"/>
  <c r="I35" i="1"/>
  <c r="Y35" i="1"/>
  <c r="AB35" i="1"/>
  <c r="H36" i="1"/>
  <c r="I36" i="1"/>
  <c r="Y36" i="1"/>
  <c r="AB36" i="1"/>
  <c r="H37" i="1"/>
  <c r="I37" i="1"/>
  <c r="Y37" i="1"/>
  <c r="AB37" i="1"/>
  <c r="G79" i="1"/>
  <c r="Y79" i="1"/>
  <c r="AB79" i="1"/>
  <c r="Y82" i="1"/>
  <c r="AB82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<sst xmlns="http://schemas.openxmlformats.org/spreadsheetml/2006/main" count="258" uniqueCount="150">
  <si>
    <t>Salary</t>
  </si>
  <si>
    <t>options</t>
  </si>
  <si>
    <t>RSUs</t>
  </si>
  <si>
    <t>Maternity/Paternity</t>
  </si>
  <si>
    <t xml:space="preserve">Health insurance </t>
  </si>
  <si>
    <t>WEIGHTED/RISK ADJUSTED</t>
  </si>
  <si>
    <t>Fitness</t>
  </si>
  <si>
    <t>Commuter Subsidy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</si>
  <si>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</si>
  <si>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</si>
  <si>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</si>
  <si>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</si>
  <si>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</si>
  <si>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</si>
  <si>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</si>
  <si>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</si>
  <si>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</si>
  <si>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</si>
  <si>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</si>
  <si>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</si>
  <si>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</si>
  <si>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</si>
  <si>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</si>
  <si>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</si>
  <si>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</si>
  <si>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</si>
  <si>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</si>
  <si>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</si>
  <si>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</si>
  <si>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</si>
  <si>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</si>
  <si>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</si>
  <si>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</si>
  <si>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</si>
  <si>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</si>
  <si>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</si>
  <si>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</si>
  <si>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</si>
  <si>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</si>
  <si>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</si>
  <si>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</si>
  <si>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</si>
  <si>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</si>
  <si>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</si>
  <si>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</si>
  <si>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</si>
  <si>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</si>
  <si>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</si>
  <si>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</si>
  <si>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</si>
  <si>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</si>
  <si>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</si>
  <si>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</si>
  <si>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</si>
  <si>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</si>
  <si>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</si>
  <si>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</si>
  <si>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</si>
  <si>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</si>
  <si>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</si>
  <si>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</si>
  <si>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</si>
  <si>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</si>
  <si>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</si>
  <si>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</si>
  <si>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</si>
  <si>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</si>
  <si>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</si>
  <si>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</si>
  <si>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</si>
  <si>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</si>
  <si>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</si>
  <si>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</si>
  <si>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</si>
  <si>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</si>
  <si>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</si>
  <si>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</si>
  <si>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</si>
  <si>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</si>
  <si>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</si>
  <si>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</si>
  <si>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</si>
  <si>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</si>
  <si>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</si>
  <si>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</si>
  <si>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</si>
  <si>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</si>
  <si>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</si>
  <si>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</si>
  <si>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</si>
  <si>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</si>
  <si>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</si>
  <si>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</si>
  <si>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</si>
  <si>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</si>
  <si>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</si>
  <si>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</si>
  <si>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</si>
  <si>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</si>
  <si>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</si>
  <si>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</si>
  <si>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</si>
  <si>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rewards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</si>
  <si>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</si>
  <si>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</si>
  <si>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</si>
  <si>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</si>
  <si>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</si>
  <si>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</si>
  <si>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</si>
  <si>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</si>
  <si>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</si>
  <si>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</si>
  <si>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</si>
  <si>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</si>
  <si>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</si>
  <si>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</si>
  <si>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</si>
  <si>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</si>
  <si>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</si>
  <si>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</si>
  <si>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</si>
  <si>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</si>
  <si>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</si>
  <si>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</si>
  <si>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</si>
  <si>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</si>
  <si>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postFxAmount</t>
  </si>
  <si>
    <t>preFxAmount</t>
  </si>
  <si>
    <t>baseMultiple</t>
  </si>
  <si>
    <t>`</t>
  </si>
  <si>
    <t>stipends</t>
  </si>
  <si>
    <t>Hours worked per week</t>
  </si>
  <si>
    <t>Paid Time Off (PTO)</t>
  </si>
  <si>
    <t>Cell phone subsidy</t>
  </si>
  <si>
    <t>Fitness subsidy</t>
  </si>
  <si>
    <t>Commuter subsidy</t>
  </si>
  <si>
    <t>health savings account</t>
  </si>
  <si>
    <t>misc contract signing incentives</t>
  </si>
  <si>
    <t>misc intervalBased stipends</t>
  </si>
  <si>
    <t>market value of PTO</t>
  </si>
  <si>
    <t>401k matching employer contribution</t>
  </si>
  <si>
    <t>misc stipends &amp; subsidies</t>
  </si>
  <si>
    <t>non-value generating overhead</t>
  </si>
  <si>
    <t xml:space="preserve">direct value contribution time allocation </t>
  </si>
  <si>
    <t>totalWorkingHours</t>
  </si>
  <si>
    <t>TIME</t>
  </si>
  <si>
    <t>CASH</t>
  </si>
  <si>
    <t>EQUITY</t>
  </si>
  <si>
    <t>PERKS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</si>
</sst>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3" formatCode="&quot;$&quot;#,##0;[Red]\-&quot;$&quot;#,##0"/>
    <numFmt numFmtId="174" formatCode="&quot;$&quot;#,##0.0;[Red]\-&quot;$&quot;#,##0.0"/>
    <numFmt numFmtId="175" formatCode="&quot;$&quot;#,##0.00;[Red]\-&quot;$&quot;#,##0.00"/>
    <numFmt numFmtId="176" formatCode="#,##0_ ;\-#,##0\ "/>
    <numFmt numFmtId="177" formatCode="&quot;$&quot;#,##0.00"/>
    <numFmt numFmtId="180" formatCode="&quot;$&quot;#,###\ &quot;/interval&quot;"/>
    <numFmt numFmtId="181" formatCode="&quot;$&quot;#,##0"/>
    <numFmt numFmtId="184" formatCode="#,##0\ &quot;units&quot;"/>
    <numFmt numFmtId="188" formatCode="#,###&quot; units/yr&quot;"/>
    <numFmt numFmtId="192" formatCode="#,##0\ &quot; hrs&quot;"/>
    <numFmt numFmtId="206" formatCode="&quot;$&quot;#,##0.00_)&quot;/ hr&quot;;[Red]\(&quot;$&quot;#,##0.00\)\ &quot;/ hr&quot;"/>
    <numFmt numFmtId="207" formatCode="#,##0_);[Red]\(#,##0\)\ &quot;hours&quot;"/>
    <numFmt numFmtId="208" formatCode="#,##0\ &quot;hrs&quot;"/>
    <numFmt numFmtId="209" formatCode="#,##0_);[Red]\(#,##0\)\ &quot;hrs&quot;"/>
    <numFmt numFmtId="211" formatCode="#,##0_)\ &quot;hrs&quot;;[Red]\(#,##0\)\ &quot;hrs&quot;"/>
    <numFmt numFmtId="215" formatCode="&quot;$&quot;#,##0.00_)&quot;/unit avg&quot;;[Red]\(&quot;$&quot;#,##0.00\)&quot;/unit avg&quot;"/>
    <numFmt numFmtId="217" formatCode="&quot;$&quot;#,###&quot;   (FMV)&quot;"/>
    <numFmt numFmtId="219" formatCode="#0\ &quot;hrs/wk&quot;"/>
    <numFmt numFmtId="221" formatCode="#,##0\ &quot;hrs/year&quot;"/>
    <numFmt numFmtId="224" formatCode="&quot;$&quot;#,##0.00\)&quot;/hr PTO&quot;;[Red]\(&quot;$&quot;#,##0.00\)&quot;/hr  PTO&quot;"/>
    <numFmt numFmtId="225" formatCode="#0\ &quot;out of 52 wks worked/yr&quot;"/>
    <numFmt numFmtId="230" formatCode="&quot;$&quot;#,##0_)&quot;salary fully annualized&quot;"/>
    <numFmt numFmtId="231" formatCode="&quot;$&quot;##,##0&quot;/mo&quot;"/>
    <numFmt numFmtId="233" formatCode="&quot;weighted avg:&quot;\ &quot;$&quot;#,##0.00&quot;/hr&quot;;[Red]&quot;weighted avg: &quot;\(&quot;$&quot;#,##0.00\)&quot;/hr&quot;"/>
    <numFmt numFmtId="235" formatCode="#0\ &quot;wks/yr&quot;"/>
    <numFmt numFmtId="236" formatCode="&quot;FMV: &quot;&quot;$&quot;#,##0&quot;/yr&quot;"/>
    <numFmt numFmtId="237" formatCode="#,##0\ &quot;gross annual hrs&quot;"/>
    <numFmt numFmtId="239" formatCode="#0.0\ &quot;hrs/wk&quot;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6">
    <xf numFmtId="0" fontId="0" fillId="0" borderId="0" xfId="0"/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3" fontId="5" fillId="5" borderId="0" xfId="0" applyNumberFormat="1" applyFont="1" applyFill="1" applyBorder="1" applyAlignment="1"/>
    <xf numFmtId="174" fontId="5" fillId="0" borderId="0" xfId="0" applyNumberFormat="1" applyFont="1" applyAlignment="1"/>
    <xf numFmtId="173" fontId="5" fillId="0" borderId="0" xfId="0" applyNumberFormat="1" applyFont="1" applyAlignment="1"/>
    <xf numFmtId="175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3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3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6" fontId="5" fillId="0" borderId="0" xfId="0" applyNumberFormat="1" applyFont="1" applyAlignment="1"/>
    <xf numFmtId="177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3" fontId="10" fillId="0" borderId="1" xfId="0" applyNumberFormat="1" applyFont="1" applyBorder="1" applyAlignment="1">
      <alignment horizontal="left"/>
    </xf>
    <xf numFmtId="177" fontId="6" fillId="0" borderId="0" xfId="0" applyNumberFormat="1" applyFont="1" applyAlignment="1"/>
    <xf numFmtId="0" fontId="7" fillId="0" borderId="3" xfId="0" applyFont="1" applyBorder="1"/>
    <xf numFmtId="173" fontId="10" fillId="0" borderId="0" xfId="0" applyNumberFormat="1" applyFont="1" applyAlignment="1">
      <alignment horizontal="left"/>
    </xf>
    <xf numFmtId="0" fontId="17" fillId="0" borderId="0" xfId="0" applyFont="1"/>
    <xf numFmtId="177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3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22" fillId="0" borderId="0" xfId="0" applyFont="1" applyBorder="1"/>
    <xf numFmtId="164" fontId="20" fillId="0" borderId="0" xfId="2" applyNumberFormat="1" applyFont="1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6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6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16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0" fillId="0" borderId="0" xfId="0" applyFont="1" applyFill="1"/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13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30" fillId="13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10" borderId="0" xfId="0" applyFont="1" applyFill="1" applyBorder="1" applyAlignment="1">
      <alignment horizontal="center"/>
    </xf>
    <xf numFmtId="170" fontId="30" fillId="14" borderId="0" xfId="3" applyNumberFormat="1" applyFont="1" applyFill="1" applyBorder="1" applyAlignment="1">
      <alignment horizontal="center"/>
    </xf>
    <xf numFmtId="180" fontId="31" fillId="11" borderId="0" xfId="3" applyNumberFormat="1" applyFont="1" applyFill="1" applyBorder="1" applyAlignment="1">
      <alignment horizontal="center"/>
    </xf>
    <xf numFmtId="0" fontId="30" fillId="15" borderId="0" xfId="0" applyFont="1" applyFill="1" applyBorder="1" applyAlignment="1">
      <alignment horizontal="center"/>
    </xf>
    <xf numFmtId="180" fontId="31" fillId="15" borderId="0" xfId="3" applyNumberFormat="1" applyFont="1" applyFill="1" applyBorder="1" applyAlignment="1">
      <alignment horizontal="center"/>
    </xf>
    <xf numFmtId="181" fontId="30" fillId="15" borderId="0" xfId="2" applyNumberFormat="1" applyFont="1" applyFill="1" applyBorder="1" applyAlignment="1">
      <alignment horizontal="center"/>
    </xf>
    <xf numFmtId="181" fontId="30" fillId="15" borderId="0" xfId="3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" fontId="30" fillId="13" borderId="0" xfId="0" applyNumberFormat="1" applyFont="1" applyFill="1" applyBorder="1" applyAlignment="1">
      <alignment horizontal="center"/>
    </xf>
    <xf numFmtId="3" fontId="30" fillId="14" borderId="0" xfId="0" applyNumberFormat="1" applyFont="1" applyFill="1" applyBorder="1" applyAlignment="1">
      <alignment horizontal="center"/>
    </xf>
    <xf numFmtId="3" fontId="30" fillId="15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5" fillId="15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7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2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8" fillId="13" borderId="0" xfId="0" applyFont="1" applyFill="1" applyBorder="1" applyAlignment="1">
      <alignment horizontal="center" vertical="center"/>
    </xf>
    <xf numFmtId="206" fontId="0" fillId="0" borderId="0" xfId="0" applyNumberFormat="1" applyFont="1" applyFill="1" applyBorder="1" applyAlignment="1">
      <alignment horizontal="center"/>
    </xf>
    <xf numFmtId="207" fontId="0" fillId="0" borderId="0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8" fillId="3" borderId="0" xfId="0" applyFont="1" applyFill="1" applyBorder="1" applyAlignment="1">
      <alignment horizontal="center"/>
    </xf>
    <xf numFmtId="0" fontId="39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208" fontId="0" fillId="0" borderId="0" xfId="0" applyNumberFormat="1" applyFont="1" applyFill="1" applyBorder="1" applyAlignment="1">
      <alignment horizontal="center"/>
    </xf>
    <xf numFmtId="0" fontId="42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209" fontId="0" fillId="0" borderId="0" xfId="0" applyNumberFormat="1" applyFont="1" applyFill="1" applyBorder="1" applyAlignment="1">
      <alignment horizontal="center"/>
    </xf>
    <xf numFmtId="206" fontId="37" fillId="0" borderId="0" xfId="0" applyNumberFormat="1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2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/>
    </xf>
    <xf numFmtId="211" fontId="0" fillId="0" borderId="0" xfId="2" applyNumberFormat="1" applyFont="1" applyFill="1" applyBorder="1" applyAlignment="1">
      <alignment horizontal="center"/>
    </xf>
    <xf numFmtId="209" fontId="0" fillId="0" borderId="0" xfId="2" applyNumberFormat="1" applyFont="1" applyFill="1" applyBorder="1" applyAlignment="1">
      <alignment horizontal="center"/>
    </xf>
    <xf numFmtId="206" fontId="35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165" fontId="32" fillId="12" borderId="0" xfId="1" applyNumberFormat="1" applyFont="1" applyFill="1" applyBorder="1" applyAlignment="1">
      <alignment horizontal="center"/>
    </xf>
    <xf numFmtId="3" fontId="30" fillId="17" borderId="0" xfId="1" applyNumberFormat="1" applyFont="1" applyFill="1" applyBorder="1" applyAlignment="1">
      <alignment horizontal="center"/>
    </xf>
    <xf numFmtId="165" fontId="30" fillId="17" borderId="0" xfId="1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4" fontId="30" fillId="2" borderId="0" xfId="2" applyNumberFormat="1" applyFont="1" applyFill="1" applyBorder="1"/>
    <xf numFmtId="164" fontId="30" fillId="2" borderId="0" xfId="0" applyNumberFormat="1" applyFont="1" applyFill="1" applyBorder="1"/>
    <xf numFmtId="3" fontId="32" fillId="12" borderId="0" xfId="1" applyNumberFormat="1" applyFont="1" applyFill="1" applyBorder="1" applyAlignment="1">
      <alignment horizontal="center" vertical="center"/>
    </xf>
    <xf numFmtId="3" fontId="32" fillId="12" borderId="0" xfId="1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164" fontId="30" fillId="15" borderId="0" xfId="2" applyNumberFormat="1" applyFont="1" applyFill="1" applyBorder="1"/>
    <xf numFmtId="164" fontId="30" fillId="15" borderId="0" xfId="0" applyNumberFormat="1" applyFont="1" applyFill="1" applyBorder="1"/>
    <xf numFmtId="165" fontId="32" fillId="15" borderId="0" xfId="1" applyNumberFormat="1" applyFont="1" applyFill="1" applyBorder="1" applyAlignment="1">
      <alignment horizontal="center"/>
    </xf>
    <xf numFmtId="3" fontId="32" fillId="15" borderId="0" xfId="1" applyNumberFormat="1" applyFont="1" applyFill="1" applyBorder="1" applyAlignment="1">
      <alignment horizontal="center" vertical="center"/>
    </xf>
    <xf numFmtId="3" fontId="32" fillId="15" borderId="0" xfId="1" applyNumberFormat="1" applyFont="1" applyFill="1" applyBorder="1" applyAlignment="1">
      <alignment horizontal="center"/>
    </xf>
    <xf numFmtId="164" fontId="32" fillId="0" borderId="0" xfId="2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30" fillId="0" borderId="0" xfId="2" applyNumberFormat="1" applyFont="1" applyFill="1" applyBorder="1"/>
    <xf numFmtId="164" fontId="30" fillId="0" borderId="0" xfId="0" applyNumberFormat="1" applyFont="1" applyFill="1" applyBorder="1"/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9" fontId="32" fillId="0" borderId="0" xfId="3" applyFont="1" applyFill="1" applyBorder="1" applyAlignment="1">
      <alignment horizontal="center"/>
    </xf>
    <xf numFmtId="3" fontId="32" fillId="0" borderId="0" xfId="3" applyNumberFormat="1" applyFont="1" applyFill="1" applyBorder="1" applyAlignment="1">
      <alignment horizontal="center"/>
    </xf>
    <xf numFmtId="0" fontId="30" fillId="20" borderId="4" xfId="0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164" fontId="30" fillId="20" borderId="4" xfId="2" applyNumberFormat="1" applyFont="1" applyFill="1" applyBorder="1" applyAlignment="1">
      <alignment horizontal="center" vertical="center" wrapText="1"/>
    </xf>
    <xf numFmtId="164" fontId="30" fillId="0" borderId="0" xfId="2" applyNumberFormat="1" applyFont="1" applyFill="1" applyBorder="1" applyAlignment="1">
      <alignment horizontal="center" vertical="center" wrapText="1"/>
    </xf>
    <xf numFmtId="3" fontId="30" fillId="20" borderId="4" xfId="0" applyNumberFormat="1" applyFont="1" applyFill="1" applyBorder="1" applyAlignment="1">
      <alignment horizontal="center" vertical="center" wrapText="1"/>
    </xf>
    <xf numFmtId="164" fontId="30" fillId="0" borderId="5" xfId="2" applyNumberFormat="1" applyFont="1" applyFill="1" applyBorder="1" applyAlignment="1">
      <alignment horizontal="center"/>
    </xf>
    <xf numFmtId="3" fontId="30" fillId="0" borderId="5" xfId="1" applyNumberFormat="1" applyFont="1" applyFill="1" applyBorder="1" applyAlignment="1">
      <alignment horizontal="center"/>
    </xf>
    <xf numFmtId="184" fontId="30" fillId="0" borderId="5" xfId="2" applyNumberFormat="1" applyFont="1" applyFill="1" applyBorder="1" applyAlignment="1">
      <alignment horizontal="center"/>
    </xf>
    <xf numFmtId="217" fontId="31" fillId="0" borderId="0" xfId="2" applyNumberFormat="1" applyFont="1" applyFill="1" applyBorder="1" applyAlignment="1">
      <alignment horizontal="center"/>
    </xf>
    <xf numFmtId="0" fontId="34" fillId="13" borderId="0" xfId="0" applyFont="1" applyFill="1" applyBorder="1" applyAlignment="1">
      <alignment vertical="center" wrapText="1"/>
    </xf>
    <xf numFmtId="217" fontId="31" fillId="0" borderId="5" xfId="2" applyNumberFormat="1" applyFont="1" applyFill="1" applyBorder="1" applyAlignment="1">
      <alignment horizontal="center"/>
    </xf>
    <xf numFmtId="0" fontId="2" fillId="13" borderId="0" xfId="0" applyFont="1" applyFill="1" applyBorder="1"/>
    <xf numFmtId="0" fontId="22" fillId="13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left"/>
    </xf>
    <xf numFmtId="0" fontId="23" fillId="13" borderId="0" xfId="0" applyFont="1" applyFill="1" applyBorder="1" applyAlignment="1">
      <alignment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2" fillId="16" borderId="0" xfId="0" applyFont="1" applyFill="1" applyBorder="1" applyAlignment="1">
      <alignment horizontal="left" vertical="center"/>
    </xf>
    <xf numFmtId="0" fontId="22" fillId="17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left"/>
    </xf>
    <xf numFmtId="0" fontId="22" fillId="4" borderId="0" xfId="0" applyFont="1" applyFill="1" applyBorder="1" applyAlignment="1">
      <alignment horizontal="left" vertical="center"/>
    </xf>
    <xf numFmtId="0" fontId="30" fillId="4" borderId="0" xfId="0" applyFont="1" applyFill="1" applyBorder="1" applyAlignment="1">
      <alignment horizontal="center"/>
    </xf>
    <xf numFmtId="165" fontId="32" fillId="4" borderId="0" xfId="1" applyNumberFormat="1" applyFont="1" applyFill="1" applyBorder="1" applyAlignment="1">
      <alignment horizontal="center"/>
    </xf>
    <xf numFmtId="165" fontId="30" fillId="4" borderId="0" xfId="1" applyNumberFormat="1" applyFont="1" applyFill="1" applyBorder="1" applyAlignment="1">
      <alignment horizontal="center"/>
    </xf>
    <xf numFmtId="3" fontId="32" fillId="4" borderId="0" xfId="1" applyNumberFormat="1" applyFont="1" applyFill="1" applyBorder="1" applyAlignment="1">
      <alignment horizontal="center" vertical="center"/>
    </xf>
    <xf numFmtId="3" fontId="32" fillId="4" borderId="0" xfId="1" applyNumberFormat="1" applyFont="1" applyFill="1" applyBorder="1" applyAlignment="1">
      <alignment horizontal="center"/>
    </xf>
    <xf numFmtId="166" fontId="0" fillId="11" borderId="4" xfId="0" applyNumberFormat="1" applyFont="1" applyFill="1" applyBorder="1" applyAlignment="1">
      <alignment horizontal="center"/>
    </xf>
    <xf numFmtId="168" fontId="0" fillId="11" borderId="4" xfId="2" applyNumberFormat="1" applyFont="1" applyFill="1" applyBorder="1" applyAlignment="1">
      <alignment horizontal="center"/>
    </xf>
    <xf numFmtId="9" fontId="0" fillId="11" borderId="4" xfId="3" applyFont="1" applyFill="1" applyBorder="1" applyAlignment="1">
      <alignment horizontal="center"/>
    </xf>
    <xf numFmtId="167" fontId="0" fillId="11" borderId="4" xfId="2" applyNumberFormat="1" applyFont="1" applyFill="1" applyBorder="1" applyAlignment="1">
      <alignment horizontal="center"/>
    </xf>
    <xf numFmtId="169" fontId="0" fillId="11" borderId="4" xfId="2" applyNumberFormat="1" applyFont="1" applyFill="1" applyBorder="1" applyAlignment="1">
      <alignment horizontal="center"/>
    </xf>
    <xf numFmtId="0" fontId="22" fillId="4" borderId="0" xfId="0" applyFont="1" applyFill="1" applyBorder="1"/>
    <xf numFmtId="219" fontId="0" fillId="11" borderId="4" xfId="0" applyNumberFormat="1" applyFont="1" applyFill="1" applyBorder="1" applyAlignment="1">
      <alignment horizontal="center"/>
    </xf>
    <xf numFmtId="225" fontId="30" fillId="10" borderId="4" xfId="2" applyNumberFormat="1" applyFont="1" applyFill="1" applyBorder="1" applyAlignment="1">
      <alignment horizontal="center"/>
    </xf>
    <xf numFmtId="224" fontId="30" fillId="10" borderId="4" xfId="2" applyNumberFormat="1" applyFont="1" applyFill="1" applyBorder="1" applyAlignment="1">
      <alignment horizontal="center"/>
    </xf>
    <xf numFmtId="165" fontId="30" fillId="11" borderId="4" xfId="1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 vertical="center"/>
    </xf>
    <xf numFmtId="219" fontId="20" fillId="12" borderId="4" xfId="0" applyNumberFormat="1" applyFont="1" applyFill="1" applyBorder="1" applyAlignment="1">
      <alignment horizontal="center"/>
    </xf>
    <xf numFmtId="166" fontId="0" fillId="13" borderId="4" xfId="0" applyNumberFormat="1" applyFont="1" applyFill="1" applyBorder="1" applyAlignment="1">
      <alignment horizontal="center"/>
    </xf>
    <xf numFmtId="10" fontId="30" fillId="11" borderId="4" xfId="3" applyNumberFormat="1" applyFont="1" applyFill="1" applyBorder="1" applyAlignment="1">
      <alignment horizontal="center"/>
    </xf>
    <xf numFmtId="3" fontId="30" fillId="14" borderId="4" xfId="0" applyNumberFormat="1" applyFont="1" applyFill="1" applyBorder="1" applyAlignment="1">
      <alignment horizontal="center"/>
    </xf>
    <xf numFmtId="166" fontId="20" fillId="12" borderId="4" xfId="0" applyNumberFormat="1" applyFont="1" applyFill="1" applyBorder="1" applyAlignment="1">
      <alignment horizontal="center"/>
    </xf>
    <xf numFmtId="192" fontId="30" fillId="4" borderId="10" xfId="3" applyNumberFormat="1" applyFont="1" applyFill="1" applyBorder="1" applyAlignment="1">
      <alignment horizontal="center"/>
    </xf>
    <xf numFmtId="3" fontId="32" fillId="12" borderId="4" xfId="0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 vertical="center" wrapText="1"/>
    </xf>
    <xf numFmtId="164" fontId="30" fillId="20" borderId="11" xfId="2" applyNumberFormat="1" applyFont="1" applyFill="1" applyBorder="1" applyAlignment="1">
      <alignment horizontal="center" vertical="center" wrapText="1"/>
    </xf>
    <xf numFmtId="192" fontId="30" fillId="11" borderId="4" xfId="2" applyNumberFormat="1" applyFont="1" applyFill="1" applyBorder="1" applyAlignment="1">
      <alignment horizontal="center"/>
    </xf>
    <xf numFmtId="166" fontId="0" fillId="4" borderId="5" xfId="0" applyNumberFormat="1" applyFont="1" applyFill="1" applyBorder="1" applyAlignment="1">
      <alignment horizontal="center"/>
    </xf>
    <xf numFmtId="181" fontId="30" fillId="4" borderId="5" xfId="3" applyNumberFormat="1" applyFont="1" applyFill="1" applyBorder="1" applyAlignment="1">
      <alignment horizontal="center"/>
    </xf>
    <xf numFmtId="170" fontId="30" fillId="4" borderId="5" xfId="0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/>
    </xf>
    <xf numFmtId="165" fontId="32" fillId="16" borderId="0" xfId="1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 vertical="center"/>
    </xf>
    <xf numFmtId="3" fontId="30" fillId="16" borderId="0" xfId="0" applyNumberFormat="1" applyFont="1" applyFill="1" applyBorder="1" applyAlignment="1">
      <alignment horizontal="center"/>
    </xf>
    <xf numFmtId="164" fontId="30" fillId="0" borderId="10" xfId="2" applyNumberFormat="1" applyFont="1" applyFill="1" applyBorder="1" applyAlignment="1">
      <alignment horizontal="center"/>
    </xf>
    <xf numFmtId="6" fontId="30" fillId="14" borderId="4" xfId="0" applyNumberFormat="1" applyFont="1" applyFill="1" applyBorder="1" applyAlignment="1">
      <alignment horizontal="center"/>
    </xf>
    <xf numFmtId="3" fontId="30" fillId="13" borderId="4" xfId="1" applyNumberFormat="1" applyFont="1" applyFill="1" applyBorder="1" applyAlignment="1">
      <alignment horizontal="center" vertical="center"/>
    </xf>
    <xf numFmtId="231" fontId="30" fillId="14" borderId="4" xfId="2" applyNumberFormat="1" applyFont="1" applyFill="1" applyBorder="1" applyAlignment="1">
      <alignment horizontal="center"/>
    </xf>
    <xf numFmtId="3" fontId="30" fillId="14" borderId="4" xfId="1" applyNumberFormat="1" applyFont="1" applyFill="1" applyBorder="1" applyAlignment="1">
      <alignment horizontal="center"/>
    </xf>
    <xf numFmtId="168" fontId="30" fillId="14" borderId="4" xfId="2" applyNumberFormat="1" applyFont="1" applyFill="1" applyBorder="1" applyAlignment="1">
      <alignment horizontal="center"/>
    </xf>
    <xf numFmtId="6" fontId="32" fillId="12" borderId="4" xfId="0" applyNumberFormat="1" applyFont="1" applyFill="1" applyBorder="1" applyAlignment="1">
      <alignment horizontal="center"/>
    </xf>
    <xf numFmtId="231" fontId="32" fillId="12" borderId="4" xfId="2" applyNumberFormat="1" applyFont="1" applyFill="1" applyBorder="1" applyAlignment="1">
      <alignment horizontal="center"/>
    </xf>
    <xf numFmtId="9" fontId="32" fillId="12" borderId="4" xfId="3" applyFont="1" applyFill="1" applyBorder="1" applyAlignment="1">
      <alignment horizontal="center"/>
    </xf>
    <xf numFmtId="168" fontId="32" fillId="12" borderId="4" xfId="2" applyNumberFormat="1" applyFont="1" applyFill="1" applyBorder="1" applyAlignment="1">
      <alignment horizontal="center"/>
    </xf>
    <xf numFmtId="166" fontId="30" fillId="13" borderId="4" xfId="0" applyNumberFormat="1" applyFont="1" applyFill="1" applyBorder="1" applyAlignment="1">
      <alignment horizontal="center"/>
    </xf>
    <xf numFmtId="166" fontId="30" fillId="14" borderId="4" xfId="0" applyNumberFormat="1" applyFont="1" applyFill="1" applyBorder="1" applyAlignment="1">
      <alignment horizontal="center"/>
    </xf>
    <xf numFmtId="4" fontId="32" fillId="12" borderId="4" xfId="2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 vertical="center"/>
    </xf>
    <xf numFmtId="4" fontId="32" fillId="12" borderId="4" xfId="1" applyNumberFormat="1" applyFont="1" applyFill="1" applyBorder="1" applyAlignment="1">
      <alignment horizontal="center" vertical="center"/>
    </xf>
    <xf numFmtId="3" fontId="30" fillId="11" borderId="4" xfId="1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/>
    </xf>
    <xf numFmtId="184" fontId="30" fillId="11" borderId="4" xfId="2" applyNumberFormat="1" applyFont="1" applyFill="1" applyBorder="1" applyAlignment="1">
      <alignment horizontal="center"/>
    </xf>
    <xf numFmtId="215" fontId="30" fillId="10" borderId="4" xfId="2" applyNumberFormat="1" applyFont="1" applyFill="1" applyBorder="1" applyAlignment="1">
      <alignment horizontal="center"/>
    </xf>
    <xf numFmtId="188" fontId="30" fillId="11" borderId="4" xfId="3" applyNumberFormat="1" applyFont="1" applyFill="1" applyBorder="1" applyAlignment="1">
      <alignment horizontal="center"/>
    </xf>
    <xf numFmtId="6" fontId="30" fillId="11" borderId="4" xfId="0" applyNumberFormat="1" applyFont="1" applyFill="1" applyBorder="1" applyAlignment="1">
      <alignment horizontal="center"/>
    </xf>
    <xf numFmtId="177" fontId="30" fillId="11" borderId="4" xfId="3" applyNumberFormat="1" applyFont="1" applyFill="1" applyBorder="1" applyAlignment="1">
      <alignment horizontal="center"/>
    </xf>
    <xf numFmtId="181" fontId="30" fillId="11" borderId="4" xfId="3" applyNumberFormat="1" applyFont="1" applyFill="1" applyBorder="1" applyAlignment="1">
      <alignment horizontal="center"/>
    </xf>
    <xf numFmtId="181" fontId="30" fillId="11" borderId="4" xfId="2" applyNumberFormat="1" applyFont="1" applyFill="1" applyBorder="1" applyAlignment="1">
      <alignment horizontal="center"/>
    </xf>
    <xf numFmtId="0" fontId="36" fillId="17" borderId="4" xfId="0" applyFont="1" applyFill="1" applyBorder="1" applyAlignment="1">
      <alignment horizontal="center"/>
    </xf>
    <xf numFmtId="170" fontId="30" fillId="11" borderId="4" xfId="3" applyNumberFormat="1" applyFont="1" applyFill="1" applyBorder="1" applyAlignment="1">
      <alignment horizontal="center"/>
    </xf>
    <xf numFmtId="3" fontId="30" fillId="0" borderId="10" xfId="1" applyNumberFormat="1" applyFont="1" applyFill="1" applyBorder="1" applyAlignment="1">
      <alignment horizontal="center"/>
    </xf>
    <xf numFmtId="3" fontId="32" fillId="12" borderId="4" xfId="3" applyNumberFormat="1" applyFont="1" applyFill="1" applyBorder="1" applyAlignment="1">
      <alignment horizontal="center"/>
    </xf>
    <xf numFmtId="233" fontId="30" fillId="10" borderId="4" xfId="2" applyNumberFormat="1" applyFont="1" applyFill="1" applyBorder="1" applyAlignment="1">
      <alignment horizontal="center"/>
    </xf>
    <xf numFmtId="208" fontId="32" fillId="12" borderId="4" xfId="1" applyNumberFormat="1" applyFont="1" applyFill="1" applyBorder="1" applyAlignment="1">
      <alignment horizontal="center"/>
    </xf>
    <xf numFmtId="219" fontId="32" fillId="12" borderId="4" xfId="0" applyNumberFormat="1" applyFont="1" applyFill="1" applyBorder="1" applyAlignment="1">
      <alignment horizontal="center"/>
    </xf>
    <xf numFmtId="235" fontId="30" fillId="11" borderId="4" xfId="0" applyNumberFormat="1" applyFont="1" applyFill="1" applyBorder="1" applyAlignment="1">
      <alignment horizontal="center"/>
    </xf>
    <xf numFmtId="230" fontId="30" fillId="4" borderId="5" xfId="0" applyNumberFormat="1" applyFont="1" applyFill="1" applyBorder="1" applyAlignment="1">
      <alignment horizontal="center"/>
    </xf>
    <xf numFmtId="3" fontId="30" fillId="4" borderId="5" xfId="0" applyNumberFormat="1" applyFont="1" applyFill="1" applyBorder="1" applyAlignment="1">
      <alignment horizontal="center"/>
    </xf>
    <xf numFmtId="10" fontId="30" fillId="14" borderId="4" xfId="3" applyNumberFormat="1" applyFont="1" applyFill="1" applyBorder="1" applyAlignment="1">
      <alignment horizontal="center"/>
    </xf>
    <xf numFmtId="192" fontId="30" fillId="0" borderId="10" xfId="3" applyNumberFormat="1" applyFont="1" applyFill="1" applyBorder="1" applyAlignment="1">
      <alignment horizontal="center"/>
    </xf>
    <xf numFmtId="0" fontId="25" fillId="0" borderId="0" xfId="0" applyFont="1" applyFill="1" applyBorder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25" fillId="0" borderId="0" xfId="2" applyNumberFormat="1" applyFont="1" applyFill="1" applyBorder="1"/>
    <xf numFmtId="3" fontId="25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208" fontId="31" fillId="11" borderId="4" xfId="1" applyNumberFormat="1" applyFont="1" applyFill="1" applyBorder="1" applyAlignment="1">
      <alignment horizontal="center"/>
    </xf>
    <xf numFmtId="239" fontId="31" fillId="11" borderId="4" xfId="0" applyNumberFormat="1" applyFont="1" applyFill="1" applyBorder="1" applyAlignment="1">
      <alignment horizontal="center"/>
    </xf>
    <xf numFmtId="3" fontId="30" fillId="11" borderId="4" xfId="0" applyNumberFormat="1" applyFont="1" applyFill="1" applyBorder="1" applyAlignment="1">
      <alignment horizontal="center"/>
    </xf>
    <xf numFmtId="4" fontId="30" fillId="11" borderId="4" xfId="0" applyNumberFormat="1" applyFont="1" applyFill="1" applyBorder="1" applyAlignment="1">
      <alignment horizontal="center"/>
    </xf>
    <xf numFmtId="4" fontId="30" fillId="11" borderId="4" xfId="3" applyNumberFormat="1" applyFont="1" applyFill="1" applyBorder="1" applyAlignment="1">
      <alignment horizontal="center"/>
    </xf>
    <xf numFmtId="239" fontId="32" fillId="12" borderId="4" xfId="0" applyNumberFormat="1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 vertical="center" wrapText="1"/>
    </xf>
    <xf numFmtId="3" fontId="30" fillId="20" borderId="11" xfId="0" applyNumberFormat="1" applyFont="1" applyFill="1" applyBorder="1" applyAlignment="1">
      <alignment horizontal="center" vertical="center" wrapText="1"/>
    </xf>
    <xf numFmtId="239" fontId="31" fillId="11" borderId="12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  <xf numFmtId="221" fontId="30" fillId="13" borderId="10" xfId="1" applyNumberFormat="1" applyFont="1" applyFill="1" applyBorder="1" applyAlignment="1">
      <alignment horizontal="center"/>
    </xf>
    <xf numFmtId="164" fontId="30" fillId="2" borderId="4" xfId="2" applyNumberFormat="1" applyFont="1" applyFill="1" applyBorder="1"/>
    <xf numFmtId="164" fontId="30" fillId="2" borderId="4" xfId="0" applyNumberFormat="1" applyFont="1" applyFill="1" applyBorder="1"/>
    <xf numFmtId="0" fontId="30" fillId="20" borderId="13" xfId="0" applyFont="1" applyFill="1" applyBorder="1" applyAlignment="1">
      <alignment horizontal="center" vertical="center" wrapText="1"/>
    </xf>
    <xf numFmtId="170" fontId="31" fillId="11" borderId="14" xfId="3" applyNumberFormat="1" applyFont="1" applyFill="1" applyBorder="1" applyAlignment="1">
      <alignment horizontal="center"/>
    </xf>
    <xf numFmtId="170" fontId="31" fillId="4" borderId="15" xfId="3" applyNumberFormat="1" applyFont="1" applyFill="1" applyBorder="1" applyAlignment="1">
      <alignment horizontal="center"/>
    </xf>
    <xf numFmtId="237" fontId="30" fillId="11" borderId="14" xfId="0" applyNumberFormat="1" applyFont="1" applyFill="1" applyBorder="1" applyAlignment="1">
      <alignment horizontal="center"/>
    </xf>
    <xf numFmtId="236" fontId="31" fillId="11" borderId="14" xfId="3" applyNumberFormat="1" applyFont="1" applyFill="1" applyBorder="1" applyAlignment="1">
      <alignment horizontal="center"/>
    </xf>
    <xf numFmtId="0" fontId="30" fillId="20" borderId="14" xfId="0" applyFont="1" applyFill="1" applyBorder="1" applyAlignment="1">
      <alignment horizontal="center" vertical="center" wrapText="1"/>
    </xf>
    <xf numFmtId="181" fontId="31" fillId="11" borderId="14" xfId="2" applyNumberFormat="1" applyFont="1" applyFill="1" applyBorder="1" applyAlignment="1">
      <alignment horizontal="center"/>
    </xf>
    <xf numFmtId="164" fontId="30" fillId="20" borderId="16" xfId="2" applyNumberFormat="1" applyFont="1" applyFill="1" applyBorder="1" applyAlignment="1">
      <alignment horizontal="center" vertical="center" wrapText="1"/>
    </xf>
    <xf numFmtId="165" fontId="30" fillId="17" borderId="17" xfId="1" applyNumberFormat="1" applyFont="1" applyFill="1" applyBorder="1" applyAlignment="1">
      <alignment horizontal="center"/>
    </xf>
    <xf numFmtId="164" fontId="30" fillId="20" borderId="17" xfId="2" applyNumberFormat="1" applyFont="1" applyFill="1" applyBorder="1" applyAlignment="1">
      <alignment horizontal="center" vertical="center" wrapText="1"/>
    </xf>
    <xf numFmtId="3" fontId="30" fillId="17" borderId="17" xfId="1" applyNumberFormat="1" applyFont="1" applyFill="1" applyBorder="1" applyAlignment="1">
      <alignment horizontal="center"/>
    </xf>
    <xf numFmtId="164" fontId="30" fillId="20" borderId="13" xfId="2" applyNumberFormat="1" applyFont="1" applyFill="1" applyBorder="1" applyAlignment="1">
      <alignment horizontal="center" vertical="center" wrapText="1"/>
    </xf>
    <xf numFmtId="165" fontId="30" fillId="11" borderId="14" xfId="1" applyNumberFormat="1" applyFont="1" applyFill="1" applyBorder="1" applyAlignment="1">
      <alignment horizontal="center"/>
    </xf>
    <xf numFmtId="3" fontId="30" fillId="17" borderId="14" xfId="1" applyNumberFormat="1" applyFont="1" applyFill="1" applyBorder="1" applyAlignment="1">
      <alignment horizontal="center" vertical="center"/>
    </xf>
    <xf numFmtId="3" fontId="32" fillId="12" borderId="14" xfId="1" applyNumberFormat="1" applyFont="1" applyFill="1" applyBorder="1" applyAlignment="1">
      <alignment horizontal="center" vertical="center"/>
    </xf>
    <xf numFmtId="164" fontId="30" fillId="20" borderId="14" xfId="2" applyNumberFormat="1" applyFont="1" applyFill="1" applyBorder="1" applyAlignment="1">
      <alignment horizontal="center" vertical="center" wrapText="1"/>
    </xf>
    <xf numFmtId="165" fontId="32" fillId="12" borderId="14" xfId="1" applyNumberFormat="1" applyFont="1" applyFill="1" applyBorder="1" applyAlignment="1">
      <alignment horizontal="center"/>
    </xf>
    <xf numFmtId="3" fontId="32" fillId="12" borderId="14" xfId="1" applyNumberFormat="1" applyFont="1" applyFill="1" applyBorder="1" applyAlignment="1">
      <alignment horizontal="center"/>
    </xf>
    <xf numFmtId="4" fontId="32" fillId="12" borderId="14" xfId="1" applyNumberFormat="1" applyFont="1" applyFill="1" applyBorder="1" applyAlignment="1">
      <alignment horizontal="center"/>
    </xf>
    <xf numFmtId="3" fontId="30" fillId="11" borderId="14" xfId="1" applyNumberFormat="1" applyFont="1" applyFill="1" applyBorder="1" applyAlignment="1">
      <alignment horizontal="center"/>
    </xf>
    <xf numFmtId="0" fontId="30" fillId="0" borderId="17" xfId="0" applyFont="1" applyBorder="1" applyAlignment="1">
      <alignment horizontal="center"/>
    </xf>
    <xf numFmtId="165" fontId="30" fillId="17" borderId="14" xfId="1" applyNumberFormat="1" applyFont="1" applyFill="1" applyBorder="1" applyAlignment="1"/>
    <xf numFmtId="3" fontId="30" fillId="17" borderId="14" xfId="1" applyNumberFormat="1" applyFont="1" applyFill="1" applyBorder="1" applyAlignment="1">
      <alignment horizontal="center"/>
    </xf>
    <xf numFmtId="165" fontId="32" fillId="12" borderId="17" xfId="1" applyNumberFormat="1" applyFont="1" applyFill="1" applyBorder="1" applyAlignment="1">
      <alignment horizontal="center"/>
    </xf>
    <xf numFmtId="4" fontId="30" fillId="17" borderId="17" xfId="1" applyNumberFormat="1" applyFont="1" applyFill="1" applyBorder="1" applyAlignment="1">
      <alignment horizontal="center"/>
    </xf>
    <xf numFmtId="3" fontId="30" fillId="20" borderId="13" xfId="0" applyNumberFormat="1" applyFont="1" applyFill="1" applyBorder="1" applyAlignment="1">
      <alignment horizontal="center" vertical="center" wrapText="1"/>
    </xf>
    <xf numFmtId="208" fontId="32" fillId="12" borderId="14" xfId="1" applyNumberFormat="1" applyFont="1" applyFill="1" applyBorder="1" applyAlignment="1">
      <alignment horizontal="center"/>
    </xf>
    <xf numFmtId="219" fontId="32" fillId="12" borderId="14" xfId="0" applyNumberFormat="1" applyFont="1" applyFill="1" applyBorder="1" applyAlignment="1">
      <alignment horizontal="center"/>
    </xf>
    <xf numFmtId="239" fontId="32" fillId="12" borderId="14" xfId="0" applyNumberFormat="1" applyFont="1" applyFill="1" applyBorder="1" applyAlignment="1">
      <alignment horizontal="center"/>
    </xf>
    <xf numFmtId="219" fontId="20" fillId="12" borderId="14" xfId="0" applyNumberFormat="1" applyFont="1" applyFill="1" applyBorder="1" applyAlignment="1">
      <alignment horizontal="center"/>
    </xf>
    <xf numFmtId="166" fontId="20" fillId="12" borderId="14" xfId="0" applyNumberFormat="1" applyFont="1" applyFill="1" applyBorder="1" applyAlignment="1">
      <alignment horizontal="center"/>
    </xf>
    <xf numFmtId="3" fontId="30" fillId="20" borderId="14" xfId="0" applyNumberFormat="1" applyFont="1" applyFill="1" applyBorder="1" applyAlignment="1">
      <alignment horizontal="center" vertical="center" wrapText="1"/>
    </xf>
    <xf numFmtId="3" fontId="32" fillId="12" borderId="14" xfId="3" applyNumberFormat="1" applyFont="1" applyFill="1" applyBorder="1" applyAlignment="1">
      <alignment horizontal="center"/>
    </xf>
    <xf numFmtId="177" fontId="32" fillId="12" borderId="14" xfId="2" applyNumberFormat="1" applyFont="1" applyFill="1" applyBorder="1" applyAlignment="1">
      <alignment horizontal="center"/>
    </xf>
    <xf numFmtId="6" fontId="30" fillId="14" borderId="14" xfId="0" applyNumberFormat="1" applyFont="1" applyFill="1" applyBorder="1" applyAlignment="1">
      <alignment horizontal="center"/>
    </xf>
    <xf numFmtId="231" fontId="30" fillId="14" borderId="14" xfId="2" applyNumberFormat="1" applyFont="1" applyFill="1" applyBorder="1" applyAlignment="1">
      <alignment horizontal="center"/>
    </xf>
    <xf numFmtId="168" fontId="30" fillId="14" borderId="14" xfId="2" applyNumberFormat="1" applyFont="1" applyFill="1" applyBorder="1" applyAlignment="1">
      <alignment horizontal="center"/>
    </xf>
    <xf numFmtId="6" fontId="32" fillId="12" borderId="14" xfId="0" applyNumberFormat="1" applyFont="1" applyFill="1" applyBorder="1" applyAlignment="1">
      <alignment horizontal="center"/>
    </xf>
    <xf numFmtId="231" fontId="32" fillId="12" borderId="14" xfId="2" applyNumberFormat="1" applyFont="1" applyFill="1" applyBorder="1" applyAlignment="1">
      <alignment horizontal="center"/>
    </xf>
    <xf numFmtId="9" fontId="32" fillId="12" borderId="14" xfId="3" applyFont="1" applyFill="1" applyBorder="1" applyAlignment="1">
      <alignment horizontal="center"/>
    </xf>
    <xf numFmtId="168" fontId="32" fillId="12" borderId="14" xfId="2" applyNumberFormat="1" applyFont="1" applyFill="1" applyBorder="1" applyAlignment="1">
      <alignment horizontal="center"/>
    </xf>
    <xf numFmtId="166" fontId="30" fillId="14" borderId="14" xfId="0" applyNumberFormat="1" applyFont="1" applyFill="1" applyBorder="1" applyAlignment="1">
      <alignment horizontal="center"/>
    </xf>
    <xf numFmtId="3" fontId="33" fillId="21" borderId="16" xfId="0" applyNumberFormat="1" applyFont="1" applyFill="1" applyBorder="1" applyAlignment="1">
      <alignment horizontal="center" vertical="center" wrapText="1"/>
    </xf>
    <xf numFmtId="3" fontId="30" fillId="14" borderId="17" xfId="0" applyNumberFormat="1" applyFont="1" applyFill="1" applyBorder="1" applyAlignment="1">
      <alignment horizontal="center"/>
    </xf>
    <xf numFmtId="3" fontId="33" fillId="21" borderId="17" xfId="0" applyNumberFormat="1" applyFont="1" applyFill="1" applyBorder="1" applyAlignment="1">
      <alignment horizontal="center" vertical="center" wrapText="1"/>
    </xf>
    <xf numFmtId="4" fontId="30" fillId="14" borderId="17" xfId="0" applyNumberFormat="1" applyFont="1" applyFill="1" applyBorder="1" applyAlignment="1">
      <alignment horizontal="center"/>
    </xf>
    <xf numFmtId="3" fontId="30" fillId="14" borderId="17" xfId="1" applyNumberFormat="1" applyFont="1" applyFill="1" applyBorder="1" applyAlignment="1">
      <alignment horizontal="center"/>
    </xf>
    <xf numFmtId="0" fontId="24" fillId="22" borderId="0" xfId="0" applyFont="1" applyFill="1" applyBorder="1"/>
    <xf numFmtId="0" fontId="27" fillId="22" borderId="0" xfId="0" applyFont="1" applyFill="1" applyBorder="1" applyAlignment="1">
      <alignment vertical="center" wrapText="1"/>
    </xf>
    <xf numFmtId="0" fontId="24" fillId="22" borderId="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right"/>
    </xf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002512"/>
        <c:axId val="217005632"/>
      </c:barChart>
      <c:catAx>
        <c:axId val="2170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217005632"/>
        <c:crosses val="autoZero"/>
        <c:auto val="1"/>
        <c:lblAlgn val="ctr"/>
        <c:lblOffset val="100"/>
        <c:noMultiLvlLbl val="1"/>
      </c:catAx>
      <c:valAx>
        <c:axId val="21700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7002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/git/1.%20dev/inanimatedObjects/CompCompCalc/lib/CompCompCalc_offerValuation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3" customWidth="1"/>
    <col min="2" max="2" width="23.6640625" style="3" customWidth="1"/>
    <col min="3" max="3" width="17.1640625" style="3" customWidth="1"/>
    <col min="4" max="4" width="19" style="3" customWidth="1"/>
    <col min="5" max="6" width="5.83203125" style="3" customWidth="1"/>
    <col min="7" max="7" width="14.6640625" style="3" customWidth="1"/>
    <col min="8" max="8" width="19.6640625" style="3" customWidth="1"/>
    <col min="9" max="9" width="23.33203125" style="3" customWidth="1"/>
    <col min="10" max="10" width="19.83203125" style="3" customWidth="1"/>
    <col min="11" max="11" width="17.83203125" style="3" customWidth="1"/>
    <col min="12" max="12" width="15.83203125" style="3" customWidth="1"/>
    <col min="13" max="13" width="10.5" style="3" customWidth="1"/>
    <col min="14" max="14" width="14.6640625" style="3" customWidth="1"/>
    <col min="15" max="15" width="13.5" style="3" customWidth="1"/>
    <col min="16" max="16" width="10.5" style="3" customWidth="1"/>
    <col min="17" max="17" width="11.5" style="3" customWidth="1"/>
    <col min="18" max="28" width="10.5" style="3" customWidth="1"/>
    <col min="29" max="16384" width="13.5" style="3"/>
  </cols>
  <sheetData>
    <row r="1" spans="1:28" ht="15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1"/>
      <c r="B2" s="1" t="s">
        <v>12</v>
      </c>
      <c r="C2" s="56" t="s">
        <v>63</v>
      </c>
      <c r="D2" s="57"/>
      <c r="E2" s="2"/>
      <c r="F2" s="4"/>
      <c r="G2" s="4"/>
      <c r="I2" s="1"/>
      <c r="J2" s="1"/>
      <c r="K2" s="1"/>
      <c r="L2" s="1"/>
      <c r="M2" s="2"/>
      <c r="N2" s="1"/>
      <c r="O2" s="1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1"/>
      <c r="B3" s="1"/>
      <c r="C3" s="1"/>
      <c r="D3" s="1"/>
      <c r="E3" s="2"/>
      <c r="F3" s="4"/>
      <c r="G3" s="4" t="s">
        <v>13</v>
      </c>
      <c r="I3" s="1"/>
      <c r="J3" s="1"/>
      <c r="K3" s="1"/>
      <c r="L3" s="1"/>
      <c r="M3" s="2"/>
      <c r="N3" s="1"/>
      <c r="O3" s="1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 t="s">
        <v>14</v>
      </c>
      <c r="B4" s="5" t="s">
        <v>15</v>
      </c>
      <c r="C4" s="6"/>
      <c r="D4" s="6"/>
      <c r="E4" s="2"/>
      <c r="F4" s="7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2"/>
      <c r="N4" s="1"/>
      <c r="O4" s="1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" t="s">
        <v>0</v>
      </c>
      <c r="C5" s="9">
        <v>0</v>
      </c>
      <c r="D5" s="1"/>
      <c r="E5" s="2"/>
      <c r="F5" s="10"/>
      <c r="G5" s="10" t="str">
        <f t="shared" ref="G5:G18" si="0">"$"&amp;H5/1000000000&amp;"B"</f>
        <v>$2B</v>
      </c>
      <c r="H5" s="11">
        <f>C24</f>
        <v>2000000000</v>
      </c>
      <c r="I5" s="12">
        <v>7.8019999999999996</v>
      </c>
      <c r="J5" s="11">
        <f t="shared" ref="J5:J18" si="1">(I5-$C$23)*$C$26</f>
        <v>137567.99999999997</v>
      </c>
      <c r="K5" s="11">
        <f t="shared" ref="K5:K18" si="2">I5*$C$29</f>
        <v>187248</v>
      </c>
      <c r="L5" s="11">
        <f t="shared" ref="L5:L18" si="3">J5+K5</f>
        <v>324816</v>
      </c>
      <c r="M5" s="2"/>
      <c r="N5" s="1"/>
      <c r="O5" s="1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1" t="s">
        <v>23</v>
      </c>
      <c r="C6" s="9">
        <f>C5*0.08</f>
        <v>0</v>
      </c>
      <c r="D6" s="13"/>
      <c r="E6" s="2"/>
      <c r="F6" s="10"/>
      <c r="G6" s="10" t="str">
        <f t="shared" si="0"/>
        <v>$3B</v>
      </c>
      <c r="H6" s="11">
        <v>3000000000</v>
      </c>
      <c r="I6" s="12">
        <v>8.19</v>
      </c>
      <c r="J6" s="11">
        <f t="shared" si="1"/>
        <v>146879.99999999997</v>
      </c>
      <c r="K6" s="11">
        <f t="shared" si="2"/>
        <v>196560</v>
      </c>
      <c r="L6" s="11">
        <f t="shared" si="3"/>
        <v>343440</v>
      </c>
      <c r="M6" s="2"/>
      <c r="N6" s="1"/>
      <c r="O6" s="1"/>
      <c r="P6" s="2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">
      <c r="A7" s="1"/>
      <c r="B7" s="1" t="s">
        <v>24</v>
      </c>
      <c r="C7" s="11">
        <v>0</v>
      </c>
      <c r="D7" s="1" t="s">
        <v>11</v>
      </c>
      <c r="E7" s="2"/>
      <c r="F7" s="10"/>
      <c r="G7" s="10" t="str">
        <f t="shared" si="0"/>
        <v>$5B</v>
      </c>
      <c r="H7" s="11">
        <f>H6+2000000000</f>
        <v>5000000000</v>
      </c>
      <c r="I7" s="12">
        <v>10.24</v>
      </c>
      <c r="J7" s="11">
        <f t="shared" si="1"/>
        <v>196080</v>
      </c>
      <c r="K7" s="11">
        <f t="shared" si="2"/>
        <v>245760</v>
      </c>
      <c r="L7" s="11">
        <f t="shared" si="3"/>
        <v>441840</v>
      </c>
      <c r="M7" s="2"/>
      <c r="N7" s="1"/>
      <c r="O7" s="1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">
      <c r="A8" s="1"/>
      <c r="B8" s="1" t="s">
        <v>6</v>
      </c>
      <c r="C8" s="11">
        <v>0</v>
      </c>
      <c r="D8" s="1" t="s">
        <v>11</v>
      </c>
      <c r="E8" s="2"/>
      <c r="F8" s="10"/>
      <c r="G8" s="10" t="str">
        <f t="shared" si="0"/>
        <v>$10B</v>
      </c>
      <c r="H8" s="11">
        <f t="shared" ref="H8:H16" si="4">H7+5000000000</f>
        <v>10000000000</v>
      </c>
      <c r="I8" s="12">
        <v>20.49</v>
      </c>
      <c r="J8" s="11">
        <f t="shared" si="1"/>
        <v>442079.99999999994</v>
      </c>
      <c r="K8" s="11">
        <f t="shared" si="2"/>
        <v>491759.99999999994</v>
      </c>
      <c r="L8" s="11">
        <f t="shared" si="3"/>
        <v>933839.99999999988</v>
      </c>
      <c r="M8" s="2"/>
      <c r="N8" s="1"/>
      <c r="O8" s="1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">
      <c r="A9" s="1"/>
      <c r="B9" s="1" t="s">
        <v>7</v>
      </c>
      <c r="C9" s="11">
        <v>0</v>
      </c>
      <c r="D9" s="1" t="s">
        <v>11</v>
      </c>
      <c r="E9" s="2"/>
      <c r="F9" s="10"/>
      <c r="G9" s="10" t="str">
        <f t="shared" si="0"/>
        <v>$15B</v>
      </c>
      <c r="H9" s="11">
        <f t="shared" si="4"/>
        <v>15000000000</v>
      </c>
      <c r="I9" s="12">
        <v>30.73</v>
      </c>
      <c r="J9" s="11">
        <f t="shared" si="1"/>
        <v>687840</v>
      </c>
      <c r="K9" s="11">
        <f t="shared" si="2"/>
        <v>737520</v>
      </c>
      <c r="L9" s="11">
        <f t="shared" si="3"/>
        <v>1425360</v>
      </c>
      <c r="M9" s="2"/>
      <c r="N9" s="1"/>
      <c r="O9" s="1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">
      <c r="A10" s="1"/>
      <c r="B10" s="1" t="s">
        <v>25</v>
      </c>
      <c r="C10" s="11">
        <v>0</v>
      </c>
      <c r="D10" s="1"/>
      <c r="E10" s="2"/>
      <c r="F10" s="10"/>
      <c r="G10" s="10" t="str">
        <f t="shared" si="0"/>
        <v>$20B</v>
      </c>
      <c r="H10" s="11">
        <f t="shared" si="4"/>
        <v>20000000000</v>
      </c>
      <c r="I10" s="12">
        <v>40.97</v>
      </c>
      <c r="J10" s="11">
        <f t="shared" si="1"/>
        <v>933600</v>
      </c>
      <c r="K10" s="11">
        <f t="shared" si="2"/>
        <v>983280</v>
      </c>
      <c r="L10" s="11">
        <f t="shared" si="3"/>
        <v>1916880</v>
      </c>
      <c r="M10" s="2"/>
      <c r="N10" s="1"/>
      <c r="O10" s="1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">
      <c r="A11" s="1"/>
      <c r="B11" s="1" t="s">
        <v>26</v>
      </c>
      <c r="C11" s="11">
        <v>0</v>
      </c>
      <c r="D11" s="1"/>
      <c r="E11" s="2"/>
      <c r="F11" s="10"/>
      <c r="G11" s="10" t="str">
        <f t="shared" si="0"/>
        <v>$25B</v>
      </c>
      <c r="H11" s="11">
        <f t="shared" si="4"/>
        <v>25000000000</v>
      </c>
      <c r="I11" s="12">
        <v>51.22</v>
      </c>
      <c r="J11" s="11">
        <f t="shared" si="1"/>
        <v>1179600</v>
      </c>
      <c r="K11" s="11">
        <f t="shared" si="2"/>
        <v>1229280</v>
      </c>
      <c r="L11" s="11">
        <f t="shared" si="3"/>
        <v>2408880</v>
      </c>
      <c r="M11" s="2"/>
      <c r="N11" s="1"/>
      <c r="O11" s="1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">
      <c r="A12" s="1"/>
      <c r="B12" s="1" t="s">
        <v>27</v>
      </c>
      <c r="C12" s="11">
        <v>0</v>
      </c>
      <c r="D12" s="1"/>
      <c r="E12" s="2"/>
      <c r="F12" s="10"/>
      <c r="G12" s="10" t="str">
        <f t="shared" si="0"/>
        <v>$30B</v>
      </c>
      <c r="H12" s="11">
        <f t="shared" si="4"/>
        <v>30000000000</v>
      </c>
      <c r="I12" s="12">
        <v>61.46</v>
      </c>
      <c r="J12" s="11">
        <f t="shared" si="1"/>
        <v>1425360</v>
      </c>
      <c r="K12" s="11">
        <f t="shared" si="2"/>
        <v>1475040</v>
      </c>
      <c r="L12" s="11">
        <f t="shared" si="3"/>
        <v>2900400</v>
      </c>
      <c r="M12" s="2"/>
      <c r="N12" s="1"/>
      <c r="O12" s="1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">
      <c r="A13" s="1"/>
      <c r="B13" s="14" t="s">
        <v>28</v>
      </c>
      <c r="C13" s="15">
        <v>0</v>
      </c>
      <c r="D13" s="16"/>
      <c r="E13" s="2"/>
      <c r="F13" s="10"/>
      <c r="G13" s="10" t="str">
        <f t="shared" si="0"/>
        <v>$35B</v>
      </c>
      <c r="H13" s="11">
        <f t="shared" si="4"/>
        <v>35000000000</v>
      </c>
      <c r="I13" s="12">
        <v>71.709999999999994</v>
      </c>
      <c r="J13" s="11">
        <f t="shared" si="1"/>
        <v>1671360</v>
      </c>
      <c r="K13" s="11">
        <f t="shared" si="2"/>
        <v>1721039.9999999998</v>
      </c>
      <c r="L13" s="11">
        <f t="shared" si="3"/>
        <v>3392400</v>
      </c>
      <c r="M13" s="2"/>
      <c r="N13" s="1"/>
      <c r="O13" s="1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">
      <c r="A14" s="1"/>
      <c r="B14" s="17" t="s">
        <v>29</v>
      </c>
      <c r="C14" s="18">
        <f>SUM(C5:C13)</f>
        <v>0</v>
      </c>
      <c r="D14" s="19"/>
      <c r="E14" s="2"/>
      <c r="F14" s="10"/>
      <c r="G14" s="10" t="str">
        <f t="shared" si="0"/>
        <v>$40B</v>
      </c>
      <c r="H14" s="11">
        <f t="shared" si="4"/>
        <v>40000000000</v>
      </c>
      <c r="I14" s="12">
        <v>81.95</v>
      </c>
      <c r="J14" s="11">
        <f t="shared" si="1"/>
        <v>1917120.0000000002</v>
      </c>
      <c r="K14" s="11">
        <f t="shared" si="2"/>
        <v>1966800</v>
      </c>
      <c r="L14" s="11">
        <f t="shared" si="3"/>
        <v>3883920</v>
      </c>
      <c r="M14" s="2"/>
      <c r="N14" s="1"/>
      <c r="O14" s="1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">
      <c r="A15" s="1"/>
      <c r="B15" s="1"/>
      <c r="C15" s="1"/>
      <c r="D15" s="1"/>
      <c r="E15" s="2"/>
      <c r="F15" s="10"/>
      <c r="G15" s="10" t="str">
        <f t="shared" si="0"/>
        <v>$45B</v>
      </c>
      <c r="H15" s="11">
        <f t="shared" si="4"/>
        <v>45000000000</v>
      </c>
      <c r="I15" s="12">
        <v>92.19</v>
      </c>
      <c r="J15" s="11">
        <f t="shared" si="1"/>
        <v>2162880</v>
      </c>
      <c r="K15" s="11">
        <f t="shared" si="2"/>
        <v>2212560</v>
      </c>
      <c r="L15" s="11">
        <f t="shared" si="3"/>
        <v>4375440</v>
      </c>
      <c r="M15" s="2"/>
      <c r="N15" s="1"/>
      <c r="O15" s="1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">
      <c r="A16" s="1" t="s">
        <v>30</v>
      </c>
      <c r="B16" s="20" t="s">
        <v>31</v>
      </c>
      <c r="C16" s="21"/>
      <c r="D16" s="22"/>
      <c r="E16" s="2"/>
      <c r="F16" s="10"/>
      <c r="G16" s="10" t="str">
        <f t="shared" si="0"/>
        <v>$50B</v>
      </c>
      <c r="H16" s="11">
        <f t="shared" si="4"/>
        <v>50000000000</v>
      </c>
      <c r="I16" s="12">
        <v>102.44</v>
      </c>
      <c r="J16" s="11">
        <f t="shared" si="1"/>
        <v>2408880</v>
      </c>
      <c r="K16" s="11">
        <f t="shared" si="2"/>
        <v>2458560</v>
      </c>
      <c r="L16" s="11">
        <f t="shared" si="3"/>
        <v>4867440</v>
      </c>
      <c r="M16" s="2"/>
      <c r="N16" s="1"/>
      <c r="O16" s="1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">
      <c r="A17" s="1"/>
      <c r="B17" s="1" t="s">
        <v>32</v>
      </c>
      <c r="C17" s="1" t="s">
        <v>33</v>
      </c>
      <c r="D17" s="1"/>
      <c r="E17" s="2"/>
      <c r="F17" s="10"/>
      <c r="G17" s="10" t="str">
        <f t="shared" si="0"/>
        <v>$75B</v>
      </c>
      <c r="H17" s="11">
        <f t="shared" ref="H17:H18" si="5">H16+25000000000</f>
        <v>75000000000</v>
      </c>
      <c r="I17" s="12">
        <v>153.66</v>
      </c>
      <c r="J17" s="11">
        <f t="shared" si="1"/>
        <v>3638160</v>
      </c>
      <c r="K17" s="11">
        <f t="shared" si="2"/>
        <v>3687840</v>
      </c>
      <c r="L17" s="11">
        <f t="shared" si="3"/>
        <v>7326000</v>
      </c>
      <c r="M17" s="2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">
      <c r="A18" s="1"/>
      <c r="B18" s="1" t="s">
        <v>34</v>
      </c>
      <c r="C18" s="1" t="s">
        <v>35</v>
      </c>
      <c r="D18" s="1"/>
      <c r="E18" s="2"/>
      <c r="F18" s="10"/>
      <c r="G18" s="10" t="str">
        <f t="shared" si="0"/>
        <v>$100B</v>
      </c>
      <c r="H18" s="11">
        <f t="shared" si="5"/>
        <v>100000000000</v>
      </c>
      <c r="I18" s="12">
        <v>204.87</v>
      </c>
      <c r="J18" s="11">
        <f t="shared" si="1"/>
        <v>4867200</v>
      </c>
      <c r="K18" s="11">
        <f t="shared" si="2"/>
        <v>4916880</v>
      </c>
      <c r="L18" s="11">
        <f t="shared" si="3"/>
        <v>9784080</v>
      </c>
      <c r="M18" s="2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">
      <c r="A19" s="1"/>
      <c r="B19" s="1" t="s">
        <v>36</v>
      </c>
      <c r="C19" s="1" t="s">
        <v>37</v>
      </c>
      <c r="D19" s="1"/>
      <c r="E19" s="2"/>
      <c r="F19" s="10"/>
      <c r="G19" s="23" t="s">
        <v>38</v>
      </c>
      <c r="H19" s="19"/>
      <c r="I19" s="19"/>
      <c r="J19" s="19"/>
      <c r="K19" s="19"/>
      <c r="L19" s="19"/>
      <c r="M19" s="2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hidden="1" customHeight="1" x14ac:dyDescent="0.2">
      <c r="A20" s="1"/>
      <c r="B20" s="24" t="s">
        <v>39</v>
      </c>
      <c r="C20" s="25">
        <f>I20</f>
        <v>461423849</v>
      </c>
      <c r="D20" s="26"/>
      <c r="E20" s="27"/>
      <c r="F20" s="1"/>
      <c r="G20" s="28"/>
      <c r="H20" s="28" t="s">
        <v>40</v>
      </c>
      <c r="I20" s="29">
        <v>461423849</v>
      </c>
      <c r="J20" s="26"/>
      <c r="K20" s="30" t="s">
        <v>41</v>
      </c>
      <c r="L20" s="26"/>
      <c r="M20" s="2"/>
      <c r="N20" s="31"/>
      <c r="O20" s="31"/>
      <c r="P20" s="31"/>
      <c r="Q20" s="31"/>
      <c r="R20" s="31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6.5" customHeight="1" x14ac:dyDescent="0.2">
      <c r="A21" s="1"/>
      <c r="F21" s="32"/>
      <c r="M21" s="2"/>
      <c r="N21" s="11"/>
      <c r="O21" s="12"/>
      <c r="P21" s="12"/>
      <c r="Q21" s="33"/>
      <c r="R21" s="11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1"/>
      <c r="B22" s="1" t="s">
        <v>42</v>
      </c>
      <c r="C22" s="34">
        <v>7.8</v>
      </c>
      <c r="D22" s="34"/>
      <c r="E22" s="2"/>
      <c r="F22" s="1"/>
      <c r="G22" s="1"/>
      <c r="H22" s="1"/>
      <c r="I22" s="1"/>
      <c r="J22" s="1"/>
      <c r="K22" s="1"/>
      <c r="L22" s="1"/>
      <c r="M22" s="2"/>
      <c r="N22" s="11"/>
      <c r="O22" s="12"/>
      <c r="P22" s="12"/>
      <c r="Q22" s="33"/>
      <c r="R22" s="11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">
      <c r="A23" s="1"/>
      <c r="B23" s="1" t="s">
        <v>43</v>
      </c>
      <c r="C23" s="12">
        <v>2.0699999999999998</v>
      </c>
      <c r="D23" s="34"/>
      <c r="E23" s="2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1"/>
      <c r="B24" s="1" t="s">
        <v>44</v>
      </c>
      <c r="C24" s="11">
        <v>2000000000</v>
      </c>
      <c r="D24" s="34"/>
      <c r="E24" s="2"/>
      <c r="F24" s="7" t="s">
        <v>45</v>
      </c>
      <c r="G24" s="35" t="s">
        <v>46</v>
      </c>
      <c r="H24" s="36"/>
      <c r="I24" s="37"/>
      <c r="J24" s="38"/>
      <c r="K24" s="38"/>
      <c r="L24" s="36"/>
      <c r="M24" s="2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1"/>
      <c r="B25" s="1"/>
      <c r="C25" s="1"/>
      <c r="D25" s="1"/>
      <c r="E25" s="2"/>
      <c r="F25" s="1"/>
      <c r="G25" s="1"/>
      <c r="H25" s="1"/>
      <c r="I25" s="32" t="s">
        <v>47</v>
      </c>
      <c r="J25" s="11">
        <f>C14+(C33/4)</f>
        <v>81180</v>
      </c>
      <c r="K25" s="1"/>
      <c r="L25" s="1"/>
      <c r="M25" s="2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1"/>
      <c r="B26" s="1" t="s">
        <v>48</v>
      </c>
      <c r="C26" s="39">
        <v>24000</v>
      </c>
      <c r="D26" s="40">
        <v>8500</v>
      </c>
      <c r="F26" s="1"/>
      <c r="G26" s="1"/>
      <c r="H26" s="1"/>
      <c r="I26" s="32" t="s">
        <v>49</v>
      </c>
      <c r="J26" s="11">
        <f>J25*4</f>
        <v>324720</v>
      </c>
      <c r="K26" s="1"/>
      <c r="L26" s="1"/>
      <c r="M26" s="2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">
      <c r="A27" s="1"/>
      <c r="B27" s="1" t="s">
        <v>50</v>
      </c>
      <c r="C27" s="11">
        <f>(C22-C23)*C26</f>
        <v>137520</v>
      </c>
      <c r="D27" s="1"/>
      <c r="F27" s="1"/>
      <c r="G27" s="1"/>
      <c r="H27" s="1"/>
      <c r="I27" s="1"/>
      <c r="J27" s="92"/>
      <c r="K27" s="1"/>
      <c r="L27" s="1"/>
      <c r="M27" s="2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">
      <c r="A28" s="1"/>
      <c r="B28" s="1"/>
      <c r="C28" s="55"/>
      <c r="D28" s="1"/>
      <c r="F28" s="1"/>
      <c r="G28" s="58" t="s">
        <v>51</v>
      </c>
      <c r="H28" s="59"/>
      <c r="I28" s="59"/>
      <c r="J28" s="1"/>
      <c r="K28" s="1"/>
      <c r="L28" s="1"/>
      <c r="M28" s="2"/>
      <c r="N28" s="1"/>
      <c r="O28" s="1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">
      <c r="A29" s="1"/>
      <c r="B29" s="1" t="s">
        <v>52</v>
      </c>
      <c r="C29" s="39">
        <v>24000</v>
      </c>
      <c r="D29" s="41">
        <v>9000</v>
      </c>
      <c r="E29" s="2"/>
      <c r="F29" s="1"/>
      <c r="G29" s="1"/>
      <c r="H29" s="1"/>
      <c r="I29" s="1" t="s">
        <v>53</v>
      </c>
      <c r="J29" s="42" t="s">
        <v>82</v>
      </c>
      <c r="K29" s="7"/>
      <c r="L29" s="1"/>
      <c r="M29" s="2"/>
      <c r="N29" s="1"/>
      <c r="O29" s="1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">
      <c r="A30" s="1"/>
      <c r="B30" s="1" t="s">
        <v>54</v>
      </c>
      <c r="C30" s="11">
        <f>C22*C29</f>
        <v>187200</v>
      </c>
      <c r="D30" s="43">
        <f>D26+D29</f>
        <v>17500</v>
      </c>
      <c r="E30" s="2"/>
      <c r="F30" s="1"/>
      <c r="G30" s="1"/>
      <c r="H30" s="1"/>
      <c r="I30" s="44" t="s">
        <v>55</v>
      </c>
      <c r="J30" s="45">
        <f>VLOOKUP($J$29,$G$5:$L$19,6,FALSE)+(C14*4)</f>
        <v>1425360</v>
      </c>
      <c r="K30" s="44" t="s">
        <v>56</v>
      </c>
      <c r="L30" s="45">
        <f>$J$30/4</f>
        <v>356340</v>
      </c>
      <c r="N30" s="1"/>
      <c r="O30" s="1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1"/>
      <c r="B31" s="1"/>
      <c r="C31" s="1"/>
      <c r="D31" s="46"/>
      <c r="E31" s="2"/>
      <c r="F31" s="1"/>
      <c r="G31" s="47"/>
      <c r="H31" s="19"/>
      <c r="I31" s="17" t="s">
        <v>57</v>
      </c>
      <c r="J31" s="48">
        <f>VLOOKUP($J$29,$G$5:$L$19,6,FALSE)</f>
        <v>1425360</v>
      </c>
      <c r="K31" s="17" t="s">
        <v>58</v>
      </c>
      <c r="L31" s="48">
        <f>$J$31/4</f>
        <v>356340</v>
      </c>
      <c r="N31" s="1"/>
      <c r="O31" s="1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1"/>
      <c r="B32" s="44" t="s">
        <v>59</v>
      </c>
      <c r="C32" s="49"/>
      <c r="D32" s="50"/>
      <c r="E32" s="12"/>
      <c r="F32" s="1"/>
      <c r="G32" s="51" t="s">
        <v>60</v>
      </c>
      <c r="H32" s="1"/>
      <c r="I32" s="1"/>
      <c r="J32" s="1"/>
      <c r="K32" s="1"/>
      <c r="L32" s="1"/>
      <c r="M32" s="2"/>
      <c r="N32" s="1"/>
      <c r="O32" s="1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">
      <c r="A33" s="1"/>
      <c r="B33" s="52" t="s">
        <v>61</v>
      </c>
      <c r="C33" s="53">
        <f>C30+C27</f>
        <v>324720</v>
      </c>
      <c r="D33" s="54"/>
      <c r="E33" s="2"/>
      <c r="F33" s="1"/>
      <c r="G33" s="51" t="s">
        <v>62</v>
      </c>
      <c r="H33" s="1"/>
      <c r="I33" s="1"/>
      <c r="J33" s="1"/>
      <c r="K33" s="1"/>
      <c r="L33" s="1"/>
      <c r="M33" s="2"/>
      <c r="N33" s="1"/>
      <c r="O33" s="1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2"/>
      <c r="N34" s="1"/>
      <c r="O34" s="1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1"/>
      <c r="E35" s="2"/>
      <c r="F35" s="1"/>
      <c r="G35" s="1"/>
      <c r="H35" s="1"/>
      <c r="I35" s="1"/>
      <c r="J35" s="1"/>
      <c r="K35" s="1"/>
      <c r="L35" s="1"/>
      <c r="M35" s="2"/>
      <c r="N35" s="1"/>
      <c r="O35" s="1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">
      <c r="A36" s="1"/>
      <c r="E36" s="2"/>
      <c r="F36" s="1"/>
      <c r="G36" s="1"/>
      <c r="H36" s="1"/>
      <c r="I36" s="1"/>
      <c r="J36" s="1"/>
      <c r="K36" s="1"/>
      <c r="L36" s="1"/>
      <c r="M36" s="2"/>
      <c r="N36" s="1"/>
      <c r="O36" s="1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">
      <c r="A37" s="1"/>
      <c r="E37" s="2"/>
      <c r="F37" s="1"/>
      <c r="G37" s="1"/>
      <c r="H37" s="1"/>
      <c r="I37" s="1"/>
      <c r="J37" s="1"/>
      <c r="K37" s="1"/>
      <c r="L37" s="1"/>
      <c r="M37" s="2"/>
      <c r="N37" s="1"/>
      <c r="O37" s="1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0.5" customHeight="1" x14ac:dyDescent="0.2">
      <c r="A38" s="1"/>
      <c r="E38" s="2"/>
      <c r="F38" s="1"/>
      <c r="G38" s="1"/>
      <c r="H38" s="1"/>
      <c r="I38" s="1"/>
      <c r="J38" s="1"/>
      <c r="K38" s="1"/>
      <c r="L38" s="1"/>
      <c r="M38" s="2"/>
      <c r="N38" s="1"/>
      <c r="O38" s="1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">
      <c r="A39" s="1"/>
      <c r="E39" s="2"/>
      <c r="F39" s="1"/>
      <c r="G39" s="1"/>
      <c r="H39" s="1"/>
      <c r="I39" s="1"/>
      <c r="J39" s="1"/>
      <c r="K39" s="1"/>
      <c r="L39" s="1"/>
      <c r="M39" s="2"/>
      <c r="N39" s="1"/>
      <c r="O39" s="1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">
      <c r="A40" s="1"/>
      <c r="E40" s="2"/>
      <c r="F40" s="1"/>
      <c r="G40" s="1"/>
      <c r="H40" s="1"/>
      <c r="I40" s="1"/>
      <c r="J40" s="1"/>
      <c r="K40" s="1"/>
      <c r="L40" s="1"/>
      <c r="M40" s="2"/>
      <c r="N40" s="1"/>
      <c r="O40" s="1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">
      <c r="A41" s="1"/>
      <c r="E41" s="2"/>
      <c r="F41" s="7"/>
      <c r="G41" s="7"/>
      <c r="H41" s="7"/>
      <c r="I41" s="7"/>
      <c r="J41" s="7"/>
      <c r="K41" s="1"/>
      <c r="L41" s="1"/>
      <c r="M41" s="2"/>
      <c r="N41" s="1"/>
      <c r="O41" s="1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1"/>
      <c r="B42" s="11"/>
      <c r="C42" s="1"/>
      <c r="D42" s="1"/>
      <c r="E42" s="2"/>
      <c r="F42" s="11"/>
      <c r="G42" s="11"/>
      <c r="H42" s="11"/>
      <c r="I42" s="11"/>
      <c r="J42" s="11"/>
      <c r="K42" s="1"/>
      <c r="L42" s="1"/>
      <c r="M42" s="2"/>
      <c r="N42" s="1"/>
      <c r="O42" s="1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1"/>
      <c r="B43" s="1"/>
      <c r="C43" s="1"/>
      <c r="D43" s="1"/>
      <c r="E43" s="2"/>
      <c r="F43" s="11"/>
      <c r="G43" s="11"/>
      <c r="H43" s="11"/>
      <c r="I43" s="11"/>
      <c r="J43" s="11"/>
      <c r="K43" s="1"/>
      <c r="L43" s="1"/>
      <c r="M43" s="2"/>
      <c r="N43" s="1"/>
      <c r="O43" s="1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1"/>
      <c r="B44" s="1"/>
      <c r="C44" s="1"/>
      <c r="D44" s="1"/>
      <c r="E44" s="2"/>
      <c r="F44" s="11"/>
      <c r="G44" s="11"/>
      <c r="H44" s="11"/>
      <c r="I44" s="11"/>
      <c r="J44" s="11"/>
      <c r="K44" s="1"/>
      <c r="L44" s="1"/>
      <c r="M44" s="2"/>
      <c r="N44" s="1"/>
      <c r="O44" s="1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1"/>
      <c r="B45" s="1"/>
      <c r="C45" s="1"/>
      <c r="D45" s="1"/>
      <c r="E45" s="2"/>
      <c r="F45" s="11"/>
      <c r="G45" s="11"/>
      <c r="H45" s="11"/>
      <c r="I45" s="11"/>
      <c r="J45" s="11"/>
      <c r="K45" s="1"/>
      <c r="L45" s="1"/>
      <c r="M45" s="2"/>
      <c r="N45" s="1"/>
      <c r="O45" s="1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1"/>
      <c r="B46" s="1"/>
      <c r="C46" s="1"/>
      <c r="D46" s="1"/>
      <c r="E46" s="2"/>
      <c r="F46" s="11"/>
      <c r="G46" s="11"/>
      <c r="H46" s="11"/>
      <c r="I46" s="11"/>
      <c r="J46" s="11"/>
      <c r="K46" s="1"/>
      <c r="L46" s="1"/>
      <c r="M46" s="2"/>
      <c r="N46" s="1"/>
      <c r="O46" s="1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1"/>
      <c r="B47" s="1"/>
      <c r="C47" s="1"/>
      <c r="D47" s="1"/>
      <c r="E47" s="2"/>
      <c r="F47" s="11"/>
      <c r="G47" s="11"/>
      <c r="H47" s="11"/>
      <c r="I47" s="11"/>
      <c r="J47" s="11"/>
      <c r="K47" s="1"/>
      <c r="L47" s="1"/>
      <c r="M47" s="2"/>
      <c r="N47" s="1"/>
      <c r="O47" s="1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1"/>
      <c r="B48" s="1"/>
      <c r="C48" s="1"/>
      <c r="D48" s="1"/>
      <c r="E48" s="2"/>
      <c r="F48" s="11"/>
      <c r="G48" s="11"/>
      <c r="H48" s="11"/>
      <c r="I48" s="11"/>
      <c r="J48" s="11"/>
      <c r="K48" s="1"/>
      <c r="L48" s="1"/>
      <c r="M48" s="2"/>
      <c r="N48" s="1"/>
      <c r="O48" s="1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1"/>
      <c r="B49" s="1"/>
      <c r="C49" s="1"/>
      <c r="D49" s="1"/>
      <c r="E49" s="2"/>
      <c r="F49" s="11"/>
      <c r="G49" s="11"/>
      <c r="H49" s="11"/>
      <c r="I49" s="11"/>
      <c r="J49" s="11"/>
      <c r="K49" s="1"/>
      <c r="L49" s="1"/>
      <c r="M49" s="2"/>
      <c r="N49" s="1"/>
      <c r="O49" s="1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1"/>
      <c r="B50" s="1"/>
      <c r="C50" s="1"/>
      <c r="D50" s="1"/>
      <c r="E50" s="2"/>
      <c r="F50" s="11"/>
      <c r="G50" s="11"/>
      <c r="H50" s="11"/>
      <c r="I50" s="11"/>
      <c r="J50" s="11"/>
      <c r="K50" s="1"/>
      <c r="L50" s="1"/>
      <c r="M50" s="2"/>
      <c r="N50" s="1"/>
      <c r="O50" s="1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1"/>
      <c r="B51" s="1"/>
      <c r="C51" s="1"/>
      <c r="D51" s="1"/>
      <c r="E51" s="2"/>
      <c r="F51" s="11"/>
      <c r="G51" s="11"/>
      <c r="H51" s="11"/>
      <c r="I51" s="11"/>
      <c r="J51" s="11"/>
      <c r="K51" s="1"/>
      <c r="L51" s="1"/>
      <c r="M51" s="2"/>
      <c r="N51" s="1"/>
      <c r="O51" s="1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1"/>
      <c r="B52" s="1"/>
      <c r="C52" s="1"/>
      <c r="D52" s="1"/>
      <c r="E52" s="2"/>
      <c r="F52" s="11"/>
      <c r="G52" s="11"/>
      <c r="H52" s="11"/>
      <c r="I52" s="11"/>
      <c r="J52" s="11"/>
      <c r="K52" s="1"/>
      <c r="L52" s="1"/>
      <c r="M52" s="2"/>
      <c r="N52" s="1"/>
      <c r="O52" s="1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1"/>
      <c r="B53" s="1"/>
      <c r="C53" s="1"/>
      <c r="D53" s="1"/>
      <c r="E53" s="2"/>
      <c r="F53" s="11"/>
      <c r="G53" s="11"/>
      <c r="H53" s="11"/>
      <c r="I53" s="11"/>
      <c r="J53" s="11"/>
      <c r="K53" s="1"/>
      <c r="L53" s="1"/>
      <c r="M53" s="2"/>
      <c r="N53" s="1"/>
      <c r="O53" s="1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2"/>
      <c r="N54" s="1"/>
      <c r="O54" s="1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2"/>
      <c r="N55" s="1"/>
      <c r="O55" s="1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1"/>
      <c r="B56" s="1"/>
      <c r="C56" s="1"/>
      <c r="D56" s="1"/>
      <c r="E56" s="1"/>
      <c r="F56" s="31"/>
      <c r="G56" s="31"/>
      <c r="H56" s="31"/>
      <c r="I56" s="31"/>
      <c r="J56" s="31"/>
      <c r="K56" s="1"/>
      <c r="L56" s="1"/>
      <c r="M56" s="2"/>
      <c r="N56" s="1"/>
      <c r="O56" s="1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1"/>
      <c r="B57" s="1"/>
      <c r="C57" s="1"/>
      <c r="D57" s="1"/>
      <c r="E57" s="32"/>
      <c r="F57" s="11"/>
      <c r="G57" s="11"/>
      <c r="H57" s="11"/>
      <c r="I57" s="11"/>
      <c r="J57" s="11"/>
      <c r="K57" s="1"/>
      <c r="L57" s="1"/>
      <c r="M57" s="2"/>
      <c r="N57" s="1"/>
      <c r="O57" s="1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1"/>
      <c r="B58" s="1"/>
      <c r="C58" s="1"/>
      <c r="D58" s="1"/>
      <c r="E58" s="32"/>
      <c r="F58" s="11"/>
      <c r="G58" s="11"/>
      <c r="H58" s="11"/>
      <c r="I58" s="11"/>
      <c r="J58" s="11"/>
      <c r="K58" s="1"/>
      <c r="L58" s="1"/>
      <c r="M58" s="2"/>
      <c r="N58" s="1"/>
      <c r="O58" s="1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1"/>
      <c r="B59" s="1"/>
      <c r="C59" s="1"/>
      <c r="D59" s="1"/>
      <c r="E59" s="32"/>
      <c r="F59" s="11"/>
      <c r="G59" s="11"/>
      <c r="H59" s="11"/>
      <c r="I59" s="11"/>
      <c r="J59" s="11"/>
      <c r="K59" s="1"/>
      <c r="L59" s="1"/>
      <c r="M59" s="2"/>
      <c r="N59" s="1"/>
      <c r="O59" s="1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2"/>
      <c r="N62" s="1"/>
      <c r="O62" s="1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2"/>
      <c r="N63" s="1"/>
      <c r="O63" s="1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2"/>
      <c r="N64" s="1"/>
      <c r="O64" s="1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2"/>
      <c r="N65" s="1"/>
      <c r="O65" s="1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2"/>
      <c r="N66" s="1"/>
      <c r="O66" s="1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2"/>
      <c r="N67" s="1"/>
      <c r="O67" s="1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2"/>
      <c r="N68" s="1"/>
      <c r="O68" s="1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2"/>
      <c r="N69" s="1"/>
      <c r="O69" s="1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2"/>
      <c r="N70" s="1"/>
      <c r="O70" s="1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2"/>
      <c r="N71" s="1"/>
      <c r="O71" s="1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2"/>
      <c r="N72" s="1"/>
      <c r="O72" s="1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2"/>
      <c r="N73" s="1"/>
      <c r="O73" s="1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2"/>
      <c r="N74" s="1"/>
      <c r="O74" s="1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2"/>
      <c r="N75" s="1"/>
      <c r="O75" s="1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2"/>
      <c r="N76" s="1"/>
      <c r="O76" s="1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2"/>
      <c r="N77" s="1"/>
      <c r="O77" s="1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2"/>
      <c r="N78" s="1"/>
      <c r="O78" s="1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2"/>
      <c r="N79" s="1"/>
      <c r="O79" s="1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2"/>
      <c r="N80" s="1"/>
      <c r="O80" s="1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2"/>
      <c r="N81" s="1"/>
      <c r="O81" s="1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2"/>
      <c r="N82" s="1"/>
      <c r="O82" s="1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2"/>
      <c r="N83" s="1"/>
      <c r="O83" s="1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2"/>
      <c r="N84" s="1"/>
      <c r="O84" s="1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2"/>
      <c r="N85" s="1"/>
      <c r="O85" s="1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2"/>
      <c r="N86" s="1"/>
      <c r="O86" s="1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2"/>
      <c r="N87" s="1"/>
      <c r="O87" s="1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2"/>
      <c r="N88" s="1"/>
      <c r="O88" s="1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2"/>
      <c r="N89" s="1"/>
      <c r="O89" s="1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2"/>
      <c r="N90" s="1"/>
      <c r="O90" s="1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2"/>
      <c r="N91" s="1"/>
      <c r="O91" s="1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2"/>
      <c r="N92" s="1"/>
      <c r="O92" s="1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2"/>
      <c r="N93" s="1"/>
      <c r="O93" s="1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2"/>
      <c r="N94" s="1"/>
      <c r="O94" s="1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2"/>
      <c r="N95" s="1"/>
      <c r="O95" s="1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2"/>
      <c r="N96" s="1"/>
      <c r="O96" s="1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2"/>
      <c r="N97" s="1"/>
      <c r="O97" s="1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2"/>
      <c r="N98" s="1"/>
      <c r="O98" s="1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2"/>
      <c r="N99" s="1"/>
      <c r="O99" s="1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2"/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2"/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2"/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2"/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2"/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2"/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2"/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2"/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2"/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2"/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2"/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2"/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2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2"/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2"/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2"/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2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2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2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2"/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2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2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2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2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2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2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2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2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2"/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2"/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2"/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2"/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2"/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2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2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2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2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2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2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2"/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2"/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2"/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2"/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2"/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2"/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2"/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2"/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2"/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2"/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2"/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2"/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2"/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2"/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2"/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2"/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2"/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2"/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2"/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2"/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2"/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2"/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2"/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2"/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2"/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2"/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2"/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2"/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2"/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2"/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2"/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2"/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2"/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2"/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2"/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2"/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2"/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2"/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2"/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2"/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2"/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2"/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2"/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2"/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2"/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2"/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2"/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2"/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2"/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2"/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2"/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2"/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2"/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2"/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2"/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2"/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2"/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2"/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2"/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2"/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2"/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2"/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2"/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2"/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2"/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2"/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2"/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2"/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2"/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2"/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2"/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2"/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2"/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2"/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2"/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2"/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2"/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2"/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2"/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2"/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2"/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2"/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2"/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2"/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2"/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2"/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2"/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2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2"/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2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2"/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2"/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2"/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2"/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2"/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2"/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2"/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2"/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2"/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2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2"/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2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2"/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2"/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2"/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2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2"/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2"/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2"/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2"/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2"/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2"/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2"/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2"/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2"/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2"/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2"/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2"/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2"/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2"/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2"/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2"/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2"/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2"/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2"/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2"/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2"/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2"/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2"/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2"/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2"/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2"/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2"/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2"/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2"/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2"/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2"/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2"/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2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2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2"/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2"/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2"/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2"/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2"/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2"/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2"/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2"/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2"/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2"/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2"/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2"/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2"/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2"/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2"/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2"/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2"/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2"/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2"/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2"/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2"/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2"/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2"/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2"/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2"/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2"/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2"/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2"/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2"/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2"/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2"/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2"/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2"/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2"/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2"/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2"/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2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2"/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2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2"/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2"/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2"/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2"/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2"/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2"/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2"/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2"/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2"/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2"/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2"/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2"/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2"/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2"/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2"/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2"/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2"/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2"/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2"/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2"/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2"/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2"/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2"/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2"/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2"/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2"/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2"/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2"/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2"/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2"/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2"/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2"/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2"/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2"/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2"/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2"/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2"/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2"/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2"/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2"/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2"/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2"/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2"/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2"/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2"/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2"/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2"/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2"/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2"/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2"/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2"/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2"/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2"/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2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2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2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2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2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2"/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2"/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2"/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2"/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2"/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2"/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2"/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2"/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2"/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2"/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2"/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2"/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2"/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2"/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2"/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2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2"/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2"/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2"/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2"/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2"/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2"/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2"/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2"/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2"/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2"/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2"/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2"/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2"/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2"/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2"/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2"/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2"/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2"/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2"/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2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2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2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2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2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2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2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2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2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2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2"/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2"/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2"/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2"/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2"/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2"/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2"/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2"/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2"/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2"/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2"/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2"/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2"/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2"/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2"/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2"/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2"/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2"/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2"/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2"/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2"/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2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2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2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2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2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2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2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2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2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2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2"/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2"/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2"/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2"/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2"/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2"/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2"/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2"/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2"/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2"/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2"/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2"/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2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2"/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2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2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2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2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2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2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2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2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2"/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2"/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2"/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2"/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2"/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2"/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2"/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2"/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2"/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2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2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2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2"/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2"/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2"/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2"/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2"/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2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2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2"/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2"/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2"/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2"/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2"/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2"/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2"/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2"/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2"/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2"/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2"/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2"/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2"/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2"/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2"/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2"/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2"/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2"/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2"/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2"/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2"/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2"/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2"/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2"/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2"/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2"/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2"/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2"/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2"/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2"/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2"/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2"/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2"/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2"/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2"/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2"/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2"/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2"/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2"/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2"/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2"/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2"/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2"/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2"/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2"/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2"/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2"/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2"/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2"/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2"/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2"/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2"/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2"/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2"/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2"/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2"/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2"/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2"/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2"/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2"/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2"/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2"/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2"/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2"/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2"/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2"/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2"/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2"/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2"/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2"/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2"/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2"/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2"/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2"/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2"/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2"/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2"/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2"/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2"/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2"/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2"/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2"/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2"/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2"/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2"/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2"/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2"/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2"/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2"/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2"/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2"/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2"/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2"/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2"/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2"/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2"/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2"/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2"/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2"/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2"/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2"/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2"/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2"/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2"/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2"/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2"/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2"/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2"/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2"/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2"/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2"/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2"/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2"/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2"/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2"/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2"/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2"/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2"/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2"/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2"/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2"/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2"/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2"/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2"/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2"/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2"/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2"/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2"/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2"/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2"/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2"/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2"/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2"/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2"/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2"/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2"/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2"/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2"/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2"/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2"/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2"/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2"/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2"/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2"/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2"/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2"/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2"/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2"/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2"/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2"/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2"/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2"/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2"/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2"/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2"/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2"/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2"/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2"/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2"/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2"/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2"/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2"/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2"/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2"/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2"/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2"/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2"/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2"/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2"/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2"/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2"/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2"/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2"/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2"/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2"/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2"/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2"/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2"/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2"/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2"/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2"/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2"/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2"/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2"/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2"/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2"/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2"/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2"/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2"/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2"/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2"/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2"/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2"/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2"/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2"/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2"/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2"/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2"/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2"/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2"/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2"/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2"/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2"/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2"/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2"/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2"/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2"/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2"/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2"/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2"/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2"/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2"/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2"/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2"/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2"/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2"/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2"/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2"/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2"/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2"/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2"/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2"/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2"/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2"/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2"/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2"/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2"/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2"/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2"/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2"/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2"/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2"/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2"/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2"/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2"/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2"/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2"/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2"/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2"/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2"/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2"/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2"/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2"/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2"/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2"/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2"/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2"/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2"/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2"/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2"/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2"/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2"/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2"/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2"/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2"/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2"/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2"/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2"/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2"/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2"/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2"/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2"/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2"/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2"/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2"/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2"/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2"/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2"/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2"/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2"/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2"/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2"/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2"/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2"/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2"/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2"/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2"/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2"/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2"/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2"/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2"/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2"/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2"/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2"/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2"/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2"/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2"/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2"/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2"/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2"/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2"/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2"/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2"/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2"/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2"/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2"/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2"/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2"/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2"/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2"/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2"/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2"/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2"/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2"/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2"/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2"/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2"/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2"/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2"/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2"/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2"/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2"/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2"/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2"/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2"/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2"/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2"/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2"/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2"/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2"/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2"/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2"/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2"/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2"/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2"/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2"/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2"/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2"/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2"/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2"/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2"/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2"/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2"/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2"/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2"/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2"/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2"/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2"/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2"/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2"/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2"/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2"/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2"/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2"/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2"/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2"/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2"/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2"/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2"/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2"/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2"/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2"/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2"/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2"/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2"/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2"/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2"/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2"/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2"/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2"/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2"/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2"/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2"/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2"/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2"/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2"/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2"/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2"/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2"/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2"/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2"/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2"/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2"/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2"/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2"/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2"/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2"/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2"/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2"/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2"/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2"/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2"/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2"/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2"/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2"/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2"/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2"/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2"/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2"/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2"/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2"/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2"/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2"/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2"/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2"/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2"/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2"/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2"/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2"/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2"/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2"/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2"/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2"/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2"/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2"/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2"/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2"/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2"/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2"/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2"/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2"/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2"/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2"/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2"/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2"/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2"/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2"/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2"/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2"/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2"/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2"/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2"/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2"/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2"/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2"/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2"/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2"/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2"/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2"/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2"/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2"/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2"/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2"/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2"/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2"/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2"/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2"/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2"/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2"/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2"/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2"/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2"/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2"/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2"/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 x14ac:dyDescent="0.2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2"/>
      <c r="N1001" s="1"/>
      <c r="O1001" s="1"/>
      <c r="P1001" s="2"/>
      <c r="Q1001" s="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 x14ac:dyDescent="0.2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2"/>
      <c r="N1002" s="1"/>
      <c r="O1002" s="1"/>
      <c r="P1002" s="2"/>
      <c r="Q1002" s="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 x14ac:dyDescent="0.2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2"/>
      <c r="N1003" s="1"/>
      <c r="O1003" s="1"/>
      <c r="P1003" s="2"/>
      <c r="Q1003" s="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 x14ac:dyDescent="0.2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2"/>
      <c r="N1004" s="1"/>
      <c r="O1004" s="1"/>
      <c r="P1004" s="2"/>
      <c r="Q1004" s="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 x14ac:dyDescent="0.2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2"/>
      <c r="N1005" s="1"/>
      <c r="O1005" s="1"/>
      <c r="P1005" s="2"/>
      <c r="Q1005" s="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9"/>
  <sheetViews>
    <sheetView tabSelected="1" topLeftCell="D1" zoomScale="140" zoomScaleNormal="140" zoomScalePageLayoutView="140" workbookViewId="0">
      <selection activeCell="Z22" sqref="Z22"/>
    </sheetView>
  </sheetViews>
  <sheetFormatPr baseColWidth="10" defaultRowHeight="16" outlineLevelRow="2" x14ac:dyDescent="0.2"/>
  <cols>
    <col min="1" max="1" width="1.6640625" style="302" customWidth="1"/>
    <col min="2" max="2" width="0.6640625" style="302" customWidth="1"/>
    <col min="3" max="3" width="11.1640625" style="303" customWidth="1"/>
    <col min="4" max="4" width="22.6640625" style="304" customWidth="1"/>
    <col min="5" max="5" width="39.6640625" style="305" customWidth="1"/>
    <col min="6" max="6" width="8.6640625" style="306" hidden="1" customWidth="1"/>
    <col min="7" max="7" width="13.83203125" style="70" customWidth="1"/>
    <col min="8" max="8" width="24.33203125" style="70" customWidth="1"/>
    <col min="9" max="9" width="20.6640625" style="70" customWidth="1"/>
    <col min="10" max="10" width="1" style="70" customWidth="1"/>
    <col min="11" max="11" width="14.1640625" style="307" customWidth="1"/>
    <col min="12" max="12" width="13.33203125" style="307" customWidth="1"/>
    <col min="13" max="13" width="0.83203125" style="70" customWidth="1"/>
    <col min="14" max="14" width="12.33203125" style="307" customWidth="1"/>
    <col min="15" max="15" width="7.5" style="307" bestFit="1" customWidth="1"/>
    <col min="16" max="16" width="11.6640625" style="307" customWidth="1"/>
    <col min="17" max="17" width="1.5" style="70" customWidth="1"/>
    <col min="18" max="18" width="2.1640625" style="70" hidden="1" customWidth="1"/>
    <col min="19" max="19" width="13.5" style="308" hidden="1" customWidth="1"/>
    <col min="20" max="20" width="11.5" style="302" hidden="1" customWidth="1"/>
    <col min="21" max="21" width="13.5" style="308" hidden="1" customWidth="1"/>
    <col min="22" max="22" width="13" style="70" customWidth="1"/>
    <col min="23" max="23" width="12.33203125" style="70" customWidth="1"/>
    <col min="24" max="24" width="13.5" style="309" customWidth="1"/>
    <col min="25" max="25" width="9.1640625" style="310" bestFit="1" customWidth="1"/>
    <col min="26" max="26" width="13.1640625" style="309" customWidth="1"/>
    <col min="27" max="27" width="0.83203125" style="302" customWidth="1"/>
    <col min="28" max="28" width="14.6640625" style="310" customWidth="1"/>
    <col min="29" max="31" width="10.83203125" style="302"/>
  </cols>
  <sheetData>
    <row r="1" spans="1:28" s="74" customFormat="1" ht="19" x14ac:dyDescent="0.25">
      <c r="A1" s="139" t="s">
        <v>106</v>
      </c>
      <c r="B1" s="139"/>
      <c r="C1" s="140"/>
      <c r="D1" s="141"/>
      <c r="E1" s="141"/>
      <c r="G1" s="140"/>
      <c r="H1" s="160"/>
      <c r="I1" s="166"/>
      <c r="J1" s="140"/>
      <c r="K1" s="142"/>
      <c r="M1" s="68"/>
      <c r="N1" s="75"/>
      <c r="O1" s="75"/>
      <c r="P1" s="72"/>
      <c r="Q1" s="68"/>
      <c r="R1" s="68"/>
      <c r="S1" s="71"/>
      <c r="T1" s="72"/>
      <c r="U1" s="71"/>
      <c r="V1" s="68"/>
      <c r="W1" s="68"/>
      <c r="X1" s="78"/>
      <c r="Y1" s="127"/>
      <c r="Z1" s="78"/>
      <c r="AB1" s="127"/>
    </row>
    <row r="2" spans="1:28" s="74" customFormat="1" ht="19" x14ac:dyDescent="0.25">
      <c r="A2" s="171"/>
      <c r="B2" s="171"/>
      <c r="C2" s="172"/>
      <c r="D2" s="173"/>
      <c r="E2" s="173"/>
      <c r="G2" s="172"/>
      <c r="H2" s="174"/>
      <c r="I2" s="73"/>
      <c r="J2" s="172"/>
      <c r="K2" s="73"/>
      <c r="M2" s="68"/>
      <c r="N2" s="75"/>
      <c r="O2" s="75"/>
      <c r="P2" s="72"/>
      <c r="Q2" s="68"/>
      <c r="R2" s="68"/>
      <c r="S2" s="71"/>
      <c r="T2" s="72"/>
      <c r="U2" s="71"/>
      <c r="V2" s="68"/>
      <c r="W2" s="68"/>
      <c r="X2" s="78"/>
      <c r="Y2" s="127"/>
      <c r="Z2" s="78"/>
      <c r="AB2" s="127"/>
    </row>
    <row r="3" spans="1:28" s="74" customFormat="1" ht="26" x14ac:dyDescent="0.3">
      <c r="B3" s="163" t="s">
        <v>107</v>
      </c>
      <c r="C3" s="163"/>
      <c r="D3" s="113"/>
      <c r="E3" s="111"/>
      <c r="F3" s="111"/>
      <c r="G3" s="148"/>
      <c r="H3" s="149"/>
      <c r="I3" s="149"/>
      <c r="J3" s="149"/>
      <c r="K3" s="149"/>
      <c r="M3" s="68"/>
      <c r="N3" s="75"/>
      <c r="O3" s="75"/>
      <c r="P3" s="72"/>
      <c r="Q3" s="68"/>
      <c r="R3" s="68"/>
      <c r="S3" s="71"/>
      <c r="T3" s="72"/>
      <c r="U3" s="71"/>
      <c r="V3" s="68"/>
      <c r="W3" s="68"/>
      <c r="X3" s="78"/>
      <c r="Y3" s="127"/>
      <c r="Z3" s="78"/>
      <c r="AB3" s="127"/>
    </row>
    <row r="4" spans="1:28" s="74" customFormat="1" ht="21" x14ac:dyDescent="0.25">
      <c r="B4" s="65"/>
      <c r="C4" s="157" t="s">
        <v>119</v>
      </c>
      <c r="D4" s="158"/>
      <c r="E4" s="158"/>
      <c r="F4" s="158"/>
      <c r="G4" s="158"/>
      <c r="H4" s="159" t="s">
        <v>117</v>
      </c>
      <c r="I4" s="159" t="s">
        <v>118</v>
      </c>
      <c r="J4" s="68"/>
      <c r="K4" s="165" t="s">
        <v>121</v>
      </c>
      <c r="M4" s="68"/>
      <c r="N4" s="75"/>
      <c r="O4" s="75"/>
      <c r="P4" s="72"/>
      <c r="Q4" s="68"/>
      <c r="R4" s="68"/>
      <c r="S4" s="71"/>
      <c r="T4" s="72"/>
      <c r="U4" s="71"/>
      <c r="V4" s="68"/>
      <c r="W4" s="68"/>
      <c r="X4" s="78"/>
      <c r="Y4" s="127"/>
      <c r="Z4" s="78"/>
      <c r="AB4" s="127"/>
    </row>
    <row r="5" spans="1:28" s="74" customFormat="1" x14ac:dyDescent="0.2">
      <c r="B5" s="65"/>
      <c r="C5" s="138"/>
      <c r="D5" s="143" t="s">
        <v>109</v>
      </c>
      <c r="E5" s="68" t="s">
        <v>66</v>
      </c>
      <c r="H5" s="151">
        <v>0</v>
      </c>
      <c r="I5" s="167">
        <f>-V32</f>
        <v>-2000</v>
      </c>
      <c r="K5" s="176">
        <f>H5+I5</f>
        <v>-2000</v>
      </c>
      <c r="L5" s="179" t="s">
        <v>114</v>
      </c>
      <c r="M5" s="68"/>
      <c r="O5" s="75"/>
      <c r="P5" s="72"/>
      <c r="Q5" s="68"/>
      <c r="R5" s="68"/>
      <c r="S5" s="71"/>
      <c r="T5" s="72"/>
      <c r="U5" s="71"/>
      <c r="V5" s="68"/>
      <c r="W5" s="68"/>
      <c r="X5" s="78"/>
      <c r="Y5" s="127"/>
      <c r="Z5" s="78"/>
      <c r="AB5" s="127"/>
    </row>
    <row r="6" spans="1:28" s="74" customFormat="1" x14ac:dyDescent="0.2">
      <c r="B6" s="65"/>
      <c r="C6" s="138"/>
      <c r="D6" s="136" t="s">
        <v>115</v>
      </c>
      <c r="E6" s="144" t="s">
        <v>116</v>
      </c>
      <c r="G6" s="177">
        <f ca="1">K12/-K5</f>
        <v>114.69083333340896</v>
      </c>
      <c r="I6" s="150"/>
      <c r="L6" s="179"/>
      <c r="M6" s="68"/>
      <c r="O6" s="75"/>
      <c r="P6" s="72"/>
      <c r="Q6" s="68"/>
      <c r="R6" s="68"/>
      <c r="S6" s="71"/>
      <c r="T6" s="72"/>
      <c r="U6" s="71"/>
      <c r="V6" s="68"/>
      <c r="W6" s="68"/>
      <c r="X6" s="78"/>
      <c r="Y6" s="127"/>
      <c r="Z6" s="78"/>
      <c r="AB6" s="127"/>
    </row>
    <row r="7" spans="1:28" s="74" customFormat="1" x14ac:dyDescent="0.2">
      <c r="B7" s="65"/>
      <c r="C7" s="138"/>
      <c r="D7" s="136"/>
      <c r="E7" s="144"/>
      <c r="I7" s="150"/>
      <c r="K7" s="168"/>
      <c r="L7" s="179"/>
      <c r="M7" s="68"/>
      <c r="O7" s="75"/>
      <c r="P7" s="72"/>
      <c r="Q7" s="68"/>
      <c r="R7" s="68"/>
      <c r="S7" s="71"/>
      <c r="T7" s="72"/>
      <c r="U7" s="71"/>
      <c r="V7" s="68"/>
      <c r="W7" s="68"/>
      <c r="X7" s="78"/>
      <c r="Y7" s="127"/>
      <c r="Z7" s="78"/>
      <c r="AB7" s="127"/>
    </row>
    <row r="8" spans="1:28" s="74" customFormat="1" ht="21" x14ac:dyDescent="0.25">
      <c r="B8" s="65"/>
      <c r="C8" s="152" t="s">
        <v>120</v>
      </c>
      <c r="D8" s="153"/>
      <c r="E8" s="155"/>
      <c r="F8" s="154"/>
      <c r="G8" s="155"/>
      <c r="H8" s="156" t="s">
        <v>117</v>
      </c>
      <c r="I8" s="156" t="s">
        <v>118</v>
      </c>
      <c r="J8" s="162"/>
      <c r="K8" s="169" t="s">
        <v>121</v>
      </c>
      <c r="L8" s="77"/>
      <c r="M8" s="68"/>
      <c r="O8" s="75"/>
      <c r="P8" s="72"/>
      <c r="Q8" s="68"/>
      <c r="R8" s="68"/>
      <c r="S8" s="71"/>
      <c r="T8" s="72"/>
      <c r="U8" s="71"/>
      <c r="V8" s="68"/>
      <c r="W8" s="68"/>
      <c r="X8" s="78"/>
      <c r="Y8" s="127"/>
      <c r="Z8" s="78"/>
      <c r="AB8" s="127"/>
    </row>
    <row r="9" spans="1:28" s="74" customFormat="1" x14ac:dyDescent="0.2">
      <c r="B9" s="65"/>
      <c r="D9" s="136" t="s">
        <v>112</v>
      </c>
      <c r="E9" s="68" t="s">
        <v>64</v>
      </c>
      <c r="G9" s="145">
        <f>$AB$46</f>
        <v>114600</v>
      </c>
      <c r="H9" s="145">
        <f>G9</f>
        <v>114600</v>
      </c>
      <c r="I9" s="145">
        <v>0</v>
      </c>
      <c r="K9" s="75">
        <f>H9+I9</f>
        <v>114600</v>
      </c>
      <c r="L9" s="179" t="s">
        <v>113</v>
      </c>
      <c r="M9" s="68"/>
      <c r="O9" s="75"/>
      <c r="P9" s="72"/>
      <c r="Q9" s="68"/>
      <c r="R9" s="68"/>
      <c r="S9" s="71"/>
      <c r="T9" s="72"/>
      <c r="U9" s="71"/>
      <c r="V9" s="68"/>
      <c r="W9" s="68"/>
      <c r="X9" s="78"/>
      <c r="Y9" s="127"/>
      <c r="Z9" s="78"/>
      <c r="AB9" s="127"/>
    </row>
    <row r="10" spans="1:28" s="74" customFormat="1" x14ac:dyDescent="0.2">
      <c r="B10" s="65"/>
      <c r="D10" s="136" t="s">
        <v>110</v>
      </c>
      <c r="E10" s="68" t="s">
        <v>90</v>
      </c>
      <c r="G10" s="145">
        <f ca="1">$AB$82</f>
        <v>44222.24358975522</v>
      </c>
      <c r="H10" s="145">
        <f t="shared" ref="H10:H11" ca="1" si="0">G10</f>
        <v>44222.24358975522</v>
      </c>
      <c r="I10" s="145">
        <v>0</v>
      </c>
      <c r="K10" s="75">
        <f ca="1">H10+I10</f>
        <v>44222.24358975522</v>
      </c>
      <c r="L10" s="179" t="s">
        <v>113</v>
      </c>
      <c r="M10" s="68"/>
      <c r="O10" s="75"/>
      <c r="P10" s="72"/>
      <c r="Q10" s="68"/>
      <c r="R10" s="68"/>
      <c r="S10" s="71"/>
      <c r="T10" s="72"/>
      <c r="U10" s="71"/>
      <c r="V10" s="68"/>
      <c r="W10" s="68"/>
      <c r="X10" s="78"/>
      <c r="Y10" s="127"/>
      <c r="Z10" s="78"/>
      <c r="AB10" s="127"/>
    </row>
    <row r="11" spans="1:28" s="74" customFormat="1" x14ac:dyDescent="0.2">
      <c r="B11" s="65"/>
      <c r="D11" s="136" t="s">
        <v>111</v>
      </c>
      <c r="E11" s="68" t="s">
        <v>105</v>
      </c>
      <c r="G11" s="145">
        <f>$AB$60</f>
        <v>70559.423076923078</v>
      </c>
      <c r="H11" s="145">
        <f t="shared" si="0"/>
        <v>70559.423076923078</v>
      </c>
      <c r="I11" s="145">
        <v>0</v>
      </c>
      <c r="K11" s="75">
        <f>H11+I11</f>
        <v>70559.423076923078</v>
      </c>
      <c r="L11" s="179" t="s">
        <v>113</v>
      </c>
      <c r="M11" s="68"/>
      <c r="O11" s="75"/>
      <c r="P11" s="72"/>
      <c r="Q11" s="68"/>
      <c r="R11" s="68"/>
      <c r="S11" s="71"/>
      <c r="T11" s="72"/>
      <c r="U11" s="71"/>
      <c r="V11" s="68"/>
      <c r="W11" s="68"/>
      <c r="X11" s="78"/>
      <c r="Y11" s="127"/>
      <c r="Z11" s="78"/>
      <c r="AB11" s="127"/>
    </row>
    <row r="12" spans="1:28" s="74" customFormat="1" ht="17" thickBot="1" x14ac:dyDescent="0.25">
      <c r="B12" s="65"/>
      <c r="D12" s="129"/>
      <c r="E12" s="68"/>
      <c r="H12" s="146">
        <f ca="1">SUM(H9:H11)</f>
        <v>229381.66666667827</v>
      </c>
      <c r="I12" s="146">
        <f>SUM(I9:I11)</f>
        <v>0</v>
      </c>
      <c r="K12" s="170">
        <f ca="1">H12+I12</f>
        <v>229381.66666667827</v>
      </c>
      <c r="L12" s="76"/>
      <c r="M12" s="68"/>
      <c r="O12" s="75"/>
      <c r="P12" s="72"/>
      <c r="Q12" s="68"/>
      <c r="R12" s="68"/>
      <c r="S12" s="71"/>
      <c r="T12" s="72"/>
      <c r="U12" s="71"/>
      <c r="V12" s="68"/>
      <c r="W12" s="68"/>
      <c r="X12" s="78"/>
      <c r="Y12" s="127"/>
      <c r="Z12" s="78"/>
      <c r="AB12" s="127"/>
    </row>
    <row r="13" spans="1:28" s="74" customFormat="1" ht="6" customHeight="1" thickTop="1" x14ac:dyDescent="0.2">
      <c r="D13" s="129"/>
      <c r="E13" s="68"/>
      <c r="H13" s="76"/>
      <c r="I13" s="68"/>
      <c r="K13" s="75"/>
      <c r="L13" s="76"/>
      <c r="M13" s="68"/>
      <c r="O13" s="75"/>
      <c r="P13" s="72"/>
      <c r="Q13" s="68"/>
      <c r="R13" s="68"/>
      <c r="S13" s="71"/>
      <c r="T13" s="72"/>
      <c r="U13" s="71"/>
      <c r="V13" s="68"/>
      <c r="W13" s="68"/>
      <c r="X13" s="78"/>
      <c r="Y13" s="127"/>
      <c r="Z13" s="78"/>
      <c r="AB13" s="127"/>
    </row>
    <row r="14" spans="1:28" s="74" customFormat="1" ht="26" x14ac:dyDescent="0.3">
      <c r="B14" s="163" t="s">
        <v>108</v>
      </c>
      <c r="C14" s="147"/>
      <c r="D14" s="112"/>
      <c r="E14" s="111"/>
      <c r="F14" s="111"/>
      <c r="G14" s="111"/>
      <c r="H14" s="149"/>
      <c r="I14" s="149"/>
      <c r="J14" s="149"/>
      <c r="K14" s="149"/>
      <c r="L14" s="77"/>
      <c r="M14" s="68"/>
      <c r="N14" s="74" t="s">
        <v>130</v>
      </c>
      <c r="O14" s="75"/>
      <c r="P14" s="72"/>
      <c r="Q14" s="68"/>
      <c r="R14" s="68"/>
      <c r="S14" s="71"/>
      <c r="T14" s="72"/>
      <c r="U14" s="71"/>
      <c r="V14" s="68"/>
      <c r="W14" s="68"/>
      <c r="X14" s="78"/>
      <c r="Y14" s="127"/>
      <c r="Z14" s="78"/>
      <c r="AB14" s="127"/>
    </row>
    <row r="15" spans="1:28" s="74" customFormat="1" ht="21" x14ac:dyDescent="0.25">
      <c r="B15" s="137"/>
      <c r="C15" s="157" t="s">
        <v>119</v>
      </c>
      <c r="D15" s="178"/>
      <c r="E15" s="158"/>
      <c r="F15" s="158"/>
      <c r="G15" s="158"/>
      <c r="H15" s="159" t="s">
        <v>117</v>
      </c>
      <c r="I15" s="159" t="s">
        <v>118</v>
      </c>
      <c r="J15" s="67"/>
      <c r="K15" s="165" t="s">
        <v>121</v>
      </c>
      <c r="L15" s="77"/>
      <c r="M15" s="68"/>
      <c r="N15" s="74" t="s">
        <v>130</v>
      </c>
      <c r="O15" s="75"/>
      <c r="P15" s="72"/>
      <c r="Q15" s="68"/>
      <c r="R15" s="68"/>
      <c r="S15" s="71"/>
      <c r="T15" s="72"/>
      <c r="U15" s="71"/>
      <c r="V15" s="68"/>
      <c r="W15" s="68"/>
      <c r="X15" s="78"/>
      <c r="Y15" s="127"/>
      <c r="Z15" s="78"/>
      <c r="AB15" s="127"/>
    </row>
    <row r="16" spans="1:28" s="74" customFormat="1" x14ac:dyDescent="0.2">
      <c r="B16" s="65"/>
      <c r="C16" s="138"/>
      <c r="D16" s="143" t="s">
        <v>109</v>
      </c>
      <c r="E16" s="68" t="s">
        <v>66</v>
      </c>
      <c r="H16" s="164">
        <v>2000</v>
      </c>
      <c r="I16" s="167">
        <v>-200</v>
      </c>
      <c r="K16" s="175">
        <f>H16+I16</f>
        <v>1800</v>
      </c>
      <c r="L16" s="179" t="s">
        <v>114</v>
      </c>
      <c r="M16" s="68"/>
      <c r="O16" s="75"/>
      <c r="P16" s="72"/>
      <c r="Q16" s="68"/>
      <c r="R16" s="68"/>
      <c r="S16" s="71"/>
      <c r="T16" s="72"/>
      <c r="U16" s="71"/>
      <c r="V16" s="68"/>
      <c r="W16" s="68"/>
      <c r="X16" s="78"/>
      <c r="Y16" s="127"/>
      <c r="Z16" s="78"/>
      <c r="AB16" s="127"/>
    </row>
    <row r="17" spans="1:28" s="74" customFormat="1" x14ac:dyDescent="0.2">
      <c r="B17" s="65"/>
      <c r="C17" s="138"/>
      <c r="D17" s="136" t="s">
        <v>125</v>
      </c>
      <c r="E17" s="144" t="s">
        <v>116</v>
      </c>
      <c r="G17" s="177">
        <f ca="1">K23/K16</f>
        <v>-127.43425925934328</v>
      </c>
      <c r="H17" s="179"/>
      <c r="M17" s="68"/>
      <c r="O17" s="75"/>
      <c r="P17" s="72"/>
      <c r="Q17" s="68"/>
      <c r="R17" s="68"/>
      <c r="S17" s="71"/>
      <c r="T17" s="72"/>
      <c r="U17" s="71"/>
      <c r="V17" s="68"/>
      <c r="W17" s="68"/>
      <c r="X17" s="78"/>
      <c r="Y17" s="127"/>
      <c r="Z17" s="78"/>
      <c r="AB17" s="127"/>
    </row>
    <row r="18" spans="1:28" s="74" customFormat="1" x14ac:dyDescent="0.2">
      <c r="B18" s="65"/>
      <c r="C18" s="138"/>
      <c r="D18" s="77"/>
      <c r="E18" s="144"/>
      <c r="K18" s="168"/>
      <c r="L18" s="179"/>
      <c r="M18" s="68"/>
      <c r="O18" s="75"/>
      <c r="P18" s="72"/>
      <c r="Q18" s="68"/>
      <c r="R18" s="68"/>
      <c r="S18" s="71"/>
      <c r="T18" s="72"/>
      <c r="U18" s="71"/>
      <c r="V18" s="68"/>
      <c r="W18" s="68"/>
      <c r="X18" s="78"/>
      <c r="Y18" s="127"/>
      <c r="Z18" s="78"/>
      <c r="AB18" s="127"/>
    </row>
    <row r="19" spans="1:28" s="74" customFormat="1" ht="21" x14ac:dyDescent="0.25">
      <c r="B19" s="65"/>
      <c r="C19" s="152" t="s">
        <v>120</v>
      </c>
      <c r="D19" s="180"/>
      <c r="E19" s="155"/>
      <c r="F19" s="154"/>
      <c r="G19" s="155"/>
      <c r="H19" s="156" t="s">
        <v>117</v>
      </c>
      <c r="I19" s="156" t="s">
        <v>118</v>
      </c>
      <c r="J19" s="162"/>
      <c r="K19" s="169" t="s">
        <v>121</v>
      </c>
      <c r="L19" s="77"/>
      <c r="M19" s="68"/>
      <c r="O19" s="75"/>
      <c r="P19" s="72"/>
      <c r="Q19" s="68"/>
      <c r="R19" s="68"/>
      <c r="S19" s="71"/>
      <c r="T19" s="72"/>
      <c r="U19" s="71"/>
      <c r="V19" s="68"/>
      <c r="W19" s="68"/>
      <c r="X19" s="78"/>
      <c r="Y19" s="127"/>
      <c r="Z19" s="78"/>
      <c r="AB19" s="127"/>
    </row>
    <row r="20" spans="1:28" s="74" customFormat="1" x14ac:dyDescent="0.2">
      <c r="B20" s="65"/>
      <c r="D20" s="136" t="s">
        <v>112</v>
      </c>
      <c r="E20" s="68" t="s">
        <v>64</v>
      </c>
      <c r="G20" s="145">
        <f>$AB$46</f>
        <v>114600</v>
      </c>
      <c r="H20" s="145">
        <v>0</v>
      </c>
      <c r="I20" s="145">
        <f>-G20</f>
        <v>-114600</v>
      </c>
      <c r="K20" s="75">
        <f>H20+I20</f>
        <v>-114600</v>
      </c>
      <c r="L20" s="179" t="s">
        <v>113</v>
      </c>
      <c r="M20" s="68"/>
      <c r="O20" s="75"/>
      <c r="P20" s="72"/>
      <c r="Q20" s="68"/>
      <c r="R20" s="68"/>
      <c r="S20" s="71"/>
      <c r="T20" s="72"/>
      <c r="U20" s="71"/>
      <c r="V20" s="68"/>
      <c r="W20" s="68"/>
      <c r="X20" s="78"/>
      <c r="Y20" s="127"/>
      <c r="Z20" s="78"/>
      <c r="AB20" s="127"/>
    </row>
    <row r="21" spans="1:28" s="74" customFormat="1" x14ac:dyDescent="0.2">
      <c r="B21" s="65"/>
      <c r="D21" s="136" t="s">
        <v>110</v>
      </c>
      <c r="E21" s="68" t="s">
        <v>90</v>
      </c>
      <c r="G21" s="145">
        <f ca="1">$AB$82</f>
        <v>44222.24358975522</v>
      </c>
      <c r="H21" s="145">
        <v>0</v>
      </c>
      <c r="I21" s="145">
        <f ca="1">-G21</f>
        <v>-44222.24358975522</v>
      </c>
      <c r="K21" s="75">
        <f ca="1">H21+I21</f>
        <v>-44222.24358975522</v>
      </c>
      <c r="L21" s="179" t="s">
        <v>113</v>
      </c>
      <c r="M21" s="68"/>
      <c r="O21" s="75"/>
      <c r="P21" s="72"/>
      <c r="Q21" s="68"/>
      <c r="R21" s="68"/>
      <c r="S21" s="71"/>
      <c r="T21" s="72"/>
      <c r="U21" s="71"/>
      <c r="V21" s="68"/>
      <c r="W21" s="68"/>
      <c r="X21" s="78" t="s">
        <v>130</v>
      </c>
      <c r="Y21" s="127"/>
      <c r="Z21" s="78"/>
      <c r="AB21" s="127"/>
    </row>
    <row r="22" spans="1:28" s="74" customFormat="1" x14ac:dyDescent="0.2">
      <c r="B22" s="65"/>
      <c r="D22" s="136" t="s">
        <v>111</v>
      </c>
      <c r="E22" s="68" t="s">
        <v>105</v>
      </c>
      <c r="G22" s="145">
        <f>$AB$60</f>
        <v>70559.423076923078</v>
      </c>
      <c r="H22" s="145">
        <v>0</v>
      </c>
      <c r="I22" s="145">
        <f>-G22</f>
        <v>-70559.423076923078</v>
      </c>
      <c r="K22" s="75">
        <f>H22+I22</f>
        <v>-70559.423076923078</v>
      </c>
      <c r="L22" s="179" t="s">
        <v>113</v>
      </c>
      <c r="M22" s="68"/>
      <c r="O22" s="75"/>
      <c r="P22" s="72"/>
      <c r="Q22" s="68"/>
      <c r="R22" s="68"/>
      <c r="S22" s="71"/>
      <c r="T22" s="72"/>
      <c r="U22" s="71"/>
      <c r="V22" s="68"/>
      <c r="W22" s="68"/>
      <c r="X22" s="78"/>
      <c r="Y22" s="127"/>
      <c r="Z22" s="78"/>
      <c r="AB22" s="127"/>
    </row>
    <row r="23" spans="1:28" s="74" customFormat="1" ht="17" thickBot="1" x14ac:dyDescent="0.25">
      <c r="B23" s="65"/>
      <c r="D23" s="96"/>
      <c r="G23" s="68"/>
      <c r="H23" s="161">
        <f>SUM(H20:H22)</f>
        <v>0</v>
      </c>
      <c r="I23" s="161">
        <f ca="1">SUM(I20:I22)</f>
        <v>-229381.66666667827</v>
      </c>
      <c r="K23" s="170">
        <f ca="1">H23+I23</f>
        <v>-229381.66666667827</v>
      </c>
      <c r="M23" s="68"/>
      <c r="N23" s="75"/>
      <c r="O23" s="75"/>
      <c r="P23" s="72"/>
      <c r="Q23" s="68"/>
      <c r="R23" s="68"/>
      <c r="S23" s="71"/>
      <c r="T23" s="72"/>
      <c r="U23" s="71"/>
      <c r="V23" s="68"/>
      <c r="W23" s="68"/>
      <c r="X23" s="78"/>
      <c r="Y23" s="127"/>
      <c r="Z23" s="78"/>
      <c r="AB23" s="127"/>
    </row>
    <row r="24" spans="1:28" s="74" customFormat="1" x14ac:dyDescent="0.2">
      <c r="B24" s="65"/>
      <c r="D24" s="96"/>
      <c r="G24" s="68"/>
      <c r="H24" s="145"/>
      <c r="I24" s="145"/>
      <c r="J24" s="68"/>
      <c r="K24" s="72"/>
      <c r="L24" s="72"/>
      <c r="M24" s="68"/>
      <c r="N24" s="75"/>
      <c r="O24" s="75"/>
      <c r="P24" s="72"/>
      <c r="Q24" s="68"/>
      <c r="R24" s="68"/>
      <c r="S24" s="71"/>
      <c r="T24" s="72"/>
      <c r="U24" s="71"/>
      <c r="V24" s="68"/>
      <c r="W24" s="68"/>
      <c r="X24" s="78"/>
      <c r="Y24" s="127"/>
      <c r="Z24" s="78"/>
      <c r="AB24" s="127"/>
    </row>
    <row r="25" spans="1:28" s="74" customFormat="1" ht="19" x14ac:dyDescent="0.25">
      <c r="A25" s="111"/>
      <c r="B25" s="219"/>
      <c r="C25" s="219"/>
      <c r="D25" s="220"/>
      <c r="E25" s="221"/>
      <c r="F25" s="76"/>
      <c r="G25" s="109" t="s">
        <v>70</v>
      </c>
      <c r="H25" s="112" t="s">
        <v>126</v>
      </c>
      <c r="I25" s="109" t="s">
        <v>69</v>
      </c>
      <c r="J25" s="68"/>
      <c r="K25" s="108" t="s">
        <v>99</v>
      </c>
      <c r="L25" s="108"/>
      <c r="M25" s="68"/>
      <c r="N25" s="107" t="s">
        <v>98</v>
      </c>
      <c r="O25" s="107"/>
      <c r="P25" s="108"/>
      <c r="Q25" s="68"/>
      <c r="R25" s="68"/>
      <c r="S25" s="71"/>
      <c r="T25" s="72" t="s">
        <v>5</v>
      </c>
      <c r="U25" s="71"/>
      <c r="V25" s="109" t="s">
        <v>72</v>
      </c>
      <c r="W25" s="109"/>
      <c r="X25" s="110"/>
      <c r="Y25" s="124"/>
      <c r="Z25" s="110"/>
      <c r="AB25" s="124"/>
    </row>
    <row r="26" spans="1:28" s="103" customFormat="1" ht="19" customHeight="1" x14ac:dyDescent="0.2">
      <c r="A26" s="217"/>
      <c r="B26" s="222"/>
      <c r="C26" s="222" t="s">
        <v>96</v>
      </c>
      <c r="D26" s="223" t="s">
        <v>97</v>
      </c>
      <c r="E26" s="223" t="s">
        <v>95</v>
      </c>
      <c r="F26" s="104" t="s">
        <v>71</v>
      </c>
      <c r="G26" s="256" t="s">
        <v>128</v>
      </c>
      <c r="H26" s="317" t="s">
        <v>89</v>
      </c>
      <c r="I26" s="325" t="s">
        <v>127</v>
      </c>
      <c r="J26" s="101"/>
      <c r="K26" s="332" t="s">
        <v>100</v>
      </c>
      <c r="L26" s="336" t="s">
        <v>101</v>
      </c>
      <c r="M26" s="102"/>
      <c r="N26" s="332" t="s">
        <v>85</v>
      </c>
      <c r="O26" s="257" t="s">
        <v>86</v>
      </c>
      <c r="P26" s="336" t="s">
        <v>87</v>
      </c>
      <c r="Q26" s="102"/>
      <c r="R26" s="102"/>
      <c r="S26" s="211">
        <f>SUM(S43:S83)</f>
        <v>80000</v>
      </c>
      <c r="T26" s="211" t="e">
        <f>SUM(T43:T83)</f>
        <v>#REF!</v>
      </c>
      <c r="U26" s="211">
        <f>SUM(U43:U83)</f>
        <v>108946</v>
      </c>
      <c r="V26" s="256" t="s">
        <v>73</v>
      </c>
      <c r="W26" s="256" t="s">
        <v>74</v>
      </c>
      <c r="X26" s="318" t="s">
        <v>129</v>
      </c>
      <c r="Y26" s="318" t="s">
        <v>76</v>
      </c>
      <c r="Z26" s="350" t="s">
        <v>75</v>
      </c>
      <c r="AA26" s="97"/>
      <c r="AB26" s="367" t="s">
        <v>77</v>
      </c>
    </row>
    <row r="27" spans="1:28" s="106" customFormat="1" ht="19" customHeight="1" x14ac:dyDescent="0.25">
      <c r="A27" s="372"/>
      <c r="B27" s="372"/>
      <c r="C27" s="373" t="s">
        <v>146</v>
      </c>
      <c r="D27" s="374"/>
      <c r="E27" s="375"/>
      <c r="F27" s="105"/>
      <c r="G27" s="102"/>
      <c r="H27" s="102"/>
      <c r="I27" s="102"/>
      <c r="J27" s="102"/>
      <c r="K27" s="211"/>
      <c r="L27" s="211"/>
      <c r="M27" s="102"/>
      <c r="N27" s="211"/>
      <c r="O27" s="211"/>
      <c r="P27" s="211"/>
      <c r="Q27" s="102"/>
      <c r="R27" s="102"/>
      <c r="S27" s="211"/>
      <c r="T27" s="211"/>
      <c r="U27" s="211"/>
      <c r="V27" s="102"/>
      <c r="W27" s="102"/>
      <c r="X27" s="320"/>
      <c r="Y27" s="320"/>
      <c r="Z27" s="320"/>
      <c r="AA27" s="97"/>
      <c r="AB27" s="321"/>
    </row>
    <row r="28" spans="1:28" s="60" customFormat="1" ht="19" x14ac:dyDescent="0.25">
      <c r="C28" s="224" t="s">
        <v>66</v>
      </c>
      <c r="D28" s="224" t="s">
        <v>67</v>
      </c>
      <c r="E28" s="225" t="s">
        <v>124</v>
      </c>
      <c r="F28" s="63"/>
      <c r="G28" s="258">
        <f>Y28</f>
        <v>200</v>
      </c>
      <c r="H28" s="294">
        <f ca="1">-$K$23/$I$34</f>
        <v>117.03146258503993</v>
      </c>
      <c r="I28" s="326">
        <f ca="1">G28*H28</f>
        <v>23406.292517007987</v>
      </c>
      <c r="J28" s="64"/>
      <c r="K28" s="333">
        <v>0</v>
      </c>
      <c r="L28" s="346">
        <f>365*24</f>
        <v>8760</v>
      </c>
      <c r="M28" s="196"/>
      <c r="N28" s="335">
        <v>0</v>
      </c>
      <c r="O28" s="246">
        <f>V28</f>
        <v>200</v>
      </c>
      <c r="P28" s="337">
        <f>L28</f>
        <v>8760</v>
      </c>
      <c r="Q28" s="123"/>
      <c r="R28" s="345"/>
      <c r="S28" s="323"/>
      <c r="T28" s="324"/>
      <c r="U28" s="323"/>
      <c r="V28" s="295">
        <v>200</v>
      </c>
      <c r="W28" s="312">
        <f>V28/X29</f>
        <v>4.0816326530612246</v>
      </c>
      <c r="X28" s="297">
        <f>$W$34-$W$35-$W$36</f>
        <v>49</v>
      </c>
      <c r="Y28" s="313">
        <f>W28*X28</f>
        <v>200</v>
      </c>
      <c r="Z28" s="351">
        <v>200</v>
      </c>
      <c r="AA28" s="97"/>
      <c r="AB28" s="368">
        <f>Z28</f>
        <v>200</v>
      </c>
    </row>
    <row r="29" spans="1:28" s="60" customFormat="1" ht="19" x14ac:dyDescent="0.25">
      <c r="C29" s="224" t="s">
        <v>66</v>
      </c>
      <c r="D29" s="224" t="s">
        <v>68</v>
      </c>
      <c r="E29" s="225" t="s">
        <v>144</v>
      </c>
      <c r="F29" s="63"/>
      <c r="G29" s="258">
        <f t="shared" ref="G29" si="1">Y29</f>
        <v>1444</v>
      </c>
      <c r="H29" s="294">
        <f ca="1">-$K$23/$I$34</f>
        <v>117.03146258503993</v>
      </c>
      <c r="I29" s="326">
        <f ca="1">G29*H29</f>
        <v>168993.43197279767</v>
      </c>
      <c r="J29" s="64"/>
      <c r="K29" s="333">
        <v>0</v>
      </c>
      <c r="L29" s="346">
        <f>365*24</f>
        <v>8760</v>
      </c>
      <c r="M29" s="196"/>
      <c r="N29" s="335">
        <v>0</v>
      </c>
      <c r="O29" s="246">
        <f>V29</f>
        <v>40</v>
      </c>
      <c r="P29" s="337">
        <f t="shared" ref="P29" si="2">L29</f>
        <v>8760</v>
      </c>
      <c r="Q29" s="123"/>
      <c r="R29" s="345"/>
      <c r="S29" s="323"/>
      <c r="T29" s="324"/>
      <c r="U29" s="323"/>
      <c r="V29" s="296">
        <v>40</v>
      </c>
      <c r="W29" s="312">
        <f>V29-W30-(V28+V31)/X29</f>
        <v>29.469387755102041</v>
      </c>
      <c r="X29" s="297">
        <f t="shared" ref="X29:X31" si="3">$W$34-$W$35-$W$36</f>
        <v>49</v>
      </c>
      <c r="Y29" s="313">
        <f>W29*X29</f>
        <v>1444</v>
      </c>
      <c r="Z29" s="352">
        <v>40</v>
      </c>
      <c r="AA29" s="97"/>
      <c r="AB29" s="368">
        <f>Z29*X29-AB28-AB30-AB31</f>
        <v>1484</v>
      </c>
    </row>
    <row r="30" spans="1:28" s="60" customFormat="1" ht="19" x14ac:dyDescent="0.25">
      <c r="C30" s="224" t="s">
        <v>66</v>
      </c>
      <c r="D30" s="224" t="s">
        <v>68</v>
      </c>
      <c r="E30" s="225" t="s">
        <v>143</v>
      </c>
      <c r="F30" s="63"/>
      <c r="G30" s="258">
        <f t="shared" ref="G30" si="4">Y30</f>
        <v>196</v>
      </c>
      <c r="H30" s="294">
        <f ca="1">-$K$23/$I$34</f>
        <v>117.03146258503993</v>
      </c>
      <c r="I30" s="326">
        <f ca="1">G30*H30</f>
        <v>22938.166666667828</v>
      </c>
      <c r="J30" s="64"/>
      <c r="K30" s="333">
        <v>0</v>
      </c>
      <c r="L30" s="346">
        <f>365*24</f>
        <v>8760</v>
      </c>
      <c r="M30" s="196"/>
      <c r="N30" s="335">
        <v>0</v>
      </c>
      <c r="O30" s="246">
        <f>V30</f>
        <v>120</v>
      </c>
      <c r="P30" s="337">
        <f t="shared" ref="P30" si="5">L30</f>
        <v>8760</v>
      </c>
      <c r="Q30" s="123"/>
      <c r="R30" s="345"/>
      <c r="S30" s="323"/>
      <c r="T30" s="324"/>
      <c r="U30" s="323"/>
      <c r="V30" s="311">
        <f>V29*(G35+G36)</f>
        <v>120</v>
      </c>
      <c r="W30" s="316">
        <v>4</v>
      </c>
      <c r="X30" s="297">
        <f t="shared" si="3"/>
        <v>49</v>
      </c>
      <c r="Y30" s="313">
        <f>W30*X30</f>
        <v>196</v>
      </c>
      <c r="Z30" s="353">
        <v>4</v>
      </c>
      <c r="AA30" s="97"/>
      <c r="AB30" s="368">
        <f>Z30*X30</f>
        <v>196</v>
      </c>
    </row>
    <row r="31" spans="1:28" s="60" customFormat="1" ht="19" x14ac:dyDescent="0.25">
      <c r="C31" s="224" t="s">
        <v>66</v>
      </c>
      <c r="D31" s="224" t="s">
        <v>91</v>
      </c>
      <c r="E31" s="225" t="s">
        <v>123</v>
      </c>
      <c r="F31" s="63"/>
      <c r="G31" s="258">
        <f>Y31</f>
        <v>120</v>
      </c>
      <c r="H31" s="294">
        <f ca="1">-$K$23/$I$34</f>
        <v>117.03146258503993</v>
      </c>
      <c r="I31" s="326">
        <f ca="1">G31*H31</f>
        <v>14043.775510204792</v>
      </c>
      <c r="J31" s="64"/>
      <c r="K31" s="333">
        <v>0</v>
      </c>
      <c r="L31" s="346">
        <f>365*24</f>
        <v>8760</v>
      </c>
      <c r="M31" s="196"/>
      <c r="N31" s="335">
        <v>0</v>
      </c>
      <c r="O31" s="246">
        <f>V31</f>
        <v>120</v>
      </c>
      <c r="P31" s="337">
        <f>L31</f>
        <v>8760</v>
      </c>
      <c r="Q31" s="123"/>
      <c r="R31" s="345"/>
      <c r="S31" s="323">
        <f>N31</f>
        <v>0</v>
      </c>
      <c r="T31" s="324" t="e">
        <f>#REF!</f>
        <v>#REF!</v>
      </c>
      <c r="U31" s="323">
        <f>P31</f>
        <v>8760</v>
      </c>
      <c r="V31" s="295">
        <v>120</v>
      </c>
      <c r="W31" s="312">
        <f>V31/X29</f>
        <v>2.4489795918367347</v>
      </c>
      <c r="X31" s="297">
        <f t="shared" si="3"/>
        <v>49</v>
      </c>
      <c r="Y31" s="313">
        <f>W31*X31</f>
        <v>120</v>
      </c>
      <c r="Z31" s="351">
        <v>80</v>
      </c>
      <c r="AA31" s="97"/>
      <c r="AB31" s="368">
        <f>Z31</f>
        <v>80</v>
      </c>
    </row>
    <row r="32" spans="1:28" s="60" customFormat="1" ht="19" x14ac:dyDescent="0.25">
      <c r="C32" s="224"/>
      <c r="D32" s="224"/>
      <c r="E32" s="225"/>
      <c r="F32" s="63"/>
      <c r="G32" s="253">
        <f>SUM(G28:G31)</f>
        <v>1960</v>
      </c>
      <c r="H32" s="232"/>
      <c r="I32" s="327">
        <f ca="1">SUM(I28:I31)</f>
        <v>229381.66666667827</v>
      </c>
      <c r="J32" s="81"/>
      <c r="K32" s="233"/>
      <c r="L32" s="233"/>
      <c r="M32" s="196"/>
      <c r="N32" s="234"/>
      <c r="O32" s="234"/>
      <c r="P32" s="234"/>
      <c r="Q32" s="123"/>
      <c r="R32" s="123"/>
      <c r="S32" s="197"/>
      <c r="T32" s="198"/>
      <c r="U32" s="197"/>
      <c r="V32" s="322">
        <f>2000</f>
        <v>2000</v>
      </c>
      <c r="W32" s="319">
        <f>SUM(W28:W31)</f>
        <v>40</v>
      </c>
      <c r="X32" s="235"/>
      <c r="Y32" s="253">
        <f>SUM(Y28:Y31)</f>
        <v>1960</v>
      </c>
      <c r="Z32" s="236"/>
      <c r="AA32" s="97"/>
      <c r="AB32" s="253">
        <f>SUM(AB28:AB31)</f>
        <v>1960</v>
      </c>
    </row>
    <row r="33" spans="1:31" s="60" customFormat="1" ht="19" x14ac:dyDescent="0.25">
      <c r="C33" s="227"/>
      <c r="D33" s="227"/>
      <c r="E33" s="95"/>
      <c r="F33" s="90"/>
      <c r="G33" s="130"/>
      <c r="H33" s="130"/>
      <c r="I33" s="130"/>
      <c r="J33" s="130"/>
      <c r="K33" s="130"/>
      <c r="L33" s="130"/>
      <c r="M33" s="129"/>
      <c r="N33" s="130"/>
      <c r="O33" s="130"/>
      <c r="P33" s="130"/>
      <c r="Q33" s="123"/>
      <c r="R33" s="130"/>
      <c r="S33" s="130"/>
      <c r="T33" s="130"/>
      <c r="U33" s="130"/>
      <c r="V33" s="130"/>
      <c r="W33" s="130"/>
      <c r="X33" s="130"/>
      <c r="Y33" s="130"/>
      <c r="Z33" s="130"/>
      <c r="AA33" s="129"/>
      <c r="AB33" s="130"/>
    </row>
    <row r="34" spans="1:31" s="60" customFormat="1" ht="20" customHeight="1" outlineLevel="2" x14ac:dyDescent="0.25">
      <c r="C34" s="62"/>
      <c r="D34" s="231"/>
      <c r="E34" s="230" t="s">
        <v>132</v>
      </c>
      <c r="F34" s="90"/>
      <c r="G34" s="243">
        <f>Z34</f>
        <v>40</v>
      </c>
      <c r="H34" s="244">
        <f>W37</f>
        <v>49</v>
      </c>
      <c r="I34" s="328">
        <f>G34*H34</f>
        <v>1960</v>
      </c>
      <c r="J34" s="91"/>
      <c r="K34" s="333">
        <v>0</v>
      </c>
      <c r="L34" s="346">
        <f t="shared" ref="L34" si="6">365*24</f>
        <v>8760</v>
      </c>
      <c r="M34" s="189"/>
      <c r="N34" s="335">
        <v>0</v>
      </c>
      <c r="O34" s="246">
        <f>V34</f>
        <v>40</v>
      </c>
      <c r="P34" s="338">
        <f>24*7</f>
        <v>168</v>
      </c>
      <c r="Q34" s="123"/>
      <c r="R34" s="118"/>
      <c r="S34" s="190"/>
      <c r="T34" s="191"/>
      <c r="U34" s="190"/>
      <c r="V34" s="248">
        <v>40</v>
      </c>
      <c r="W34" s="249">
        <v>52</v>
      </c>
      <c r="X34" s="250">
        <f>(W34-W35-W36)/W34</f>
        <v>0.94230769230769229</v>
      </c>
      <c r="Y34" s="313">
        <f ca="1">Y46+Y60+Y82</f>
        <v>223765.98076923948</v>
      </c>
      <c r="Z34" s="354">
        <v>40</v>
      </c>
      <c r="AA34" s="97">
        <f>(W34-W35-W36)/W34</f>
        <v>0.94230769230769229</v>
      </c>
      <c r="AB34" s="368">
        <f ca="1">AB46+AB60+AB82</f>
        <v>229381.66666667827</v>
      </c>
    </row>
    <row r="35" spans="1:31" s="60" customFormat="1" ht="19" outlineLevel="2" x14ac:dyDescent="0.25">
      <c r="C35" s="62"/>
      <c r="D35" s="231"/>
      <c r="E35" s="230" t="s">
        <v>133</v>
      </c>
      <c r="F35" s="90"/>
      <c r="G35" s="237">
        <f>W35</f>
        <v>3</v>
      </c>
      <c r="H35" s="245">
        <f ca="1">-$K$23/$I$34</f>
        <v>117.03146258503993</v>
      </c>
      <c r="I35" s="329">
        <f ca="1">H35*V35*Z35</f>
        <v>18725.03401360639</v>
      </c>
      <c r="J35" s="91"/>
      <c r="K35" s="333">
        <v>0</v>
      </c>
      <c r="L35" s="346">
        <f>V35*MAX(W35,Z35)</f>
        <v>160</v>
      </c>
      <c r="M35" s="189"/>
      <c r="N35" s="335">
        <v>0</v>
      </c>
      <c r="O35" s="246">
        <f>W35</f>
        <v>3</v>
      </c>
      <c r="P35" s="339">
        <v>6</v>
      </c>
      <c r="Q35" s="123"/>
      <c r="R35" s="118"/>
      <c r="S35" s="190"/>
      <c r="T35" s="191"/>
      <c r="U35" s="190"/>
      <c r="V35" s="243">
        <f>V34</f>
        <v>40</v>
      </c>
      <c r="W35" s="252">
        <v>3</v>
      </c>
      <c r="X35" s="250">
        <f>W35/W34</f>
        <v>5.7692307692307696E-2</v>
      </c>
      <c r="Y35" s="313">
        <f ca="1">$K$12*X35</f>
        <v>13233.557692308363</v>
      </c>
      <c r="Z35" s="355">
        <v>4</v>
      </c>
      <c r="AA35" s="97"/>
      <c r="AB35" s="368">
        <f ca="1">$K$12*Z35/$W$34</f>
        <v>17644.743589744481</v>
      </c>
    </row>
    <row r="36" spans="1:31" s="60" customFormat="1" ht="19" outlineLevel="2" x14ac:dyDescent="0.25">
      <c r="C36" s="62"/>
      <c r="D36" s="231"/>
      <c r="E36" s="230" t="s">
        <v>3</v>
      </c>
      <c r="F36" s="90"/>
      <c r="G36" s="237">
        <f>W36</f>
        <v>0</v>
      </c>
      <c r="H36" s="245">
        <f ca="1">-$K$23/$I$34</f>
        <v>117.03146258503993</v>
      </c>
      <c r="I36" s="329">
        <f ca="1">H36*V36*Z36</f>
        <v>0</v>
      </c>
      <c r="J36" s="91"/>
      <c r="K36" s="333">
        <v>0</v>
      </c>
      <c r="L36" s="346">
        <f>V36*MAX(W36,Z36)</f>
        <v>0</v>
      </c>
      <c r="M36" s="189"/>
      <c r="N36" s="335">
        <v>0</v>
      </c>
      <c r="O36" s="246">
        <f>W36</f>
        <v>0</v>
      </c>
      <c r="P36" s="339">
        <v>6</v>
      </c>
      <c r="Q36" s="123"/>
      <c r="R36" s="118"/>
      <c r="S36" s="190"/>
      <c r="T36" s="191"/>
      <c r="U36" s="190"/>
      <c r="V36" s="243">
        <f>V34</f>
        <v>40</v>
      </c>
      <c r="W36" s="252">
        <v>0</v>
      </c>
      <c r="X36" s="250">
        <f>W36/W34</f>
        <v>0</v>
      </c>
      <c r="Y36" s="313">
        <f ca="1">$K$12*X36</f>
        <v>0</v>
      </c>
      <c r="Z36" s="355">
        <v>0</v>
      </c>
      <c r="AA36" s="97"/>
      <c r="AB36" s="368">
        <f ca="1">$K$12*Z36/$W$34</f>
        <v>0</v>
      </c>
    </row>
    <row r="37" spans="1:31" s="79" customFormat="1" ht="19" outlineLevel="2" x14ac:dyDescent="0.25">
      <c r="C37" s="80"/>
      <c r="D37" s="231"/>
      <c r="E37" s="231"/>
      <c r="F37" s="67"/>
      <c r="G37" s="259">
        <f>G35+G36</f>
        <v>3</v>
      </c>
      <c r="H37" s="298">
        <f ca="1">I37+H36*I34</f>
        <v>248106.70068029605</v>
      </c>
      <c r="I37" s="261">
        <f ca="1">I35+I36</f>
        <v>18725.03401360639</v>
      </c>
      <c r="K37" s="242"/>
      <c r="L37" s="242"/>
      <c r="N37" s="242"/>
      <c r="O37" s="242"/>
      <c r="P37" s="242"/>
      <c r="V37" s="242"/>
      <c r="W37" s="259">
        <f>W34-W35-W36</f>
        <v>49</v>
      </c>
      <c r="X37" s="242"/>
      <c r="Y37" s="299">
        <f ca="1">Y34-Y35-Y36</f>
        <v>210532.42307693113</v>
      </c>
      <c r="Z37" s="259">
        <f>W34-Z35-Z36</f>
        <v>48</v>
      </c>
      <c r="AB37" s="299">
        <f ca="1">AB34-AB35-AB36</f>
        <v>211736.92307693377</v>
      </c>
    </row>
    <row r="38" spans="1:31" s="60" customFormat="1" ht="19" outlineLevel="2" x14ac:dyDescent="0.25">
      <c r="C38" s="62"/>
      <c r="D38" s="227" t="s">
        <v>145</v>
      </c>
      <c r="E38" s="227"/>
      <c r="F38" s="90"/>
      <c r="G38" s="249">
        <v>52</v>
      </c>
      <c r="H38" s="227"/>
      <c r="I38" s="227"/>
      <c r="J38" s="91"/>
      <c r="K38" s="262"/>
      <c r="L38" s="263"/>
      <c r="M38" s="189"/>
      <c r="N38" s="262"/>
      <c r="O38" s="262"/>
      <c r="P38" s="263"/>
      <c r="Q38" s="123"/>
      <c r="R38" s="118"/>
      <c r="S38" s="190"/>
      <c r="T38" s="191"/>
      <c r="U38" s="190"/>
      <c r="V38" s="264"/>
      <c r="W38" s="264"/>
      <c r="X38" s="264"/>
      <c r="Y38" s="264"/>
      <c r="Z38" s="264"/>
      <c r="AA38" s="97"/>
      <c r="AB38" s="265"/>
    </row>
    <row r="39" spans="1:31" s="60" customFormat="1" ht="6" customHeight="1" x14ac:dyDescent="0.25">
      <c r="C39" s="228"/>
      <c r="D39" s="228"/>
      <c r="E39" s="228"/>
      <c r="F39" s="63"/>
      <c r="G39" s="116"/>
      <c r="H39" s="115"/>
      <c r="I39" s="117"/>
      <c r="J39" s="64"/>
      <c r="K39" s="181"/>
      <c r="L39" s="181"/>
      <c r="M39" s="196"/>
      <c r="N39" s="182"/>
      <c r="O39" s="181"/>
      <c r="P39" s="183"/>
      <c r="Q39" s="123"/>
      <c r="R39" s="184"/>
      <c r="S39" s="185"/>
      <c r="T39" s="186"/>
      <c r="U39" s="185"/>
      <c r="V39" s="188"/>
      <c r="W39" s="187"/>
      <c r="X39" s="187"/>
      <c r="Y39" s="125"/>
      <c r="Z39" s="187"/>
      <c r="AA39" s="97"/>
      <c r="AB39" s="125"/>
    </row>
    <row r="40" spans="1:31" x14ac:dyDescent="0.2">
      <c r="A40"/>
      <c r="B40"/>
      <c r="C40" s="100"/>
      <c r="D40" s="99"/>
      <c r="E40" s="134"/>
      <c r="F40" s="134"/>
      <c r="G40" s="131"/>
      <c r="H40" s="131"/>
      <c r="I40" s="131"/>
      <c r="J40" s="131"/>
      <c r="K40" s="134"/>
      <c r="L40" s="134"/>
      <c r="M40" s="132"/>
      <c r="N40" s="134"/>
      <c r="O40" s="134"/>
      <c r="P40" s="134"/>
      <c r="Q40" s="131"/>
      <c r="R40" s="134"/>
      <c r="S40" s="134"/>
      <c r="T40" s="134"/>
      <c r="U40" s="134"/>
      <c r="V40" s="134"/>
      <c r="W40" s="134"/>
      <c r="X40" s="134"/>
      <c r="Y40" s="131"/>
      <c r="Z40" s="131"/>
      <c r="AA40" s="132"/>
      <c r="AB40" s="131"/>
      <c r="AC40" s="134"/>
      <c r="AD40" s="134"/>
      <c r="AE40" s="134"/>
    </row>
    <row r="41" spans="1:31" s="79" customFormat="1" ht="19" x14ac:dyDescent="0.25">
      <c r="C41" s="80"/>
      <c r="D41" s="80"/>
      <c r="E41" s="226"/>
      <c r="F41" s="67"/>
      <c r="G41" s="301"/>
      <c r="H41" s="123"/>
      <c r="I41" s="301"/>
      <c r="J41" s="81"/>
      <c r="K41" s="201"/>
      <c r="L41" s="201"/>
      <c r="M41" s="196"/>
      <c r="N41" s="202"/>
      <c r="O41" s="202"/>
      <c r="P41" s="202"/>
      <c r="Q41" s="123"/>
      <c r="R41" s="123"/>
      <c r="S41" s="197"/>
      <c r="T41" s="198"/>
      <c r="U41" s="197"/>
      <c r="V41" s="204"/>
      <c r="W41" s="204"/>
      <c r="X41" s="204"/>
      <c r="Y41" s="301"/>
      <c r="Z41" s="203"/>
      <c r="AA41" s="97"/>
      <c r="AB41" s="301"/>
    </row>
    <row r="42" spans="1:31" s="106" customFormat="1" ht="19" customHeight="1" x14ac:dyDescent="0.25">
      <c r="A42" s="372"/>
      <c r="B42" s="372"/>
      <c r="C42" s="373" t="s">
        <v>147</v>
      </c>
      <c r="D42" s="374"/>
      <c r="E42" s="375"/>
      <c r="F42" s="105"/>
      <c r="G42" s="208" t="s">
        <v>128</v>
      </c>
      <c r="H42" s="209" t="s">
        <v>89</v>
      </c>
      <c r="I42" s="330" t="s">
        <v>127</v>
      </c>
      <c r="J42" s="101"/>
      <c r="K42" s="334" t="s">
        <v>100</v>
      </c>
      <c r="L42" s="340" t="s">
        <v>101</v>
      </c>
      <c r="M42" s="102"/>
      <c r="N42" s="334" t="s">
        <v>85</v>
      </c>
      <c r="O42" s="210" t="s">
        <v>86</v>
      </c>
      <c r="P42" s="340" t="s">
        <v>87</v>
      </c>
      <c r="Q42" s="102"/>
      <c r="R42" s="102"/>
      <c r="S42" s="211">
        <f>SUM(S49:S83)</f>
        <v>0</v>
      </c>
      <c r="T42" s="211" t="e">
        <f>SUM(T49:T83)</f>
        <v>#REF!</v>
      </c>
      <c r="U42" s="211">
        <f>SUM(U49:U83)</f>
        <v>6973</v>
      </c>
      <c r="V42" s="208" t="s">
        <v>73</v>
      </c>
      <c r="W42" s="208" t="s">
        <v>74</v>
      </c>
      <c r="X42" s="212" t="s">
        <v>129</v>
      </c>
      <c r="Y42" s="212" t="s">
        <v>76</v>
      </c>
      <c r="Z42" s="356" t="s">
        <v>75</v>
      </c>
      <c r="AA42" s="97"/>
      <c r="AB42" s="369" t="s">
        <v>77</v>
      </c>
    </row>
    <row r="43" spans="1:31" s="60" customFormat="1" ht="19" x14ac:dyDescent="0.25">
      <c r="C43" s="224" t="s">
        <v>64</v>
      </c>
      <c r="D43" s="224" t="s">
        <v>67</v>
      </c>
      <c r="E43" s="225" t="s">
        <v>83</v>
      </c>
      <c r="F43" s="63"/>
      <c r="G43" s="289">
        <f>AB43</f>
        <v>5000</v>
      </c>
      <c r="H43" s="290">
        <v>1</v>
      </c>
      <c r="I43" s="331">
        <f>G43*H43</f>
        <v>5000</v>
      </c>
      <c r="J43" s="64"/>
      <c r="K43" s="335">
        <v>0</v>
      </c>
      <c r="L43" s="347">
        <v>100</v>
      </c>
      <c r="M43" s="196"/>
      <c r="N43" s="348">
        <v>2000</v>
      </c>
      <c r="O43" s="246">
        <f t="shared" ref="O43:O45" si="7">V43</f>
        <v>5000</v>
      </c>
      <c r="P43" s="341">
        <v>10000</v>
      </c>
      <c r="Q43" s="97"/>
      <c r="R43" s="184"/>
      <c r="S43" s="185"/>
      <c r="T43" s="186"/>
      <c r="U43" s="185"/>
      <c r="V43" s="254">
        <v>5000</v>
      </c>
      <c r="W43" s="247">
        <v>1</v>
      </c>
      <c r="X43" s="247">
        <v>1</v>
      </c>
      <c r="Y43" s="251">
        <f>V43*W43</f>
        <v>5000</v>
      </c>
      <c r="Z43" s="357">
        <v>1</v>
      </c>
      <c r="AA43" s="97"/>
      <c r="AB43" s="368">
        <f>Y43</f>
        <v>5000</v>
      </c>
    </row>
    <row r="44" spans="1:31" s="60" customFormat="1" ht="19" x14ac:dyDescent="0.25">
      <c r="C44" s="224" t="s">
        <v>64</v>
      </c>
      <c r="D44" s="224" t="s">
        <v>68</v>
      </c>
      <c r="E44" s="225" t="s">
        <v>84</v>
      </c>
      <c r="F44" s="63"/>
      <c r="G44" s="291">
        <f>AB44</f>
        <v>100000</v>
      </c>
      <c r="H44" s="290">
        <v>1</v>
      </c>
      <c r="I44" s="326">
        <f>G44*H44</f>
        <v>100000</v>
      </c>
      <c r="J44" s="64"/>
      <c r="K44" s="335">
        <v>0</v>
      </c>
      <c r="L44" s="347">
        <v>100</v>
      </c>
      <c r="M44" s="196"/>
      <c r="N44" s="348">
        <v>80000</v>
      </c>
      <c r="O44" s="246">
        <f t="shared" si="7"/>
        <v>100000</v>
      </c>
      <c r="P44" s="341">
        <v>120000</v>
      </c>
      <c r="Q44" s="97"/>
      <c r="R44" s="184"/>
      <c r="S44" s="185">
        <f>N44</f>
        <v>80000</v>
      </c>
      <c r="T44" s="186" t="e">
        <f>#REF!</f>
        <v>#REF!</v>
      </c>
      <c r="U44" s="185">
        <f>O44</f>
        <v>100000</v>
      </c>
      <c r="V44" s="255">
        <v>100000</v>
      </c>
      <c r="W44" s="247">
        <v>1</v>
      </c>
      <c r="X44" s="293">
        <v>1</v>
      </c>
      <c r="Y44" s="313">
        <f t="shared" ref="Y44:Y45" si="8">V44*W44*X44</f>
        <v>100000</v>
      </c>
      <c r="Z44" s="339">
        <v>1</v>
      </c>
      <c r="AA44" s="97"/>
      <c r="AB44" s="368">
        <f>Y44</f>
        <v>100000</v>
      </c>
    </row>
    <row r="45" spans="1:31" s="60" customFormat="1" ht="19" x14ac:dyDescent="0.25">
      <c r="C45" s="224" t="s">
        <v>64</v>
      </c>
      <c r="D45" s="224" t="s">
        <v>91</v>
      </c>
      <c r="E45" s="225" t="s">
        <v>88</v>
      </c>
      <c r="F45" s="63"/>
      <c r="G45" s="291">
        <f>AB45</f>
        <v>9600</v>
      </c>
      <c r="H45" s="290">
        <v>1</v>
      </c>
      <c r="I45" s="326">
        <f>G45*H45</f>
        <v>9600</v>
      </c>
      <c r="J45" s="64"/>
      <c r="K45" s="335">
        <v>0</v>
      </c>
      <c r="L45" s="347">
        <v>100</v>
      </c>
      <c r="M45" s="196"/>
      <c r="N45" s="348">
        <v>7000</v>
      </c>
      <c r="O45" s="246">
        <f t="shared" si="7"/>
        <v>25000</v>
      </c>
      <c r="P45" s="341">
        <v>13000</v>
      </c>
      <c r="Q45" s="97"/>
      <c r="R45" s="184"/>
      <c r="S45" s="185"/>
      <c r="T45" s="186"/>
      <c r="U45" s="185"/>
      <c r="V45" s="255">
        <v>25000</v>
      </c>
      <c r="W45" s="274">
        <v>0.08</v>
      </c>
      <c r="X45" s="293">
        <v>4</v>
      </c>
      <c r="Y45" s="313">
        <f t="shared" si="8"/>
        <v>8000</v>
      </c>
      <c r="Z45" s="342">
        <v>30000</v>
      </c>
      <c r="AA45" s="97"/>
      <c r="AB45" s="368">
        <f t="shared" ref="AB45" si="9">Z45*W45*X45</f>
        <v>9600</v>
      </c>
    </row>
    <row r="46" spans="1:31" s="79" customFormat="1" ht="19" x14ac:dyDescent="0.25">
      <c r="C46" s="80"/>
      <c r="D46" s="80"/>
      <c r="E46" s="226"/>
      <c r="F46" s="67"/>
      <c r="G46" s="266">
        <f>SUM(G43:G45)</f>
        <v>114600</v>
      </c>
      <c r="H46" s="205"/>
      <c r="I46" s="266">
        <f>SUM(I43:I45)</f>
        <v>114600</v>
      </c>
      <c r="J46" s="81"/>
      <c r="K46" s="201"/>
      <c r="L46" s="201"/>
      <c r="M46" s="196"/>
      <c r="N46" s="292">
        <f>SUM(N43:N45)</f>
        <v>89000</v>
      </c>
      <c r="O46" s="201"/>
      <c r="P46" s="292">
        <f>SUM(P43:P45)</f>
        <v>143000</v>
      </c>
      <c r="Q46" s="97"/>
      <c r="R46" s="123"/>
      <c r="S46" s="197"/>
      <c r="T46" s="198"/>
      <c r="U46" s="197"/>
      <c r="V46" s="206"/>
      <c r="W46" s="206"/>
      <c r="X46" s="207"/>
      <c r="Y46" s="266">
        <f>SUM(Y43:Y45)</f>
        <v>113000</v>
      </c>
      <c r="Z46" s="122"/>
      <c r="AA46" s="97"/>
      <c r="AB46" s="213">
        <f>SUM(AB43:AB45)</f>
        <v>114600</v>
      </c>
    </row>
    <row r="47" spans="1:31" s="79" customFormat="1" ht="19" x14ac:dyDescent="0.25">
      <c r="C47" s="80"/>
      <c r="D47" s="80"/>
      <c r="E47" s="226"/>
      <c r="F47" s="67"/>
      <c r="G47" s="213"/>
      <c r="H47" s="205"/>
      <c r="I47" s="213"/>
      <c r="J47" s="81"/>
      <c r="K47" s="201"/>
      <c r="L47" s="201"/>
      <c r="M47" s="196"/>
      <c r="N47" s="214"/>
      <c r="O47" s="201"/>
      <c r="P47" s="214"/>
      <c r="Q47" s="97"/>
      <c r="R47" s="123"/>
      <c r="S47" s="197"/>
      <c r="T47" s="198"/>
      <c r="U47" s="197"/>
      <c r="V47" s="206"/>
      <c r="W47" s="206"/>
      <c r="X47" s="207"/>
      <c r="Y47" s="213"/>
      <c r="Z47" s="266"/>
      <c r="AA47" s="97"/>
      <c r="AB47" s="213"/>
    </row>
    <row r="48" spans="1:31" s="79" customFormat="1" ht="19" x14ac:dyDescent="0.25">
      <c r="A48" s="372"/>
      <c r="B48" s="372"/>
      <c r="C48" s="373" t="s">
        <v>148</v>
      </c>
      <c r="D48" s="374"/>
      <c r="E48" s="375"/>
      <c r="G48" s="208" t="s">
        <v>128</v>
      </c>
      <c r="H48" s="209" t="s">
        <v>89</v>
      </c>
      <c r="I48" s="330" t="s">
        <v>127</v>
      </c>
      <c r="J48" s="101"/>
      <c r="K48" s="334" t="s">
        <v>100</v>
      </c>
      <c r="L48" s="340" t="s">
        <v>101</v>
      </c>
      <c r="M48" s="102"/>
      <c r="N48" s="334" t="s">
        <v>85</v>
      </c>
      <c r="O48" s="210" t="s">
        <v>86</v>
      </c>
      <c r="P48" s="340" t="s">
        <v>87</v>
      </c>
      <c r="Q48" s="102"/>
      <c r="R48" s="102"/>
      <c r="S48" s="211">
        <f>SUM(S54:S83)</f>
        <v>0</v>
      </c>
      <c r="T48" s="211" t="e">
        <f>SUM(T54:T83)</f>
        <v>#REF!</v>
      </c>
      <c r="U48" s="211">
        <f>SUM(U54:U83)</f>
        <v>1973</v>
      </c>
      <c r="V48" s="208" t="s">
        <v>73</v>
      </c>
      <c r="W48" s="208" t="s">
        <v>74</v>
      </c>
      <c r="X48" s="212" t="s">
        <v>129</v>
      </c>
      <c r="Y48" s="213" t="s">
        <v>76</v>
      </c>
      <c r="Z48" s="213" t="s">
        <v>75</v>
      </c>
      <c r="AA48" s="97"/>
      <c r="AB48" s="369" t="s">
        <v>77</v>
      </c>
    </row>
    <row r="49" spans="1:28" s="60" customFormat="1" ht="19" x14ac:dyDescent="0.25">
      <c r="C49" s="224" t="s">
        <v>65</v>
      </c>
      <c r="D49" s="224" t="s">
        <v>67</v>
      </c>
      <c r="E49" s="225" t="s">
        <v>92</v>
      </c>
      <c r="F49" s="63"/>
      <c r="G49" s="283">
        <f>AB49</f>
        <v>41303.076923076922</v>
      </c>
      <c r="H49" s="284">
        <f>($V$56*$W$56+$V$57*$W$57)/($V$56+$V$57)</f>
        <v>6.8838461538461537</v>
      </c>
      <c r="I49" s="331">
        <f>G49*H49</f>
        <v>284324.02721893491</v>
      </c>
      <c r="J49" s="64"/>
      <c r="K49" s="335">
        <v>0</v>
      </c>
      <c r="L49" s="347">
        <v>100</v>
      </c>
      <c r="M49" s="196"/>
      <c r="N49" s="335">
        <v>0</v>
      </c>
      <c r="O49" s="246">
        <f t="shared" ref="O49:O51" si="10">V49</f>
        <v>24000</v>
      </c>
      <c r="P49" s="337">
        <f>L49</f>
        <v>100</v>
      </c>
      <c r="Q49" s="123"/>
      <c r="R49" s="184"/>
      <c r="S49" s="185"/>
      <c r="T49" s="186"/>
      <c r="U49" s="185"/>
      <c r="V49" s="254">
        <v>24000</v>
      </c>
      <c r="W49" s="315">
        <f>H49</f>
        <v>6.8838461538461537</v>
      </c>
      <c r="X49" s="280">
        <v>0.25</v>
      </c>
      <c r="Y49" s="313">
        <f>V49*W49*X49</f>
        <v>41303.076923076922</v>
      </c>
      <c r="Z49" s="342">
        <v>24000</v>
      </c>
      <c r="AA49" s="97"/>
      <c r="AB49" s="368">
        <f>Z49*W49*X49</f>
        <v>41303.076923076922</v>
      </c>
    </row>
    <row r="50" spans="1:28" s="60" customFormat="1" ht="19" x14ac:dyDescent="0.25">
      <c r="C50" s="224" t="s">
        <v>65</v>
      </c>
      <c r="D50" s="224" t="s">
        <v>68</v>
      </c>
      <c r="E50" s="225" t="s">
        <v>93</v>
      </c>
      <c r="F50" s="63"/>
      <c r="G50" s="285">
        <f>AB50</f>
        <v>20651.538461538461</v>
      </c>
      <c r="H50" s="284">
        <f>($V$56*$W$56+$V$57*$W$57)/($V$56+$V$57)</f>
        <v>6.8838461538461537</v>
      </c>
      <c r="I50" s="326">
        <f t="shared" ref="I50:I51" si="11">G50*H50</f>
        <v>142162.01360946745</v>
      </c>
      <c r="J50" s="64"/>
      <c r="K50" s="335">
        <v>0</v>
      </c>
      <c r="L50" s="347">
        <v>100</v>
      </c>
      <c r="M50" s="196"/>
      <c r="N50" s="335">
        <v>0</v>
      </c>
      <c r="O50" s="246">
        <f t="shared" si="10"/>
        <v>12000</v>
      </c>
      <c r="P50" s="337">
        <f t="shared" ref="P50:P51" si="12">L50</f>
        <v>100</v>
      </c>
      <c r="Q50" s="123"/>
      <c r="R50" s="184"/>
      <c r="S50" s="185"/>
      <c r="T50" s="186"/>
      <c r="U50" s="185"/>
      <c r="V50" s="255">
        <v>12000</v>
      </c>
      <c r="W50" s="315">
        <f>H50</f>
        <v>6.8838461538461537</v>
      </c>
      <c r="X50" s="280">
        <v>0.25</v>
      </c>
      <c r="Y50" s="313">
        <f>V50*W50*X50</f>
        <v>20651.538461538461</v>
      </c>
      <c r="Z50" s="342">
        <v>12000</v>
      </c>
      <c r="AA50" s="97"/>
      <c r="AB50" s="368">
        <f>Z50*W50*X50</f>
        <v>20651.538461538461</v>
      </c>
    </row>
    <row r="51" spans="1:28" s="60" customFormat="1" ht="19" x14ac:dyDescent="0.25">
      <c r="C51" s="224" t="s">
        <v>65</v>
      </c>
      <c r="D51" s="224" t="s">
        <v>91</v>
      </c>
      <c r="E51" s="225" t="s">
        <v>94</v>
      </c>
      <c r="F51" s="63"/>
      <c r="G51" s="285">
        <f>AB51</f>
        <v>8604.8076923076915</v>
      </c>
      <c r="H51" s="284">
        <f>($V$56*$W$56+$V$57*$W$57)/($V$56+$V$57)</f>
        <v>6.8838461538461537</v>
      </c>
      <c r="I51" s="326">
        <f t="shared" si="11"/>
        <v>59234.172337278098</v>
      </c>
      <c r="J51" s="64"/>
      <c r="K51" s="335">
        <v>0</v>
      </c>
      <c r="L51" s="347">
        <v>100</v>
      </c>
      <c r="M51" s="196"/>
      <c r="N51" s="335">
        <v>0</v>
      </c>
      <c r="O51" s="246">
        <f t="shared" si="10"/>
        <v>5000</v>
      </c>
      <c r="P51" s="337">
        <f t="shared" si="12"/>
        <v>100</v>
      </c>
      <c r="Q51" s="123"/>
      <c r="R51" s="184"/>
      <c r="S51" s="185">
        <f>N51</f>
        <v>0</v>
      </c>
      <c r="T51" s="186" t="e">
        <f>#REF!</f>
        <v>#REF!</v>
      </c>
      <c r="U51" s="185">
        <f>O51</f>
        <v>5000</v>
      </c>
      <c r="V51" s="255">
        <v>5000</v>
      </c>
      <c r="W51" s="315">
        <f>H51</f>
        <v>6.8838461538461537</v>
      </c>
      <c r="X51" s="280">
        <v>0.25</v>
      </c>
      <c r="Y51" s="313">
        <f>V51*W51*X51</f>
        <v>8604.8076923076915</v>
      </c>
      <c r="Z51" s="342">
        <v>5000</v>
      </c>
      <c r="AA51" s="97"/>
      <c r="AB51" s="368">
        <f>Z51*W51*X51</f>
        <v>8604.8076923076915</v>
      </c>
    </row>
    <row r="52" spans="1:28" s="60" customFormat="1" ht="9" customHeight="1" outlineLevel="1" x14ac:dyDescent="0.25">
      <c r="C52" s="227"/>
      <c r="D52" s="227"/>
      <c r="E52" s="95"/>
      <c r="F52" s="90"/>
      <c r="G52" s="130"/>
      <c r="H52" s="130"/>
      <c r="I52" s="130"/>
      <c r="J52" s="130"/>
      <c r="K52" s="130"/>
      <c r="L52" s="130"/>
      <c r="M52" s="129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29"/>
      <c r="AB52" s="130"/>
    </row>
    <row r="53" spans="1:28" s="60" customFormat="1" ht="19" outlineLevel="1" x14ac:dyDescent="0.25">
      <c r="C53" s="62"/>
      <c r="E53" s="227" t="s">
        <v>122</v>
      </c>
      <c r="F53" s="90"/>
      <c r="G53" s="286">
        <f>O53</f>
        <v>3000</v>
      </c>
      <c r="H53" s="135"/>
      <c r="I53" s="120"/>
      <c r="J53" s="91"/>
      <c r="K53" s="335">
        <v>0</v>
      </c>
      <c r="L53" s="347">
        <v>100</v>
      </c>
      <c r="M53" s="189"/>
      <c r="N53" s="335">
        <v>0</v>
      </c>
      <c r="O53" s="281">
        <f>V53</f>
        <v>3000</v>
      </c>
      <c r="P53" s="342">
        <v>5000</v>
      </c>
      <c r="Q53" s="123"/>
      <c r="R53" s="118"/>
      <c r="S53" s="190"/>
      <c r="T53" s="191"/>
      <c r="U53" s="190"/>
      <c r="V53" s="255">
        <v>3000</v>
      </c>
      <c r="W53" s="247">
        <v>1</v>
      </c>
      <c r="X53" s="126"/>
      <c r="Y53" s="313">
        <f>V53*W53</f>
        <v>3000</v>
      </c>
      <c r="Z53" s="342">
        <v>5000</v>
      </c>
      <c r="AA53" s="97"/>
      <c r="AB53" s="368">
        <f>Z53</f>
        <v>5000</v>
      </c>
    </row>
    <row r="54" spans="1:28" s="60" customFormat="1" ht="19" outlineLevel="1" x14ac:dyDescent="0.25">
      <c r="C54" s="62"/>
      <c r="E54" s="227" t="s">
        <v>80</v>
      </c>
      <c r="F54" s="90" t="s">
        <v>78</v>
      </c>
      <c r="G54" s="287">
        <f>V54</f>
        <v>7.68</v>
      </c>
      <c r="H54" s="118"/>
      <c r="I54" s="119"/>
      <c r="J54" s="91"/>
      <c r="K54" s="335">
        <v>0</v>
      </c>
      <c r="L54" s="347">
        <v>100</v>
      </c>
      <c r="M54" s="189"/>
      <c r="N54" s="349">
        <v>0</v>
      </c>
      <c r="O54" s="282">
        <f>G54</f>
        <v>7.68</v>
      </c>
      <c r="P54" s="343">
        <v>20</v>
      </c>
      <c r="Q54" s="123"/>
      <c r="R54" s="118"/>
      <c r="S54" s="190"/>
      <c r="T54" s="191"/>
      <c r="U54" s="190"/>
      <c r="V54" s="278">
        <v>7.68</v>
      </c>
      <c r="W54" s="247">
        <v>1</v>
      </c>
      <c r="X54" s="126"/>
      <c r="Y54" s="314">
        <f>V54*W54</f>
        <v>7.68</v>
      </c>
      <c r="Z54" s="358">
        <v>7.8</v>
      </c>
      <c r="AA54" s="97"/>
      <c r="AB54" s="370">
        <f>Z54</f>
        <v>7.8</v>
      </c>
    </row>
    <row r="55" spans="1:28" s="60" customFormat="1" ht="19" outlineLevel="1" x14ac:dyDescent="0.25">
      <c r="C55" s="62"/>
      <c r="E55" s="227" t="s">
        <v>79</v>
      </c>
      <c r="F55" s="90"/>
      <c r="G55" s="287">
        <f>V55</f>
        <v>2.0699999999999998</v>
      </c>
      <c r="H55" s="118"/>
      <c r="I55" s="119"/>
      <c r="J55" s="91"/>
      <c r="K55" s="192"/>
      <c r="L55" s="192"/>
      <c r="M55" s="189"/>
      <c r="N55" s="192"/>
      <c r="O55" s="192"/>
      <c r="P55" s="192"/>
      <c r="Q55" s="123"/>
      <c r="R55" s="118"/>
      <c r="S55" s="190"/>
      <c r="T55" s="191"/>
      <c r="U55" s="190"/>
      <c r="V55" s="278">
        <v>2.0699999999999998</v>
      </c>
      <c r="W55" s="247">
        <v>1</v>
      </c>
      <c r="X55" s="126"/>
      <c r="Y55" s="126"/>
      <c r="Z55" s="193"/>
      <c r="AA55" s="97"/>
      <c r="AB55" s="126"/>
    </row>
    <row r="56" spans="1:28" s="60" customFormat="1" ht="19" outlineLevel="1" x14ac:dyDescent="0.25">
      <c r="C56" s="62"/>
      <c r="E56" s="227" t="s">
        <v>1</v>
      </c>
      <c r="F56" s="90"/>
      <c r="G56" s="288">
        <f>(V54-V55)*V56</f>
        <v>84149.999999999985</v>
      </c>
      <c r="H56" s="118"/>
      <c r="I56" s="119"/>
      <c r="J56" s="91"/>
      <c r="K56" s="192"/>
      <c r="L56" s="192"/>
      <c r="M56" s="189"/>
      <c r="N56" s="192"/>
      <c r="O56" s="192"/>
      <c r="P56" s="192"/>
      <c r="Q56" s="123"/>
      <c r="R56" s="118"/>
      <c r="S56" s="190"/>
      <c r="T56" s="191"/>
      <c r="U56" s="190"/>
      <c r="V56" s="247">
        <v>15000</v>
      </c>
      <c r="W56" s="279">
        <f>$V$54-$V$55</f>
        <v>5.6099999999999994</v>
      </c>
      <c r="X56" s="126"/>
      <c r="Y56" s="126"/>
      <c r="Z56" s="193"/>
      <c r="AA56" s="97"/>
      <c r="AB56" s="126"/>
    </row>
    <row r="57" spans="1:28" s="60" customFormat="1" ht="19" outlineLevel="1" x14ac:dyDescent="0.25">
      <c r="C57" s="62"/>
      <c r="E57" s="227" t="s">
        <v>2</v>
      </c>
      <c r="F57" s="90"/>
      <c r="G57" s="288">
        <f>V54*V57</f>
        <v>184320</v>
      </c>
      <c r="H57" s="118"/>
      <c r="I57" s="119"/>
      <c r="J57" s="91"/>
      <c r="K57" s="194"/>
      <c r="L57" s="192"/>
      <c r="M57" s="189"/>
      <c r="N57" s="194"/>
      <c r="O57" s="194"/>
      <c r="P57" s="192"/>
      <c r="Q57" s="123"/>
      <c r="R57" s="118"/>
      <c r="S57" s="190"/>
      <c r="T57" s="191"/>
      <c r="U57" s="190"/>
      <c r="V57" s="247">
        <v>24000</v>
      </c>
      <c r="W57" s="279">
        <f>$V$54</f>
        <v>7.68</v>
      </c>
      <c r="X57" s="126"/>
      <c r="Y57" s="126"/>
      <c r="Z57" s="193"/>
      <c r="AA57" s="97"/>
      <c r="AB57" s="126"/>
    </row>
    <row r="58" spans="1:28" s="60" customFormat="1" ht="19" outlineLevel="1" x14ac:dyDescent="0.25">
      <c r="C58" s="62"/>
      <c r="D58" s="227" t="s">
        <v>81</v>
      </c>
      <c r="E58" s="227"/>
      <c r="F58" s="90"/>
      <c r="G58" s="260">
        <f>G56+G57</f>
        <v>268470</v>
      </c>
      <c r="H58" s="118"/>
      <c r="I58" s="119"/>
      <c r="J58" s="91"/>
      <c r="K58" s="194"/>
      <c r="L58" s="192"/>
      <c r="M58" s="189"/>
      <c r="N58" s="194"/>
      <c r="O58" s="194"/>
      <c r="P58" s="192"/>
      <c r="Q58" s="123"/>
      <c r="R58" s="118"/>
      <c r="S58" s="190"/>
      <c r="T58" s="191"/>
      <c r="U58" s="190"/>
      <c r="V58" s="194"/>
      <c r="W58" s="193"/>
      <c r="X58" s="193"/>
      <c r="Y58" s="126"/>
      <c r="Z58" s="193"/>
      <c r="AA58" s="97"/>
      <c r="AB58" s="126"/>
    </row>
    <row r="59" spans="1:28" s="60" customFormat="1" ht="6" customHeight="1" x14ac:dyDescent="0.25">
      <c r="C59" s="228"/>
      <c r="D59" s="228"/>
      <c r="E59" s="228"/>
      <c r="F59" s="63"/>
      <c r="G59" s="116"/>
      <c r="H59" s="115"/>
      <c r="I59" s="117"/>
      <c r="J59" s="64"/>
      <c r="K59" s="182"/>
      <c r="L59" s="182"/>
      <c r="M59" s="196"/>
      <c r="N59" s="182"/>
      <c r="O59" s="181"/>
      <c r="P59" s="183"/>
      <c r="Q59" s="123"/>
      <c r="R59" s="184"/>
      <c r="S59" s="185"/>
      <c r="T59" s="186"/>
      <c r="U59" s="185"/>
      <c r="V59" s="188"/>
      <c r="W59" s="187"/>
      <c r="X59" s="187"/>
      <c r="Y59" s="125"/>
      <c r="Z59" s="187"/>
      <c r="AA59" s="97"/>
      <c r="AB59" s="125"/>
    </row>
    <row r="60" spans="1:28" s="79" customFormat="1" ht="19" x14ac:dyDescent="0.25">
      <c r="C60" s="80"/>
      <c r="D60" s="229"/>
      <c r="E60" s="94"/>
      <c r="F60" s="67"/>
      <c r="G60" s="215">
        <f>SUM(G49:G51)</f>
        <v>70559.423076923078</v>
      </c>
      <c r="H60" s="123"/>
      <c r="I60" s="218">
        <f>SUM(I49:I51)</f>
        <v>485720.21316568047</v>
      </c>
      <c r="J60" s="81"/>
      <c r="K60" s="195"/>
      <c r="L60" s="195"/>
      <c r="M60" s="196"/>
      <c r="N60" s="195"/>
      <c r="O60" s="195"/>
      <c r="P60" s="195"/>
      <c r="Q60" s="123"/>
      <c r="R60" s="123"/>
      <c r="S60" s="197"/>
      <c r="T60" s="198"/>
      <c r="U60" s="197"/>
      <c r="V60" s="215">
        <f>SUM(V49:V51)</f>
        <v>41000</v>
      </c>
      <c r="W60" s="200"/>
      <c r="X60" s="199"/>
      <c r="Y60" s="213">
        <f>SUM(Y49:Y51)</f>
        <v>70559.423076923078</v>
      </c>
      <c r="Z60" s="127">
        <f>SUM(Z49:Z51)</f>
        <v>41000</v>
      </c>
      <c r="AA60" s="97"/>
      <c r="AB60" s="213">
        <f>SUM(AB49:AB51)</f>
        <v>70559.423076923078</v>
      </c>
    </row>
    <row r="61" spans="1:28" s="79" customFormat="1" ht="19" x14ac:dyDescent="0.25">
      <c r="C61" s="80"/>
      <c r="D61" s="229"/>
      <c r="E61" s="94"/>
      <c r="F61" s="67"/>
      <c r="G61" s="215"/>
      <c r="H61" s="123"/>
      <c r="I61" s="216"/>
      <c r="J61" s="81"/>
      <c r="K61" s="195"/>
      <c r="L61" s="195"/>
      <c r="M61" s="196"/>
      <c r="N61" s="195"/>
      <c r="O61" s="195"/>
      <c r="P61" s="195"/>
      <c r="Q61" s="123"/>
      <c r="R61" s="123"/>
      <c r="S61" s="197"/>
      <c r="T61" s="198"/>
      <c r="U61" s="197"/>
      <c r="V61" s="215"/>
      <c r="W61" s="200"/>
      <c r="X61" s="199"/>
      <c r="Y61" s="213"/>
      <c r="Z61" s="199"/>
      <c r="AA61" s="97"/>
      <c r="AB61" s="213"/>
    </row>
    <row r="62" spans="1:28" s="79" customFormat="1" ht="19" x14ac:dyDescent="0.25">
      <c r="A62" s="372"/>
      <c r="B62" s="372"/>
      <c r="C62" s="373" t="s">
        <v>149</v>
      </c>
      <c r="D62" s="374"/>
      <c r="E62" s="375"/>
      <c r="F62" s="67"/>
      <c r="G62" s="208" t="s">
        <v>128</v>
      </c>
      <c r="H62" s="209" t="s">
        <v>89</v>
      </c>
      <c r="I62" s="330" t="s">
        <v>127</v>
      </c>
      <c r="J62" s="101"/>
      <c r="K62" s="334" t="s">
        <v>100</v>
      </c>
      <c r="L62" s="340" t="s">
        <v>101</v>
      </c>
      <c r="M62" s="102"/>
      <c r="N62" s="334" t="s">
        <v>85</v>
      </c>
      <c r="O62" s="210" t="s">
        <v>86</v>
      </c>
      <c r="P62" s="340" t="s">
        <v>87</v>
      </c>
      <c r="Q62" s="102"/>
      <c r="R62" s="102"/>
      <c r="S62" s="211">
        <f>SUM(S68:S83)</f>
        <v>0</v>
      </c>
      <c r="T62" s="211">
        <f>SUM(T68:T83)</f>
        <v>0</v>
      </c>
      <c r="U62" s="211">
        <f>SUM(U68:U83)</f>
        <v>0</v>
      </c>
      <c r="V62" s="208" t="s">
        <v>73</v>
      </c>
      <c r="W62" s="208" t="s">
        <v>74</v>
      </c>
      <c r="X62" s="212" t="s">
        <v>129</v>
      </c>
      <c r="Y62" s="212" t="s">
        <v>76</v>
      </c>
      <c r="Z62" s="356" t="s">
        <v>75</v>
      </c>
      <c r="AA62" s="97"/>
      <c r="AB62" s="369" t="s">
        <v>77</v>
      </c>
    </row>
    <row r="63" spans="1:28" s="60" customFormat="1" ht="19" x14ac:dyDescent="0.25">
      <c r="C63" s="224" t="s">
        <v>90</v>
      </c>
      <c r="D63" s="224" t="s">
        <v>67</v>
      </c>
      <c r="E63" s="230" t="s">
        <v>102</v>
      </c>
      <c r="F63" s="63"/>
      <c r="G63" s="267">
        <f>V63</f>
        <v>0</v>
      </c>
      <c r="H63" s="290">
        <v>1</v>
      </c>
      <c r="I63" s="331">
        <f>G63*H63</f>
        <v>0</v>
      </c>
      <c r="J63" s="64"/>
      <c r="K63" s="335">
        <v>0</v>
      </c>
      <c r="L63" s="347">
        <v>100</v>
      </c>
      <c r="M63" s="196"/>
      <c r="N63" s="335">
        <v>0</v>
      </c>
      <c r="O63" s="246">
        <f t="shared" ref="O63:O65" si="13">V63</f>
        <v>0</v>
      </c>
      <c r="P63" s="342">
        <v>5000</v>
      </c>
      <c r="Q63" s="97"/>
      <c r="R63" s="184"/>
      <c r="S63" s="185"/>
      <c r="T63" s="186"/>
      <c r="U63" s="185"/>
      <c r="V63" s="267">
        <f>V67</f>
        <v>0</v>
      </c>
      <c r="W63" s="247">
        <v>1</v>
      </c>
      <c r="X63" s="247">
        <v>1</v>
      </c>
      <c r="Y63" s="270">
        <f>V63*W63*X63</f>
        <v>0</v>
      </c>
      <c r="Z63" s="359">
        <f>Z67</f>
        <v>0</v>
      </c>
      <c r="AA63" s="97"/>
      <c r="AB63" s="368">
        <f>AB67</f>
        <v>0</v>
      </c>
    </row>
    <row r="64" spans="1:28" s="60" customFormat="1" ht="19" x14ac:dyDescent="0.25">
      <c r="C64" s="224" t="s">
        <v>90</v>
      </c>
      <c r="D64" s="224" t="s">
        <v>68</v>
      </c>
      <c r="E64" s="230" t="s">
        <v>131</v>
      </c>
      <c r="F64" s="63"/>
      <c r="G64" s="269">
        <f>V64</f>
        <v>1973</v>
      </c>
      <c r="H64" s="290">
        <v>12</v>
      </c>
      <c r="I64" s="326">
        <f>G64*H64</f>
        <v>23676</v>
      </c>
      <c r="J64" s="64"/>
      <c r="K64" s="335">
        <v>0</v>
      </c>
      <c r="L64" s="347">
        <v>100</v>
      </c>
      <c r="M64" s="196"/>
      <c r="N64" s="335">
        <v>0</v>
      </c>
      <c r="O64" s="246">
        <f t="shared" si="13"/>
        <v>1973</v>
      </c>
      <c r="P64" s="342">
        <v>50000</v>
      </c>
      <c r="Q64" s="97"/>
      <c r="R64" s="184"/>
      <c r="S64" s="185">
        <f>N64</f>
        <v>0</v>
      </c>
      <c r="T64" s="186" t="e">
        <f>#REF!</f>
        <v>#REF!</v>
      </c>
      <c r="U64" s="185">
        <f>O64</f>
        <v>1973</v>
      </c>
      <c r="V64" s="269">
        <f>SUM(V68:V72)+Y73</f>
        <v>1973</v>
      </c>
      <c r="W64" s="247">
        <v>1</v>
      </c>
      <c r="X64" s="247">
        <v>12</v>
      </c>
      <c r="Y64" s="270">
        <f>V64*W64*X64</f>
        <v>23676</v>
      </c>
      <c r="Z64" s="360">
        <f>SUM(Z68:Z72)+AB73</f>
        <v>1877.5</v>
      </c>
      <c r="AA64" s="97"/>
      <c r="AB64" s="371">
        <f>Z64*W64*X64</f>
        <v>22530</v>
      </c>
    </row>
    <row r="65" spans="3:28" s="60" customFormat="1" ht="19" x14ac:dyDescent="0.25">
      <c r="C65" s="224" t="s">
        <v>90</v>
      </c>
      <c r="D65" s="224" t="s">
        <v>91</v>
      </c>
      <c r="E65" s="230" t="s">
        <v>103</v>
      </c>
      <c r="F65" s="63"/>
      <c r="G65" s="271">
        <f>V65</f>
        <v>9600</v>
      </c>
      <c r="H65" s="290">
        <v>1</v>
      </c>
      <c r="I65" s="326">
        <f>G65*H65</f>
        <v>9600</v>
      </c>
      <c r="J65" s="64"/>
      <c r="K65" s="335">
        <v>0</v>
      </c>
      <c r="L65" s="347">
        <v>100</v>
      </c>
      <c r="M65" s="196"/>
      <c r="N65" s="335">
        <v>0</v>
      </c>
      <c r="O65" s="246">
        <f t="shared" si="13"/>
        <v>9600</v>
      </c>
      <c r="P65" s="342">
        <v>5000</v>
      </c>
      <c r="Q65" s="97"/>
      <c r="R65" s="184"/>
      <c r="S65" s="185"/>
      <c r="T65" s="186"/>
      <c r="U65" s="185"/>
      <c r="V65" s="271">
        <f>SUM(V74:V78)</f>
        <v>9600</v>
      </c>
      <c r="W65" s="247">
        <v>1</v>
      </c>
      <c r="X65" s="247">
        <v>1</v>
      </c>
      <c r="Y65" s="270">
        <f>V65*W65*X65</f>
        <v>9600</v>
      </c>
      <c r="Z65" s="361">
        <f>SUM(Z74:Z78)</f>
        <v>6600.9</v>
      </c>
      <c r="AA65" s="97"/>
      <c r="AB65" s="371">
        <f>Z65*W65*X65</f>
        <v>6600.9</v>
      </c>
    </row>
    <row r="66" spans="3:28" s="60" customFormat="1" ht="9" customHeight="1" outlineLevel="1" x14ac:dyDescent="0.25">
      <c r="C66" s="227"/>
      <c r="D66" s="227"/>
      <c r="E66" s="95"/>
      <c r="F66" s="90"/>
      <c r="G66" s="130"/>
      <c r="H66" s="130"/>
      <c r="I66" s="130"/>
      <c r="J66" s="130"/>
      <c r="K66" s="130"/>
      <c r="L66" s="130"/>
      <c r="M66" s="129"/>
      <c r="N66" s="130"/>
      <c r="O66" s="130"/>
      <c r="P66" s="130"/>
      <c r="Q66" s="123"/>
      <c r="R66" s="130"/>
      <c r="S66" s="130"/>
      <c r="T66" s="130"/>
      <c r="U66" s="130"/>
      <c r="V66" s="130"/>
      <c r="W66" s="130"/>
      <c r="X66" s="130"/>
      <c r="Y66" s="130"/>
      <c r="Z66" s="130"/>
      <c r="AA66" s="129"/>
      <c r="AB66" s="130"/>
    </row>
    <row r="67" spans="3:28" s="60" customFormat="1" ht="19" outlineLevel="1" x14ac:dyDescent="0.25">
      <c r="C67" s="62"/>
      <c r="D67" s="224" t="s">
        <v>67</v>
      </c>
      <c r="E67" s="225" t="s">
        <v>138</v>
      </c>
      <c r="F67" s="90"/>
      <c r="G67" s="288">
        <f>(V65-V66)*V67</f>
        <v>0</v>
      </c>
      <c r="H67" s="118"/>
      <c r="I67" s="119"/>
      <c r="J67" s="91"/>
      <c r="K67" s="182">
        <v>0</v>
      </c>
      <c r="L67" s="182">
        <v>100</v>
      </c>
      <c r="M67" s="189"/>
      <c r="N67" s="182">
        <v>0</v>
      </c>
      <c r="O67" s="281">
        <f>V67</f>
        <v>0</v>
      </c>
      <c r="P67" s="344">
        <f>O67</f>
        <v>0</v>
      </c>
      <c r="Q67" s="123"/>
      <c r="R67" s="118"/>
      <c r="S67" s="190"/>
      <c r="T67" s="191"/>
      <c r="U67" s="190"/>
      <c r="V67" s="272">
        <v>0</v>
      </c>
      <c r="W67" s="247">
        <v>1</v>
      </c>
      <c r="X67" s="268">
        <v>1</v>
      </c>
      <c r="Y67" s="251">
        <f>V67*W67*X67</f>
        <v>0</v>
      </c>
      <c r="Z67" s="362">
        <v>0</v>
      </c>
      <c r="AA67" s="97"/>
      <c r="AB67" s="368">
        <f>Z67*W67*X67</f>
        <v>0</v>
      </c>
    </row>
    <row r="68" spans="3:28" s="60" customFormat="1" ht="19" outlineLevel="1" x14ac:dyDescent="0.25">
      <c r="C68" s="62"/>
      <c r="D68" s="224" t="s">
        <v>68</v>
      </c>
      <c r="E68" s="225" t="s">
        <v>4</v>
      </c>
      <c r="F68" s="90"/>
      <c r="G68" s="240">
        <v>800</v>
      </c>
      <c r="H68" s="118"/>
      <c r="I68" s="119"/>
      <c r="J68" s="91"/>
      <c r="K68" s="182">
        <v>0</v>
      </c>
      <c r="L68" s="182">
        <v>100</v>
      </c>
      <c r="M68" s="189"/>
      <c r="N68" s="182">
        <v>0</v>
      </c>
      <c r="O68" s="281">
        <f t="shared" ref="O68:O79" si="14">V68</f>
        <v>800</v>
      </c>
      <c r="P68" s="344">
        <f t="shared" ref="P68:P79" si="15">O68</f>
        <v>800</v>
      </c>
      <c r="Q68" s="123"/>
      <c r="R68" s="118"/>
      <c r="S68" s="190"/>
      <c r="T68" s="191"/>
      <c r="U68" s="190"/>
      <c r="V68" s="273">
        <v>800</v>
      </c>
      <c r="W68" s="247">
        <v>1</v>
      </c>
      <c r="X68" s="268">
        <v>12</v>
      </c>
      <c r="Y68" s="251">
        <f>V68*W68*X68</f>
        <v>9600</v>
      </c>
      <c r="Z68" s="363">
        <v>800</v>
      </c>
      <c r="AA68" s="97"/>
      <c r="AB68" s="368">
        <f t="shared" ref="AB68" si="16">Z68*W68*X68</f>
        <v>9600</v>
      </c>
    </row>
    <row r="69" spans="3:28" s="60" customFormat="1" ht="19" outlineLevel="1" x14ac:dyDescent="0.25">
      <c r="C69" s="62"/>
      <c r="D69" s="224" t="s">
        <v>68</v>
      </c>
      <c r="E69" s="225" t="s">
        <v>134</v>
      </c>
      <c r="F69" s="90"/>
      <c r="G69" s="241">
        <v>100</v>
      </c>
      <c r="H69" s="118"/>
      <c r="I69" s="119"/>
      <c r="J69" s="91"/>
      <c r="K69" s="182">
        <v>0</v>
      </c>
      <c r="L69" s="182">
        <v>100</v>
      </c>
      <c r="M69" s="189"/>
      <c r="N69" s="182">
        <v>0</v>
      </c>
      <c r="O69" s="281">
        <f t="shared" si="14"/>
        <v>100</v>
      </c>
      <c r="P69" s="344">
        <f t="shared" si="15"/>
        <v>100</v>
      </c>
      <c r="Q69" s="123"/>
      <c r="R69" s="118"/>
      <c r="S69" s="190"/>
      <c r="T69" s="191"/>
      <c r="U69" s="190"/>
      <c r="V69" s="273">
        <v>100</v>
      </c>
      <c r="W69" s="247">
        <v>1</v>
      </c>
      <c r="X69" s="268">
        <v>12</v>
      </c>
      <c r="Y69" s="251">
        <f>V69*W69*X69</f>
        <v>1200</v>
      </c>
      <c r="Z69" s="363">
        <v>100</v>
      </c>
      <c r="AA69" s="97"/>
      <c r="AB69" s="368">
        <f>Z69*W69*X69</f>
        <v>1200</v>
      </c>
    </row>
    <row r="70" spans="3:28" s="60" customFormat="1" ht="19" outlineLevel="1" x14ac:dyDescent="0.25">
      <c r="C70" s="62"/>
      <c r="D70" s="224" t="s">
        <v>68</v>
      </c>
      <c r="E70" s="225" t="s">
        <v>135</v>
      </c>
      <c r="F70" s="90"/>
      <c r="G70" s="241">
        <v>200</v>
      </c>
      <c r="H70" s="118"/>
      <c r="I70" s="119"/>
      <c r="J70" s="91"/>
      <c r="K70" s="182">
        <v>0</v>
      </c>
      <c r="L70" s="182">
        <v>100</v>
      </c>
      <c r="M70" s="189"/>
      <c r="N70" s="182">
        <v>0</v>
      </c>
      <c r="O70" s="281">
        <f t="shared" si="14"/>
        <v>200</v>
      </c>
      <c r="P70" s="344">
        <f t="shared" si="15"/>
        <v>200</v>
      </c>
      <c r="Q70" s="123"/>
      <c r="R70" s="118"/>
      <c r="S70" s="190"/>
      <c r="T70" s="191"/>
      <c r="U70" s="190"/>
      <c r="V70" s="273">
        <v>200</v>
      </c>
      <c r="W70" s="247">
        <v>1</v>
      </c>
      <c r="X70" s="268">
        <v>12</v>
      </c>
      <c r="Y70" s="251">
        <f>V70*W70*X70</f>
        <v>2400</v>
      </c>
      <c r="Z70" s="363">
        <v>200</v>
      </c>
      <c r="AA70" s="97"/>
      <c r="AB70" s="368">
        <f>Z70*W70*X70</f>
        <v>2400</v>
      </c>
    </row>
    <row r="71" spans="3:28" s="60" customFormat="1" ht="19" outlineLevel="1" x14ac:dyDescent="0.25">
      <c r="C71" s="62"/>
      <c r="D71" s="224" t="s">
        <v>68</v>
      </c>
      <c r="E71" s="225" t="s">
        <v>136</v>
      </c>
      <c r="F71" s="90"/>
      <c r="G71" s="241">
        <v>300</v>
      </c>
      <c r="H71" s="118"/>
      <c r="I71" s="119"/>
      <c r="J71" s="91"/>
      <c r="K71" s="182">
        <v>0</v>
      </c>
      <c r="L71" s="182">
        <v>100</v>
      </c>
      <c r="M71" s="189"/>
      <c r="N71" s="182">
        <v>0</v>
      </c>
      <c r="O71" s="281">
        <f t="shared" si="14"/>
        <v>300</v>
      </c>
      <c r="P71" s="344">
        <f t="shared" si="15"/>
        <v>300</v>
      </c>
      <c r="Q71" s="123"/>
      <c r="R71" s="118"/>
      <c r="S71" s="190"/>
      <c r="T71" s="191"/>
      <c r="U71" s="190"/>
      <c r="V71" s="273">
        <v>300</v>
      </c>
      <c r="W71" s="247">
        <v>1</v>
      </c>
      <c r="X71" s="268">
        <v>12</v>
      </c>
      <c r="Y71" s="251">
        <f>V71*W71*X71</f>
        <v>3600</v>
      </c>
      <c r="Z71" s="363">
        <v>300</v>
      </c>
      <c r="AA71" s="97"/>
      <c r="AB71" s="368">
        <f>Z71*W71*X71</f>
        <v>3600</v>
      </c>
    </row>
    <row r="72" spans="3:28" s="60" customFormat="1" ht="19" outlineLevel="1" x14ac:dyDescent="0.25">
      <c r="C72" s="62"/>
      <c r="D72" s="224" t="s">
        <v>68</v>
      </c>
      <c r="E72" s="225" t="s">
        <v>142</v>
      </c>
      <c r="F72" s="90"/>
      <c r="G72" s="241">
        <v>100</v>
      </c>
      <c r="H72" s="118"/>
      <c r="I72" s="119"/>
      <c r="J72" s="91"/>
      <c r="K72" s="182">
        <v>0</v>
      </c>
      <c r="L72" s="182">
        <v>100</v>
      </c>
      <c r="M72" s="189"/>
      <c r="N72" s="182">
        <v>0</v>
      </c>
      <c r="O72" s="281">
        <f t="shared" si="14"/>
        <v>0</v>
      </c>
      <c r="P72" s="344">
        <f t="shared" si="15"/>
        <v>0</v>
      </c>
      <c r="Q72" s="123"/>
      <c r="R72" s="118"/>
      <c r="S72" s="190"/>
      <c r="T72" s="191"/>
      <c r="U72" s="190"/>
      <c r="V72" s="273">
        <v>0</v>
      </c>
      <c r="W72" s="247">
        <v>1</v>
      </c>
      <c r="X72" s="268">
        <v>12</v>
      </c>
      <c r="Y72" s="251">
        <f>V72*W72*X72</f>
        <v>0</v>
      </c>
      <c r="Z72" s="363">
        <v>0</v>
      </c>
      <c r="AA72" s="97"/>
      <c r="AB72" s="368">
        <f>Z72*W72*X72</f>
        <v>0</v>
      </c>
    </row>
    <row r="73" spans="3:28" s="60" customFormat="1" ht="19" outlineLevel="1" x14ac:dyDescent="0.25">
      <c r="C73" s="62"/>
      <c r="D73" s="224" t="s">
        <v>68</v>
      </c>
      <c r="E73" s="225" t="s">
        <v>141</v>
      </c>
      <c r="F73" s="90"/>
      <c r="G73" s="239">
        <v>0.06</v>
      </c>
      <c r="H73" s="118"/>
      <c r="I73" s="119"/>
      <c r="J73" s="91"/>
      <c r="K73" s="182">
        <v>0</v>
      </c>
      <c r="L73" s="182">
        <v>100</v>
      </c>
      <c r="M73" s="189"/>
      <c r="N73" s="182">
        <v>0</v>
      </c>
      <c r="O73" s="281">
        <f t="shared" si="14"/>
        <v>9550</v>
      </c>
      <c r="P73" s="344">
        <f t="shared" si="15"/>
        <v>9550</v>
      </c>
      <c r="Q73" s="123"/>
      <c r="R73" s="118"/>
      <c r="S73" s="190"/>
      <c r="T73" s="191"/>
      <c r="U73" s="190"/>
      <c r="V73" s="270">
        <f>$K$9/X73*X73/12</f>
        <v>9550</v>
      </c>
      <c r="W73" s="274">
        <v>0.06</v>
      </c>
      <c r="X73" s="247">
        <v>24</v>
      </c>
      <c r="Y73" s="251">
        <f>V73*W73</f>
        <v>573</v>
      </c>
      <c r="Z73" s="364">
        <v>0.05</v>
      </c>
      <c r="AA73" s="97"/>
      <c r="AB73" s="368">
        <f>V73*Z73</f>
        <v>477.5</v>
      </c>
    </row>
    <row r="74" spans="3:28" s="60" customFormat="1" ht="19" outlineLevel="1" x14ac:dyDescent="0.25">
      <c r="C74" s="62"/>
      <c r="D74" s="224" t="s">
        <v>91</v>
      </c>
      <c r="E74" s="225" t="s">
        <v>137</v>
      </c>
      <c r="F74" s="90"/>
      <c r="G74" s="239">
        <v>0.06</v>
      </c>
      <c r="H74" s="118"/>
      <c r="I74" s="119"/>
      <c r="J74" s="91"/>
      <c r="K74" s="182">
        <v>0</v>
      </c>
      <c r="L74" s="182">
        <v>100</v>
      </c>
      <c r="M74" s="189"/>
      <c r="N74" s="182">
        <v>0</v>
      </c>
      <c r="O74" s="281">
        <f t="shared" si="14"/>
        <v>3000</v>
      </c>
      <c r="P74" s="344">
        <f t="shared" si="15"/>
        <v>3000</v>
      </c>
      <c r="Q74" s="123"/>
      <c r="R74" s="118"/>
      <c r="S74" s="190"/>
      <c r="T74" s="191"/>
      <c r="U74" s="190"/>
      <c r="V74" s="275">
        <v>3000</v>
      </c>
      <c r="W74" s="274">
        <v>1</v>
      </c>
      <c r="X74" s="268">
        <v>1</v>
      </c>
      <c r="Y74" s="251">
        <f>V74*W74*X74</f>
        <v>3000</v>
      </c>
      <c r="Z74" s="364">
        <v>0.9</v>
      </c>
      <c r="AA74" s="97"/>
      <c r="AB74" s="368">
        <f>V74*Z74</f>
        <v>2700</v>
      </c>
    </row>
    <row r="75" spans="3:28" s="60" customFormat="1" ht="19" outlineLevel="1" x14ac:dyDescent="0.25">
      <c r="C75" s="62"/>
      <c r="D75" s="224" t="s">
        <v>91</v>
      </c>
      <c r="E75" s="225" t="s">
        <v>8</v>
      </c>
      <c r="F75" s="90"/>
      <c r="G75" s="238">
        <f>V75</f>
        <v>600</v>
      </c>
      <c r="H75" s="118"/>
      <c r="I75" s="119"/>
      <c r="J75" s="91"/>
      <c r="K75" s="182">
        <v>0</v>
      </c>
      <c r="L75" s="182">
        <v>100</v>
      </c>
      <c r="M75" s="189"/>
      <c r="N75" s="182">
        <v>0</v>
      </c>
      <c r="O75" s="281">
        <f t="shared" si="14"/>
        <v>600</v>
      </c>
      <c r="P75" s="344">
        <f t="shared" si="15"/>
        <v>600</v>
      </c>
      <c r="Q75" s="123"/>
      <c r="R75" s="118"/>
      <c r="S75" s="190"/>
      <c r="T75" s="191"/>
      <c r="U75" s="190"/>
      <c r="V75" s="275">
        <v>600</v>
      </c>
      <c r="W75" s="247">
        <v>1</v>
      </c>
      <c r="X75" s="268">
        <v>1</v>
      </c>
      <c r="Y75" s="251">
        <f>V75*W75*X75</f>
        <v>600</v>
      </c>
      <c r="Z75" s="365">
        <v>600</v>
      </c>
      <c r="AA75" s="97"/>
      <c r="AB75" s="368">
        <f>Z75*W75*X75</f>
        <v>600</v>
      </c>
    </row>
    <row r="76" spans="3:28" s="60" customFormat="1" ht="19" outlineLevel="1" x14ac:dyDescent="0.25">
      <c r="C76" s="62"/>
      <c r="D76" s="224" t="s">
        <v>91</v>
      </c>
      <c r="E76" s="225" t="s">
        <v>9</v>
      </c>
      <c r="F76" s="90" t="s">
        <v>78</v>
      </c>
      <c r="G76" s="238">
        <f>V76</f>
        <v>3000</v>
      </c>
      <c r="H76" s="118"/>
      <c r="I76" s="119"/>
      <c r="J76" s="91"/>
      <c r="K76" s="182">
        <v>0</v>
      </c>
      <c r="L76" s="182">
        <v>100</v>
      </c>
      <c r="M76" s="189"/>
      <c r="N76" s="182">
        <v>0</v>
      </c>
      <c r="O76" s="281">
        <f t="shared" si="14"/>
        <v>3000</v>
      </c>
      <c r="P76" s="344">
        <f t="shared" si="15"/>
        <v>3000</v>
      </c>
      <c r="Q76" s="123"/>
      <c r="R76" s="118"/>
      <c r="S76" s="190"/>
      <c r="T76" s="191"/>
      <c r="U76" s="190"/>
      <c r="V76" s="275">
        <v>3000</v>
      </c>
      <c r="W76" s="247">
        <v>1</v>
      </c>
      <c r="X76" s="268">
        <v>1</v>
      </c>
      <c r="Y76" s="251">
        <f>V76*W76*X76</f>
        <v>3000</v>
      </c>
      <c r="Z76" s="365">
        <v>3000</v>
      </c>
      <c r="AA76" s="97"/>
      <c r="AB76" s="368">
        <f>Z76*W76*X76</f>
        <v>3000</v>
      </c>
    </row>
    <row r="77" spans="3:28" s="60" customFormat="1" ht="19" outlineLevel="1" x14ac:dyDescent="0.25">
      <c r="C77" s="62"/>
      <c r="D77" s="224" t="s">
        <v>91</v>
      </c>
      <c r="E77" s="225" t="s">
        <v>10</v>
      </c>
      <c r="F77" s="90"/>
      <c r="G77" s="238">
        <f>V77</f>
        <v>3000</v>
      </c>
      <c r="H77" s="118"/>
      <c r="I77" s="119"/>
      <c r="J77" s="91"/>
      <c r="K77" s="182">
        <v>0</v>
      </c>
      <c r="L77" s="182">
        <v>100</v>
      </c>
      <c r="M77" s="189"/>
      <c r="N77" s="182">
        <v>0</v>
      </c>
      <c r="O77" s="281">
        <f t="shared" si="14"/>
        <v>3000</v>
      </c>
      <c r="P77" s="344">
        <f t="shared" si="15"/>
        <v>3000</v>
      </c>
      <c r="Q77" s="123"/>
      <c r="R77" s="118"/>
      <c r="S77" s="190"/>
      <c r="T77" s="191"/>
      <c r="U77" s="190"/>
      <c r="V77" s="275">
        <v>3000</v>
      </c>
      <c r="W77" s="247">
        <v>1</v>
      </c>
      <c r="X77" s="268">
        <v>1</v>
      </c>
      <c r="Y77" s="251">
        <f>V77*W77*X77</f>
        <v>3000</v>
      </c>
      <c r="Z77" s="365">
        <v>3000</v>
      </c>
      <c r="AA77" s="97"/>
      <c r="AB77" s="368">
        <f>Z77*W77*X77</f>
        <v>3000</v>
      </c>
    </row>
    <row r="78" spans="3:28" s="60" customFormat="1" ht="19" outlineLevel="1" x14ac:dyDescent="0.25">
      <c r="C78" s="62"/>
      <c r="D78" s="224" t="s">
        <v>91</v>
      </c>
      <c r="E78" s="225" t="s">
        <v>139</v>
      </c>
      <c r="F78" s="90"/>
      <c r="G78" s="238">
        <f>V78</f>
        <v>0</v>
      </c>
      <c r="H78" s="118"/>
      <c r="I78" s="119"/>
      <c r="J78" s="91"/>
      <c r="K78" s="182">
        <v>0</v>
      </c>
      <c r="L78" s="182">
        <v>100</v>
      </c>
      <c r="M78" s="189"/>
      <c r="N78" s="182">
        <v>0</v>
      </c>
      <c r="O78" s="281">
        <f t="shared" si="14"/>
        <v>0</v>
      </c>
      <c r="P78" s="344">
        <f t="shared" si="15"/>
        <v>0</v>
      </c>
      <c r="Q78" s="123"/>
      <c r="R78" s="118"/>
      <c r="S78" s="190"/>
      <c r="T78" s="191"/>
      <c r="U78" s="190"/>
      <c r="V78" s="275">
        <v>0</v>
      </c>
      <c r="W78" s="247">
        <v>1</v>
      </c>
      <c r="X78" s="268">
        <v>1</v>
      </c>
      <c r="Y78" s="251">
        <f>V78*W78*X78</f>
        <v>0</v>
      </c>
      <c r="Z78" s="365">
        <v>0</v>
      </c>
      <c r="AA78" s="97"/>
      <c r="AB78" s="368">
        <f>Z78*W78*X78</f>
        <v>0</v>
      </c>
    </row>
    <row r="79" spans="3:28" s="60" customFormat="1" ht="19" outlineLevel="1" x14ac:dyDescent="0.25">
      <c r="C79" s="62"/>
      <c r="D79" s="224" t="s">
        <v>91</v>
      </c>
      <c r="E79" s="225" t="s">
        <v>140</v>
      </c>
      <c r="F79" s="90"/>
      <c r="G79" s="238">
        <f ca="1">Y79</f>
        <v>13233.557692316419</v>
      </c>
      <c r="H79" s="118"/>
      <c r="I79" s="119"/>
      <c r="J79" s="91"/>
      <c r="K79" s="182">
        <v>0</v>
      </c>
      <c r="L79" s="182">
        <v>100</v>
      </c>
      <c r="M79" s="189"/>
      <c r="N79" s="182">
        <v>0</v>
      </c>
      <c r="O79" s="281">
        <f t="shared" si="14"/>
        <v>3</v>
      </c>
      <c r="P79" s="344">
        <f t="shared" si="15"/>
        <v>3</v>
      </c>
      <c r="Q79" s="123"/>
      <c r="R79" s="118"/>
      <c r="S79" s="190"/>
      <c r="T79" s="191"/>
      <c r="U79" s="190"/>
      <c r="V79" s="277">
        <f>W35+W36</f>
        <v>3</v>
      </c>
      <c r="W79" s="300">
        <f>V79/X79</f>
        <v>5.7692307692307696E-2</v>
      </c>
      <c r="X79" s="276">
        <v>52</v>
      </c>
      <c r="Y79" s="251">
        <f ca="1">$K$12*W79</f>
        <v>13233.557692308363</v>
      </c>
      <c r="Z79" s="366">
        <f>X79-Z37</f>
        <v>4</v>
      </c>
      <c r="AA79" s="97"/>
      <c r="AB79" s="368">
        <f ca="1">AB35+AB36</f>
        <v>17644.743589744481</v>
      </c>
    </row>
    <row r="80" spans="3:28" s="60" customFormat="1" ht="19" outlineLevel="1" x14ac:dyDescent="0.25">
      <c r="C80" s="62"/>
      <c r="D80" s="227" t="s">
        <v>104</v>
      </c>
      <c r="E80" s="227"/>
      <c r="F80" s="90"/>
      <c r="G80" s="121"/>
      <c r="H80" s="118"/>
      <c r="I80" s="119"/>
      <c r="J80" s="91"/>
      <c r="K80" s="194"/>
      <c r="L80" s="192"/>
      <c r="M80" s="189"/>
      <c r="N80" s="194"/>
      <c r="O80" s="194"/>
      <c r="P80" s="192"/>
      <c r="Q80" s="123"/>
      <c r="R80" s="118"/>
      <c r="S80" s="190"/>
      <c r="T80" s="191"/>
      <c r="U80" s="190"/>
      <c r="V80" s="193"/>
      <c r="W80" s="193"/>
      <c r="X80" s="193"/>
      <c r="Y80" s="126"/>
      <c r="Z80" s="193"/>
      <c r="AA80" s="97"/>
      <c r="AB80" s="126"/>
    </row>
    <row r="81" spans="1:65" s="60" customFormat="1" ht="6" customHeight="1" x14ac:dyDescent="0.25">
      <c r="C81" s="228"/>
      <c r="D81" s="228"/>
      <c r="E81" s="228"/>
      <c r="F81" s="63"/>
      <c r="G81" s="116"/>
      <c r="H81" s="115"/>
      <c r="I81" s="117"/>
      <c r="J81" s="64"/>
      <c r="K81" s="181"/>
      <c r="L81" s="181"/>
      <c r="M81" s="196"/>
      <c r="N81" s="182"/>
      <c r="O81" s="181"/>
      <c r="P81" s="183"/>
      <c r="Q81" s="123"/>
      <c r="R81" s="184"/>
      <c r="S81" s="185"/>
      <c r="T81" s="186"/>
      <c r="U81" s="185"/>
      <c r="V81" s="188"/>
      <c r="W81" s="187"/>
      <c r="X81" s="187"/>
      <c r="Y81" s="125"/>
      <c r="Z81" s="187"/>
      <c r="AA81" s="97"/>
      <c r="AB81" s="125"/>
    </row>
    <row r="82" spans="1:65" s="79" customFormat="1" ht="19" x14ac:dyDescent="0.25">
      <c r="C82" s="80"/>
      <c r="D82" s="229"/>
      <c r="E82" s="93"/>
      <c r="F82" s="67"/>
      <c r="G82" s="213"/>
      <c r="H82" s="123"/>
      <c r="I82" s="213">
        <f>SUM(I63:I65)</f>
        <v>33276</v>
      </c>
      <c r="J82" s="81"/>
      <c r="K82" s="195"/>
      <c r="L82" s="195"/>
      <c r="M82" s="196"/>
      <c r="N82" s="195"/>
      <c r="O82" s="195"/>
      <c r="P82" s="195"/>
      <c r="Q82" s="123"/>
      <c r="R82" s="123"/>
      <c r="S82" s="197"/>
      <c r="T82" s="198"/>
      <c r="U82" s="197"/>
      <c r="V82" s="213">
        <f>SUM(V63:V65)</f>
        <v>11573</v>
      </c>
      <c r="W82" s="200"/>
      <c r="X82" s="199"/>
      <c r="Y82" s="213">
        <f ca="1">SUM(Y67:Y79)</f>
        <v>40206.557692308364</v>
      </c>
      <c r="Z82" s="199"/>
      <c r="AA82" s="97"/>
      <c r="AB82" s="213">
        <f ca="1">SUM(AB67:AB79)</f>
        <v>44222.243589744481</v>
      </c>
    </row>
    <row r="83" spans="1:65" s="66" customFormat="1" x14ac:dyDescent="0.2">
      <c r="C83" s="97"/>
      <c r="D83" s="129"/>
      <c r="E83" s="132"/>
      <c r="F83" s="67"/>
      <c r="G83" s="68"/>
      <c r="H83" s="69"/>
      <c r="I83" s="70"/>
      <c r="J83" s="69"/>
      <c r="K83" s="195"/>
      <c r="L83" s="195"/>
      <c r="M83" s="123"/>
      <c r="N83" s="195"/>
      <c r="O83" s="195"/>
      <c r="P83" s="195"/>
      <c r="Q83" s="123"/>
      <c r="R83" s="123"/>
      <c r="S83" s="197"/>
      <c r="T83" s="97"/>
      <c r="U83" s="197"/>
      <c r="V83" s="200"/>
      <c r="W83" s="200"/>
      <c r="X83" s="199"/>
      <c r="Y83" s="127"/>
      <c r="Z83" s="199"/>
      <c r="AA83" s="97"/>
      <c r="AB83" s="127"/>
    </row>
    <row r="84" spans="1:65" s="82" customFormat="1" x14ac:dyDescent="0.2">
      <c r="C84" s="98"/>
      <c r="D84" s="114"/>
      <c r="E84" s="133"/>
      <c r="F84" s="83"/>
      <c r="G84" s="84"/>
      <c r="H84" s="85"/>
      <c r="I84" s="86"/>
      <c r="J84" s="69"/>
      <c r="K84" s="61"/>
      <c r="L84" s="61"/>
      <c r="M84" s="69"/>
      <c r="N84" s="61"/>
      <c r="O84" s="61"/>
      <c r="P84" s="61"/>
      <c r="Q84" s="69"/>
      <c r="R84" s="85"/>
      <c r="S84" s="87"/>
      <c r="U84" s="87"/>
      <c r="V84" s="73"/>
      <c r="W84" s="88"/>
      <c r="X84" s="89"/>
      <c r="Y84" s="128"/>
      <c r="Z84" s="89"/>
      <c r="AA84" s="66"/>
      <c r="AB84" s="128"/>
    </row>
    <row r="85" spans="1:65" s="82" customFormat="1" x14ac:dyDescent="0.2">
      <c r="C85" s="98"/>
      <c r="D85" s="114"/>
      <c r="E85" s="133"/>
      <c r="F85" s="83"/>
      <c r="G85" s="84"/>
      <c r="H85" s="85"/>
      <c r="I85" s="86"/>
      <c r="J85" s="69"/>
      <c r="K85" s="61"/>
      <c r="L85" s="61"/>
      <c r="M85" s="69"/>
      <c r="N85" s="61"/>
      <c r="O85" s="61"/>
      <c r="P85" s="61"/>
      <c r="Q85" s="69"/>
      <c r="R85" s="85"/>
      <c r="S85" s="87"/>
      <c r="U85" s="87"/>
      <c r="V85" s="73"/>
      <c r="W85" s="88"/>
      <c r="X85" s="89"/>
      <c r="Y85" s="128"/>
      <c r="Z85" s="89"/>
      <c r="AA85" s="66"/>
      <c r="AB85" s="128"/>
    </row>
    <row r="86" spans="1:65" s="82" customFormat="1" x14ac:dyDescent="0.2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N86" s="98"/>
      <c r="AO86" s="114"/>
      <c r="AP86" s="133"/>
      <c r="AQ86" s="83"/>
      <c r="AR86" s="84"/>
      <c r="AS86" s="85"/>
      <c r="AT86" s="86"/>
      <c r="AU86" s="85"/>
      <c r="AV86" s="61"/>
      <c r="AW86" s="61"/>
      <c r="AX86" s="85"/>
      <c r="AY86" s="61"/>
      <c r="AZ86" s="61"/>
      <c r="BA86" s="61"/>
      <c r="BB86" s="85"/>
      <c r="BC86" s="85"/>
      <c r="BD86" s="87"/>
      <c r="BF86" s="87"/>
      <c r="BG86" s="73"/>
      <c r="BH86" s="88"/>
      <c r="BI86" s="89"/>
      <c r="BJ86" s="128"/>
      <c r="BK86" s="89"/>
      <c r="BM86" s="128"/>
    </row>
    <row r="87" spans="1:65" s="82" customFormat="1" x14ac:dyDescent="0.2">
      <c r="A87" s="302"/>
      <c r="B87" s="302"/>
      <c r="C87" s="303"/>
      <c r="D87" s="304"/>
      <c r="E87" s="305"/>
      <c r="F87" s="306"/>
      <c r="G87" s="70"/>
      <c r="H87" s="70"/>
      <c r="I87" s="70"/>
      <c r="J87" s="70"/>
      <c r="K87" s="307"/>
      <c r="L87" s="307"/>
      <c r="M87" s="70"/>
      <c r="N87" s="307"/>
      <c r="O87" s="307"/>
      <c r="P87" s="307"/>
      <c r="Q87" s="70"/>
      <c r="R87" s="70"/>
      <c r="S87" s="308"/>
      <c r="T87" s="302"/>
      <c r="U87" s="308"/>
      <c r="V87" s="70"/>
      <c r="W87" s="70"/>
      <c r="X87" s="309"/>
      <c r="Y87" s="310"/>
      <c r="Z87" s="309"/>
      <c r="AA87" s="302"/>
      <c r="AB87" s="310"/>
      <c r="AC87" s="302"/>
      <c r="AD87" s="302"/>
      <c r="AE87" s="302"/>
    </row>
    <row r="88" spans="1:65" s="82" customFormat="1" x14ac:dyDescent="0.2">
      <c r="A88" s="302"/>
      <c r="B88" s="302"/>
      <c r="C88" s="303"/>
      <c r="D88" s="304"/>
      <c r="E88" s="305"/>
      <c r="F88" s="306"/>
      <c r="G88" s="70"/>
      <c r="H88" s="70"/>
      <c r="I88" s="70"/>
      <c r="J88" s="70"/>
      <c r="K88" s="307"/>
      <c r="L88" s="307"/>
      <c r="M88" s="70"/>
      <c r="N88" s="307"/>
      <c r="O88" s="307"/>
      <c r="P88" s="307"/>
      <c r="Q88" s="70"/>
      <c r="R88" s="70"/>
      <c r="S88" s="308"/>
      <c r="T88" s="302"/>
      <c r="U88" s="308"/>
      <c r="V88" s="70"/>
      <c r="W88" s="70"/>
      <c r="X88" s="309"/>
      <c r="Y88" s="310"/>
      <c r="Z88" s="309"/>
      <c r="AA88" s="302"/>
      <c r="AB88" s="310"/>
      <c r="AC88" s="302"/>
      <c r="AD88" s="302"/>
      <c r="AE88" s="302"/>
    </row>
    <row r="89" spans="1:65" s="82" customFormat="1" x14ac:dyDescent="0.2">
      <c r="A89" s="302"/>
      <c r="B89" s="302"/>
      <c r="C89" s="303"/>
      <c r="D89" s="304"/>
      <c r="E89" s="305"/>
      <c r="F89" s="306"/>
      <c r="G89" s="70"/>
      <c r="H89" s="70"/>
      <c r="I89" s="70"/>
      <c r="J89" s="70"/>
      <c r="K89" s="307"/>
      <c r="L89" s="307"/>
      <c r="M89" s="70"/>
      <c r="N89" s="307"/>
      <c r="O89" s="307"/>
      <c r="P89" s="307"/>
      <c r="Q89" s="70"/>
      <c r="R89" s="70"/>
      <c r="S89" s="308"/>
      <c r="T89" s="302"/>
      <c r="U89" s="308"/>
      <c r="V89" s="70"/>
      <c r="W89" s="70"/>
      <c r="X89" s="309"/>
      <c r="Y89" s="310"/>
      <c r="Z89" s="309"/>
      <c r="AA89" s="302"/>
      <c r="AB89" s="310"/>
      <c r="AC89" s="302"/>
      <c r="AD89" s="302"/>
      <c r="AE89" s="302"/>
    </row>
    <row r="90" spans="1:65" s="82" customFormat="1" x14ac:dyDescent="0.2">
      <c r="A90" s="302"/>
      <c r="B90" s="302"/>
      <c r="C90" s="303"/>
      <c r="D90" s="304"/>
      <c r="E90" s="305"/>
      <c r="F90" s="306"/>
      <c r="G90" s="70"/>
      <c r="H90" s="70"/>
      <c r="I90" s="70"/>
      <c r="J90" s="70"/>
      <c r="K90" s="307"/>
      <c r="L90" s="307"/>
      <c r="M90" s="70"/>
      <c r="N90" s="307"/>
      <c r="O90" s="307"/>
      <c r="P90" s="307"/>
      <c r="Q90" s="70"/>
      <c r="R90" s="70"/>
      <c r="S90" s="308"/>
      <c r="T90" s="302"/>
      <c r="U90" s="308"/>
      <c r="V90" s="70"/>
      <c r="W90" s="70"/>
      <c r="X90" s="309"/>
      <c r="Y90" s="310"/>
      <c r="Z90" s="309"/>
      <c r="AA90" s="302"/>
      <c r="AB90" s="310"/>
      <c r="AC90" s="302"/>
      <c r="AD90" s="302"/>
      <c r="AE90" s="302"/>
    </row>
    <row r="91" spans="1:65" s="82" customFormat="1" x14ac:dyDescent="0.2">
      <c r="A91" s="302"/>
      <c r="B91" s="302"/>
      <c r="C91" s="303"/>
      <c r="D91" s="304"/>
      <c r="E91" s="305"/>
      <c r="F91" s="306"/>
      <c r="G91" s="70"/>
      <c r="H91" s="70"/>
      <c r="I91" s="70"/>
      <c r="J91" s="70"/>
      <c r="K91" s="307"/>
      <c r="L91" s="307"/>
      <c r="M91" s="70"/>
      <c r="N91" s="307"/>
      <c r="O91" s="307"/>
      <c r="P91" s="307"/>
      <c r="Q91" s="70"/>
      <c r="R91" s="70"/>
      <c r="S91" s="308"/>
      <c r="T91" s="302"/>
      <c r="U91" s="308"/>
      <c r="V91" s="70"/>
      <c r="W91" s="70"/>
      <c r="X91" s="309"/>
      <c r="Y91" s="310"/>
      <c r="Z91" s="309"/>
      <c r="AA91" s="302"/>
      <c r="AB91" s="310"/>
      <c r="AC91" s="302"/>
      <c r="AD91" s="302"/>
      <c r="AE91" s="302"/>
    </row>
    <row r="92" spans="1:65" s="82" customFormat="1" x14ac:dyDescent="0.2">
      <c r="A92" s="302"/>
      <c r="B92" s="302"/>
      <c r="C92" s="303"/>
      <c r="D92" s="304"/>
      <c r="E92" s="305"/>
      <c r="F92" s="306"/>
      <c r="G92" s="70"/>
      <c r="H92" s="70"/>
      <c r="I92" s="70"/>
      <c r="J92" s="70"/>
      <c r="K92" s="307"/>
      <c r="L92" s="307"/>
      <c r="M92" s="70"/>
      <c r="N92" s="307"/>
      <c r="O92" s="307"/>
      <c r="P92" s="307"/>
      <c r="Q92" s="70"/>
      <c r="R92" s="70"/>
      <c r="S92" s="308"/>
      <c r="T92" s="302"/>
      <c r="U92" s="308"/>
      <c r="V92" s="70"/>
      <c r="W92" s="70"/>
      <c r="X92" s="309"/>
      <c r="Y92" s="310"/>
      <c r="Z92" s="309"/>
      <c r="AA92" s="302"/>
      <c r="AB92" s="310"/>
      <c r="AC92" s="302"/>
      <c r="AD92" s="302"/>
      <c r="AE92" s="302"/>
    </row>
    <row r="93" spans="1:65" s="82" customFormat="1" x14ac:dyDescent="0.2">
      <c r="A93" s="302"/>
      <c r="B93" s="302"/>
      <c r="C93" s="303"/>
      <c r="D93" s="304"/>
      <c r="E93" s="305"/>
      <c r="F93" s="306"/>
      <c r="G93" s="70"/>
      <c r="H93" s="70"/>
      <c r="I93" s="70"/>
      <c r="J93" s="70"/>
      <c r="K93" s="307"/>
      <c r="L93" s="307"/>
      <c r="M93" s="70"/>
      <c r="N93" s="307"/>
      <c r="O93" s="307"/>
      <c r="P93" s="307"/>
      <c r="Q93" s="70"/>
      <c r="R93" s="70"/>
      <c r="S93" s="308"/>
      <c r="T93" s="302"/>
      <c r="U93" s="308"/>
      <c r="V93" s="70"/>
      <c r="W93" s="70"/>
      <c r="X93" s="309"/>
      <c r="Y93" s="310"/>
      <c r="Z93" s="309"/>
      <c r="AA93" s="302"/>
      <c r="AB93" s="310"/>
      <c r="AC93" s="302"/>
      <c r="AD93" s="302"/>
      <c r="AE93" s="302"/>
    </row>
    <row r="94" spans="1:65" s="82" customFormat="1" x14ac:dyDescent="0.2">
      <c r="A94" s="302"/>
      <c r="B94" s="302"/>
      <c r="C94" s="303"/>
      <c r="D94" s="304"/>
      <c r="E94" s="305"/>
      <c r="F94" s="306"/>
      <c r="G94" s="70"/>
      <c r="H94" s="70"/>
      <c r="I94" s="70"/>
      <c r="J94" s="70"/>
      <c r="K94" s="307"/>
      <c r="L94" s="307"/>
      <c r="M94" s="70"/>
      <c r="N94" s="307"/>
      <c r="O94" s="307"/>
      <c r="P94" s="307"/>
      <c r="Q94" s="70"/>
      <c r="R94" s="70"/>
      <c r="S94" s="308"/>
      <c r="T94" s="302"/>
      <c r="U94" s="308"/>
      <c r="V94" s="70"/>
      <c r="W94" s="70"/>
      <c r="X94" s="309"/>
      <c r="Y94" s="310"/>
      <c r="Z94" s="309"/>
      <c r="AA94" s="302"/>
      <c r="AB94" s="310"/>
      <c r="AC94" s="302"/>
      <c r="AD94" s="302"/>
      <c r="AE94" s="302"/>
    </row>
    <row r="95" spans="1:65" s="82" customFormat="1" x14ac:dyDescent="0.2">
      <c r="A95" s="302"/>
      <c r="B95" s="302"/>
      <c r="C95" s="303"/>
      <c r="D95" s="304"/>
      <c r="E95" s="305"/>
      <c r="F95" s="306"/>
      <c r="G95" s="70"/>
      <c r="H95" s="70"/>
      <c r="I95" s="70"/>
      <c r="J95" s="70"/>
      <c r="K95" s="307"/>
      <c r="L95" s="307"/>
      <c r="M95" s="70"/>
      <c r="N95" s="307"/>
      <c r="O95" s="307"/>
      <c r="P95" s="307"/>
      <c r="Q95" s="70"/>
      <c r="R95" s="70"/>
      <c r="S95" s="308"/>
      <c r="T95" s="302"/>
      <c r="U95" s="308"/>
      <c r="V95" s="70"/>
      <c r="W95" s="70"/>
      <c r="X95" s="309"/>
      <c r="Y95" s="310"/>
      <c r="Z95" s="309"/>
      <c r="AA95" s="302"/>
      <c r="AB95" s="310"/>
      <c r="AC95" s="302"/>
      <c r="AD95" s="302"/>
      <c r="AE95" s="302"/>
    </row>
    <row r="96" spans="1:65" s="82" customFormat="1" x14ac:dyDescent="0.2">
      <c r="A96" s="302"/>
      <c r="B96" s="302"/>
      <c r="C96" s="303"/>
      <c r="D96" s="304"/>
      <c r="E96" s="305"/>
      <c r="F96" s="306"/>
      <c r="G96" s="70"/>
      <c r="H96" s="70"/>
      <c r="I96" s="70"/>
      <c r="J96" s="70"/>
      <c r="K96" s="307"/>
      <c r="L96" s="307"/>
      <c r="M96" s="70"/>
      <c r="N96" s="307"/>
      <c r="O96" s="307"/>
      <c r="P96" s="307"/>
      <c r="Q96" s="70"/>
      <c r="R96" s="70"/>
      <c r="S96" s="308"/>
      <c r="T96" s="302"/>
      <c r="U96" s="308"/>
      <c r="V96" s="70"/>
      <c r="W96" s="70"/>
      <c r="X96" s="309"/>
      <c r="Y96" s="310"/>
      <c r="Z96" s="309"/>
      <c r="AA96" s="302"/>
      <c r="AB96" s="310"/>
      <c r="AC96" s="302"/>
      <c r="AD96" s="302"/>
      <c r="AE96" s="302"/>
    </row>
    <row r="97" spans="1:31" s="82" customFormat="1" x14ac:dyDescent="0.2">
      <c r="A97" s="302"/>
      <c r="B97" s="302"/>
      <c r="C97" s="303"/>
      <c r="D97" s="304"/>
      <c r="E97" s="305"/>
      <c r="F97" s="306"/>
      <c r="G97" s="70"/>
      <c r="H97" s="70"/>
      <c r="I97" s="70"/>
      <c r="J97" s="70"/>
      <c r="K97" s="307"/>
      <c r="L97" s="307"/>
      <c r="M97" s="70"/>
      <c r="N97" s="307"/>
      <c r="O97" s="307"/>
      <c r="P97" s="307"/>
      <c r="Q97" s="70"/>
      <c r="R97" s="70"/>
      <c r="S97" s="308"/>
      <c r="T97" s="302"/>
      <c r="U97" s="308"/>
      <c r="V97" s="70"/>
      <c r="W97" s="70"/>
      <c r="X97" s="309"/>
      <c r="Y97" s="310"/>
      <c r="Z97" s="309"/>
      <c r="AA97" s="302"/>
      <c r="AB97" s="310"/>
      <c r="AC97" s="302"/>
      <c r="AD97" s="302"/>
      <c r="AE97" s="302"/>
    </row>
    <row r="98" spans="1:31" s="82" customFormat="1" x14ac:dyDescent="0.2">
      <c r="A98" s="302"/>
      <c r="B98" s="302"/>
      <c r="C98" s="303"/>
      <c r="D98" s="304"/>
      <c r="E98" s="305"/>
      <c r="F98" s="306"/>
      <c r="G98" s="70"/>
      <c r="H98" s="70"/>
      <c r="I98" s="70"/>
      <c r="J98" s="70"/>
      <c r="K98" s="307"/>
      <c r="L98" s="307"/>
      <c r="M98" s="70"/>
      <c r="N98" s="307"/>
      <c r="O98" s="307"/>
      <c r="P98" s="307"/>
      <c r="Q98" s="70"/>
      <c r="R98" s="70"/>
      <c r="S98" s="308"/>
      <c r="T98" s="302"/>
      <c r="U98" s="308"/>
      <c r="V98" s="70"/>
      <c r="W98" s="70"/>
      <c r="X98" s="309"/>
      <c r="Y98" s="310"/>
      <c r="Z98" s="309"/>
      <c r="AA98" s="302"/>
      <c r="AB98" s="310"/>
      <c r="AC98" s="302"/>
      <c r="AD98" s="302"/>
      <c r="AE98" s="302"/>
    </row>
    <row r="99" spans="1:31" s="82" customFormat="1" x14ac:dyDescent="0.2">
      <c r="A99" s="302"/>
      <c r="B99" s="302"/>
      <c r="C99" s="303"/>
      <c r="D99" s="304"/>
      <c r="E99" s="305"/>
      <c r="F99" s="306"/>
      <c r="G99" s="70"/>
      <c r="H99" s="70"/>
      <c r="I99" s="70"/>
      <c r="J99" s="70"/>
      <c r="K99" s="307"/>
      <c r="L99" s="307"/>
      <c r="M99" s="70"/>
      <c r="N99" s="307"/>
      <c r="O99" s="307"/>
      <c r="P99" s="307"/>
      <c r="Q99" s="70"/>
      <c r="R99" s="70"/>
      <c r="S99" s="308"/>
      <c r="T99" s="302"/>
      <c r="U99" s="308"/>
      <c r="V99" s="70"/>
      <c r="W99" s="70"/>
      <c r="X99" s="309"/>
      <c r="Y99" s="310"/>
      <c r="Z99" s="309"/>
      <c r="AA99" s="302"/>
      <c r="AB99" s="310"/>
      <c r="AC99" s="302"/>
      <c r="AD99" s="302"/>
      <c r="AE99" s="3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2018-07-25T20:46:39Z</dcterms:modified>
  <cp:category/>
</cp:coreProperties>
</file>