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ximo"/>
  <workbookPr/>
  <bookViews>
    <workbookView activeTab="0" xWindow="240" yWindow="60" windowWidth="0" windowHeight="0" tabRatio="500"/>
  </bookViews>
  <sheets>
    <sheet name="Parámetros" sheetId="1" r:id="rId4"/>
    <sheet name="Enlace Comprometido" sheetId="2" r:id="rId5"/>
    <sheet name="Enlace Comprometido REG" sheetId="3" r:id="rId6"/>
    <sheet name="No linealidades" sheetId="4" r:id="rId7"/>
    <sheet name="Enlace Largo 100Gbps" sheetId="5" r:id="rId8"/>
    <sheet name="Enlace Largo 200Gbps" sheetId="6" r:id="rId9"/>
    <sheet name="Enlace Largo 200Gbps REG" sheetId="7" r:id="rId10"/>
  </sheets>
  <calcPr/>
  <extLst>
    <ext uri="smNativeData">
      <pm:revision xmlns:pm="smNativeData" day="1782566527" val="1234" rev="124" rev64="64" revOS="3" revMin="124" revMax="0"/>
      <pm:docPrefs xmlns:pm="smNativeData" id="1782566527" fixedDigits="0" showNotice="1" showFrameBounds="1" autoChart="1" recalcOnPrint="1" recalcOnCopy="1" finalRounding="1" compatTextArt="1" tab="567" useDefinedPrintRange="1" printArea="currentSheet"/>
      <pm:compatibility xmlns:pm="smNativeData" id="1782566527" overlapCells="1"/>
      <pm:defCurrency xmlns:pm="smNativeData" id="1782566527"/>
    </ext>
  </extLst>
</workbook>
</file>

<file path=xl/sharedStrings.xml><?xml version="1.0" encoding="utf-8"?>
<sst xmlns="http://schemas.openxmlformats.org/spreadsheetml/2006/main" count="789" uniqueCount="188">
  <si>
    <t>PARAMETROS</t>
  </si>
  <si>
    <t>Parametros del Transceiver TQD017 [400Gbps]</t>
  </si>
  <si>
    <t>Valores</t>
  </si>
  <si>
    <t>Variabilidad</t>
  </si>
  <si>
    <t>Potencia maxima de salida (dBm)</t>
  </si>
  <si>
    <t>Potencia minima de salida (dBm)</t>
  </si>
  <si>
    <t xml:space="preserve">Dispersion Cromatica (ps/nm) </t>
  </si>
  <si>
    <t>Sensibilidad en el receptor para OSNR &gt;= 23,5dB (dB)</t>
  </si>
  <si>
    <t>Relacionada con E-12</t>
  </si>
  <si>
    <t>Se suele llegar con -7,8 dBm</t>
  </si>
  <si>
    <t>Potencia maxima de entrada en el receptor (dBm)</t>
  </si>
  <si>
    <t>OSNR del transmisor a 0,1nm (dB)</t>
  </si>
  <si>
    <t xml:space="preserve">OSNR requerida </t>
  </si>
  <si>
    <t>Tolerancia PMD (ps)</t>
  </si>
  <si>
    <t>En transceivers modernos que usan DP-16QAM suele ser 10 [ps]</t>
  </si>
  <si>
    <t>GSNR a 0,1nm (dB)</t>
  </si>
  <si>
    <t>OSNR de recepcion con -14dBm</t>
  </si>
  <si>
    <t>Bo (GHz)</t>
  </si>
  <si>
    <t>Normalizado a 0,1nm</t>
  </si>
  <si>
    <t>Multiplexador DCP-R-9D</t>
  </si>
  <si>
    <t>VOA ajustable</t>
  </si>
  <si>
    <t>- (0 a 19) dB</t>
  </si>
  <si>
    <t>Cantidad Canales = 40</t>
  </si>
  <si>
    <t>Atenuacion MUX+/DEMUX+</t>
  </si>
  <si>
    <t>Preamplificador Integrado</t>
  </si>
  <si>
    <t>Sensibilidad máxima LINE (IN) (dBm)</t>
  </si>
  <si>
    <t>Tratamos siempre de llegar al pre con -18,8 dB</t>
  </si>
  <si>
    <t>Potencia de entrada mínima por canal (dBm)</t>
  </si>
  <si>
    <t>Sensibilidad maxima (LINE IN) - 10*log10(Cantidad Canales)</t>
  </si>
  <si>
    <t>10*log10(40)=16,02</t>
  </si>
  <si>
    <t>Ganancia del preamplificador (dB)</t>
  </si>
  <si>
    <t>Potencia de salida máxima SIG (OUT) (dBm)</t>
  </si>
  <si>
    <t>Potencia de entrada máxima por canal (dBm) para 22dB ganancia</t>
  </si>
  <si>
    <t>Potencia de entrada maxima total - 10*log10(Cantidad Canales)</t>
  </si>
  <si>
    <t>Potencia de entrada maxima total = Potencia de salida maxima (SIG OUT) - Ganancia</t>
  </si>
  <si>
    <t>Figura de Ruido preamplificador (dB)</t>
  </si>
  <si>
    <t>Booster Integrado</t>
  </si>
  <si>
    <t>Sensibilidad máxima SIG (IN) (dBm)</t>
  </si>
  <si>
    <t>Tratamos siempre de llegar al booster con -17,8 dB</t>
  </si>
  <si>
    <t>Ganancia Booster Amplifier (dB)</t>
  </si>
  <si>
    <t>Potencia de salida máxima LINE (OUT) (dBm)</t>
  </si>
  <si>
    <t>Potencia de entrada máxima por canal (dBm) para 21,5dB ganancia</t>
  </si>
  <si>
    <t>Potencia de entrada maxima total = Potencia de salida maxima (LINE OUT) - Ganancia</t>
  </si>
  <si>
    <t>Figura de Ruido booster (dB)</t>
  </si>
  <si>
    <t>Tratamos de salir del Booster con 2,5 dB por canal</t>
  </si>
  <si>
    <t>Parametros del Amplificador de Linea (OLA2525)</t>
  </si>
  <si>
    <t>Ganancia del amplificador (dB)</t>
  </si>
  <si>
    <t>Potencia de entrada máxima por canal (dBm) para 25dB ganancia</t>
  </si>
  <si>
    <t>Figura de Ruido (dB)</t>
  </si>
  <si>
    <t>Parametros de la fibra Corning SMF-28</t>
  </si>
  <si>
    <t>Atenuación (db/km)</t>
  </si>
  <si>
    <t>Atenuación (dB/km) + 0,05 empalmes fusion</t>
  </si>
  <si>
    <t>Dispersion Cromatica (ps/(nm.km)) en 1550nm</t>
  </si>
  <si>
    <t>PMD (ps/√km)</t>
  </si>
  <si>
    <t>λ0 (Dispersión cero)</t>
  </si>
  <si>
    <t>1304-1324 nm</t>
  </si>
  <si>
    <t>Pendiente en λ0 (Dispersión cero) (ps/(nm^2.km))</t>
  </si>
  <si>
    <t>Justificacion de los valores asignados en C48, C49, C50 y C59</t>
  </si>
  <si>
    <t>Area efectiva - Ae [um²]</t>
  </si>
  <si>
    <t>Indice no lineal - ñ [um²/W]</t>
  </si>
  <si>
    <t>Coeficiente no linealidad - Lambda [Wkm^-1]</t>
  </si>
  <si>
    <t>Longitud maxima de 50,4 km/rollo</t>
  </si>
  <si>
    <t>Parametros de la fibra Corning Compensadora Fiberdyne</t>
  </si>
  <si>
    <t>Longitud (km)</t>
  </si>
  <si>
    <t>20-140</t>
  </si>
  <si>
    <t>D*L (ps/nm)</t>
  </si>
  <si>
    <t>Dispersion Cromatica (ps/[nm*km])</t>
  </si>
  <si>
    <t>Perdida de insercion</t>
  </si>
  <si>
    <t>PMD (ps)</t>
  </si>
  <si>
    <t>No linealidades</t>
  </si>
  <si>
    <t>Cantidad de spans entre Tx y Rx</t>
  </si>
  <si>
    <t>γ (Coef. de propagación no lineal  en (W.km)^-1)</t>
  </si>
  <si>
    <t>|β2| (s^2/km)</t>
  </si>
  <si>
    <t>Número de canales en el enlace</t>
  </si>
  <si>
    <t>Tasa de símbolos (Baudios)</t>
  </si>
  <si>
    <t>Recordar roll-off de 0,11</t>
  </si>
  <si>
    <t>Ancho de banda del slot (Hz)</t>
  </si>
  <si>
    <t>Parametros del Transceiver TQD017 [100Gbps]</t>
  </si>
  <si>
    <t>Sensibilidad en el receptor para OSNR &gt;= 11,8dB (dB)</t>
  </si>
  <si>
    <t>Tasa de simbolos (Baudios)</t>
  </si>
  <si>
    <t>Parametros del Transceiver TQD017 [200Gbps]</t>
  </si>
  <si>
    <t>Sensibilidad en el receptor para OSNR &gt;= 20,5dB (dB)</t>
  </si>
  <si>
    <t xml:space="preserve">Benavidez - Rosario </t>
  </si>
  <si>
    <t xml:space="preserve">calculos normalizados a 0,1 nm </t>
  </si>
  <si>
    <t>Presupuesto de Potencia</t>
  </si>
  <si>
    <t>Distancia (km)</t>
  </si>
  <si>
    <t>Atenuación por km</t>
  </si>
  <si>
    <t>Amplificación/Atenuación (dB)</t>
  </si>
  <si>
    <t>Potencia acumulada (dBm)</t>
  </si>
  <si>
    <t>400 Gbps / Limite</t>
  </si>
  <si>
    <t>NF (dB)</t>
  </si>
  <si>
    <t>OSNR canal (dB)</t>
  </si>
  <si>
    <t>OSNR canal (veces)</t>
  </si>
  <si>
    <t>OSNR acumulada (dB)</t>
  </si>
  <si>
    <t>OSNR acumulada (veces)</t>
  </si>
  <si>
    <t>1/GSNR NL</t>
  </si>
  <si>
    <t>GSNR NL (dB)</t>
  </si>
  <si>
    <t>GSNR NL (veces)</t>
  </si>
  <si>
    <t>GSNR NL acumulada (dB)</t>
  </si>
  <si>
    <t>GSNR NL acumulada (veces)</t>
  </si>
  <si>
    <t>GSNR Total (dB)</t>
  </si>
  <si>
    <t>Benavidez</t>
  </si>
  <si>
    <t>Transceiver</t>
  </si>
  <si>
    <t>-</t>
  </si>
  <si>
    <t>MUX+</t>
  </si>
  <si>
    <t>Amplificador Booster</t>
  </si>
  <si>
    <t>VOA (Booster)</t>
  </si>
  <si>
    <t>Fibra</t>
  </si>
  <si>
    <t>Campana</t>
  </si>
  <si>
    <t>VOA (Line In)</t>
  </si>
  <si>
    <t>Preamplificador</t>
  </si>
  <si>
    <t>WSS+ (ROADM 1)</t>
  </si>
  <si>
    <t>WSS+ (ROADM 2)</t>
  </si>
  <si>
    <t>Zarate</t>
  </si>
  <si>
    <t>Baradero</t>
  </si>
  <si>
    <t>San Pedro BsAs</t>
  </si>
  <si>
    <t>San Nicolas de los Arroyos</t>
  </si>
  <si>
    <t>Recordar umbral de 23,5</t>
  </si>
  <si>
    <t>Rosario</t>
  </si>
  <si>
    <t>DEMUX+</t>
  </si>
  <si>
    <t>TOTAL</t>
  </si>
  <si>
    <t>NO FUNCIONA</t>
  </si>
  <si>
    <t>Requerido para 400 Gbps</t>
  </si>
  <si>
    <t>Longitud de onda</t>
  </si>
  <si>
    <t>Coeficiente DC (ps/(nm.km)</t>
  </si>
  <si>
    <t>Coeficiente DCF (ps/(nm.km)</t>
  </si>
  <si>
    <t>Compensacion Transceiver ps/nm</t>
  </si>
  <si>
    <t>1550 nm</t>
  </si>
  <si>
    <t>1534.8 nm - 195,4 THz</t>
  </si>
  <si>
    <t>Tramo</t>
  </si>
  <si>
    <t>Dispersión tramo (ps/nm)</t>
  </si>
  <si>
    <t>Dispersión acumulada (ps/nm)</t>
  </si>
  <si>
    <t>Benavidez-Campana</t>
  </si>
  <si>
    <t>Campana-Zarate</t>
  </si>
  <si>
    <t>Zarate-Baradero</t>
  </si>
  <si>
    <t>Baradero-San Pedro BsAs</t>
  </si>
  <si>
    <t>San Pedro BsAs-San Nicolas de los Arroyos</t>
  </si>
  <si>
    <t>San Nicolas de los Arroyos-Rosario</t>
  </si>
  <si>
    <t>Cálculo PMD</t>
  </si>
  <si>
    <t>Coeficiente PMD</t>
  </si>
  <si>
    <t>1565 nm - 191.7 THz</t>
  </si>
  <si>
    <t>Dispersión (ps)</t>
  </si>
  <si>
    <t>PMD Total</t>
  </si>
  <si>
    <t>El transceiver aguanta 10 [ps]</t>
  </si>
  <si>
    <t>Benavidez - Rosario</t>
  </si>
  <si>
    <t>San Pedro BsAs (Regeneracion)</t>
  </si>
  <si>
    <t>Transceiver (Rx)</t>
  </si>
  <si>
    <t>Transceiver (Tx)</t>
  </si>
  <si>
    <t>FUNCIONA</t>
  </si>
  <si>
    <t>TOTAL Pre REG</t>
  </si>
  <si>
    <t>No Linealidades (COMPROMETIDO)</t>
  </si>
  <si>
    <t>Potencia de entrada a la fibra (dBm)</t>
  </si>
  <si>
    <t>Longitud Efectiva (km)</t>
  </si>
  <si>
    <t>Longitud No Lineal (km)</t>
  </si>
  <si>
    <t>α (dB/km)</t>
  </si>
  <si>
    <t>San Pedro BsAs-San Nicolas</t>
  </si>
  <si>
    <t>San Nicolas-Rosario</t>
  </si>
  <si>
    <t>No Linealidades (LARGO)</t>
  </si>
  <si>
    <t>DinaHuapi-Comallo</t>
  </si>
  <si>
    <t>Comallo-IngJacobacci</t>
  </si>
  <si>
    <t>IngJacobacci-Maquinchao</t>
  </si>
  <si>
    <t>Maquinchao-LosMenucos</t>
  </si>
  <si>
    <t>LosMenucos-MinistroRamosMexia</t>
  </si>
  <si>
    <t>MinistroRamosMexia-NahuelNiyeu</t>
  </si>
  <si>
    <t>NahuelNiyeu-AguadaCecilio</t>
  </si>
  <si>
    <t>Dina Huapi - Aguada Cecilio</t>
  </si>
  <si>
    <t>100 Gbps / Limite</t>
  </si>
  <si>
    <t>Dina Huapi</t>
  </si>
  <si>
    <t>VOA (BOOSTER)</t>
  </si>
  <si>
    <t>Comallo</t>
  </si>
  <si>
    <t>VOA (ILA)</t>
  </si>
  <si>
    <t>Amplificador (Comallo)</t>
  </si>
  <si>
    <t>Ing. Jacobacci</t>
  </si>
  <si>
    <t>Amplificador (Ing. Jacobacci)</t>
  </si>
  <si>
    <t>Maquinchao</t>
  </si>
  <si>
    <t>Amplificador (Maquinchao)</t>
  </si>
  <si>
    <t>Los Menucos</t>
  </si>
  <si>
    <t>Amplificador (Los Menucos)</t>
  </si>
  <si>
    <t>Ministro Ramos Mexía</t>
  </si>
  <si>
    <t>Amplificador (Ministro Ramos Mexía)</t>
  </si>
  <si>
    <t>Nahuel Niyeu</t>
  </si>
  <si>
    <t>Amplificador (Nahuel Niyeu)</t>
  </si>
  <si>
    <t>Aguada Cecilio</t>
  </si>
  <si>
    <t>Requerido para 100 Gbps</t>
  </si>
  <si>
    <t>El transceiver aguanta 30 [ps]</t>
  </si>
  <si>
    <t>200 Gbps / Limite</t>
  </si>
  <si>
    <t>Los Menucos (Regeneracion)</t>
  </si>
  <si>
    <t>MinistroRamosMexia</t>
  </si>
</sst>
</file>

<file path=xl/styles.xml><?xml version="1.0" encoding="utf-8"?>
<styleSheet xmlns="http://schemas.openxmlformats.org/spreadsheetml/2006/main">
  <numFmts count="14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164" formatCode="0.000"/>
    <numFmt numFmtId="165" formatCode="0.0"/>
    <numFmt numFmtId="166" formatCode="0.0000"/>
    <numFmt numFmtId="2" formatCode="0.00"/>
    <numFmt numFmtId="11" formatCode="0.00E+00"/>
    <numFmt numFmtId="1" formatCode="0"/>
  </numFmts>
  <fonts count="12">
    <font>
      <name val="Arial"/>
      <family val="2"/>
      <color rgb="FF000000"/>
      <sz val="10"/>
      <extLst>
        <ext uri="smNativeData">
          <pm:charSpec xmlns:pm="smNativeData" id="1782566527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2566527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2566527" ulstyle="non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b/>
      <color rgb="FF000000"/>
      <sz val="11"/>
      <u val="single"/>
      <extLst>
        <ext uri="smNativeData">
          <pm:charSpec xmlns:pm="smNativeData" id="1782566527" ulstyle="single" kern="1">
            <pm:latin face="Calibri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82566527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&quot;Calibri&quot;"/>
      <b/>
      <color rgb="FF1F497D"/>
      <sz val="14"/>
      <extLst>
        <ext uri="smNativeData">
          <pm:charSpec xmlns:pm="smNativeData" id="1782566527" fgClr="1F497D" ulstyle="none" kern="1">
            <pm:latin face="&quot;Calibri&quot;" sz="280" lang="default" weight="bold"/>
            <pm:cs face="Basic Roman" sz="280" lang="default" weight="bold"/>
            <pm:ea face="Basic Roman" sz="280" lang="default" weight="bold"/>
          </pm:charSpec>
        </ext>
      </extLst>
    </font>
    <font>
      <name val="&quot;Calibri&quot;"/>
      <b/>
      <color rgb="FFFFFFFF"/>
      <sz val="11"/>
      <extLst>
        <ext uri="smNativeData">
          <pm:charSpec xmlns:pm="smNativeData" id="1782566527" fgClr="FFFFFF" ulstyle="none" kern="1">
            <pm:latin face="&quot;Calibri&quot;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&quot;Calibri&quot;"/>
      <b/>
      <color rgb="FF000000"/>
      <sz val="11"/>
      <extLst>
        <ext uri="smNativeData">
          <pm:charSpec xmlns:pm="smNativeData" id="1782566527" ulstyle="none" kern="1">
            <pm:latin face="&quot;Calibri&quot;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&quot;Calibri&quot;"/>
      <color rgb="FF000000"/>
      <sz val="11"/>
      <extLst>
        <ext uri="smNativeData">
          <pm:charSpec xmlns:pm="smNativeData" id="1782566527" ulstyle="none" kern="1">
            <pm:latin face="&quot;Calibri&quot;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82566527" ulstyle="none" kern="1">
            <pm:latin face="Arial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&quot;Calibri&quot;"/>
      <i/>
      <color rgb="FF000000"/>
      <sz val="11"/>
      <extLst>
        <ext uri="smNativeData">
          <pm:charSpec xmlns:pm="smNativeData" id="1782566527" ulstyle="none" kern="1">
            <pm:latin face="&quot;Calibri&quot;" sz="220" lang="default" i="1"/>
            <pm:cs face="Basic Roman" sz="220" lang="default" i="1"/>
            <pm:ea face="Basic Roman" sz="220" lang="default" i="1"/>
          </pm:charSpec>
        </ext>
      </extLst>
    </font>
    <font>
      <name val="&quot;Calibri&quot;"/>
      <color rgb="FF000000"/>
      <sz val="10"/>
      <extLst>
        <ext uri="smNativeData">
          <pm:charSpec xmlns:pm="smNativeData" id="1782566527" ulstyle="none" kern="1">
            <pm:latin face="&quot;Calibri&quot;" sz="200" lang="default"/>
            <pm:cs face="Basic Roman" sz="200" lang="default"/>
            <pm:ea face="Basic Roman" sz="200" lang="default"/>
          </pm:charSpec>
        </ext>
      </extLst>
    </font>
  </fonts>
  <fills count="5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BBB59"/>
        <bgColor rgb="FFFFFFFF"/>
        <extLst>
          <ext uri="smNativeData">
            <pm:shade xmlns:pm="smNativeData" id="1782566527" type="1" fgLvl="100" fgClr="009BBB59" bgLvl="0" bgClr="009BBB59"/>
          </ext>
        </extLst>
      </patternFill>
    </fill>
    <fill>
      <patternFill patternType="solid">
        <fgColor rgb="FFC9DAF8"/>
        <bgColor rgb="FFFFFFFF"/>
        <extLst>
          <ext uri="smNativeData">
            <pm:shade xmlns:pm="smNativeData" id="1782566527" type="1" fgLvl="100" fgClr="00C9DAF8" bgLvl="0" bgClr="00C9DAF8"/>
          </ext>
        </extLst>
      </patternFill>
    </fill>
    <fill>
      <patternFill patternType="solid">
        <fgColor rgb="FFA2C4C9"/>
        <bgColor rgb="FFFFFFFF"/>
        <extLst>
          <ext uri="smNativeData">
            <pm:shade xmlns:pm="smNativeData" id="1782566527" type="1" fgLvl="100" fgClr="00A2C4C9" bgLvl="0" bgClr="00A2C4C9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2566527" type="1" fgLvl="100" fgClr="00FFD966" bgLvl="0" bgClr="00FFD966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2566527" type="1" fgLvl="100" fgClr="00FFD966" bgLvl="0" bgClr="00FFD966"/>
          </ext>
        </extLst>
      </patternFill>
    </fill>
    <fill>
      <patternFill patternType="solid">
        <fgColor rgb="FFDD7E6B"/>
        <bgColor rgb="FFFFFFFF"/>
        <extLst>
          <ext uri="smNativeData">
            <pm:shade xmlns:pm="smNativeData" id="1782566527" type="1" fgLvl="100" fgClr="00DD7E6B" bgLvl="0" bgClr="00DD7E6B"/>
          </ext>
        </extLst>
      </patternFill>
    </fill>
    <fill>
      <patternFill patternType="solid">
        <fgColor rgb="FFA4C2F4"/>
        <bgColor rgb="FFFFFFFF"/>
        <extLst>
          <ext uri="smNativeData">
            <pm:shade xmlns:pm="smNativeData" id="1782566527" type="1" fgLvl="100" fgClr="00A4C2F4" bgLvl="0" bgClr="00A4C2F4"/>
          </ext>
        </extLst>
      </patternFill>
    </fill>
    <fill>
      <patternFill patternType="solid">
        <fgColor rgb="FFF3F3F3"/>
        <bgColor rgb="FFFFFFFF"/>
        <extLst>
          <ext uri="smNativeData">
            <pm:shade xmlns:pm="smNativeData" id="1782566527" type="1" fgLvl="100" fgClr="00F3F3F3" bgLvl="0" bgClr="00F3F3F3"/>
          </ext>
        </extLst>
      </patternFill>
    </fill>
    <fill>
      <patternFill patternType="solid">
        <fgColor rgb="FFD9D2E9"/>
        <bgColor rgb="FFFFFFFF"/>
        <extLst>
          <ext uri="smNativeData">
            <pm:shade xmlns:pm="smNativeData" id="1782566527" type="1" fgLvl="100" fgClr="00D9D2E9" bgLvl="0" bgClr="00D9D2E9"/>
          </ext>
        </extLst>
      </patternFill>
    </fill>
    <fill>
      <patternFill patternType="solid">
        <fgColor rgb="FF1F497D"/>
        <bgColor rgb="FFFFFFFF"/>
        <extLst>
          <ext uri="smNativeData">
            <pm:shade xmlns:pm="smNativeData" id="1782566527" type="1" fgLvl="100" fgClr="001F497D" bgLvl="0" bgClr="001F497D"/>
          </ext>
        </extLst>
      </patternFill>
    </fill>
    <fill>
      <patternFill patternType="solid">
        <fgColor rgb="FFDCE6F1"/>
        <bgColor rgb="FFFFFFFF"/>
        <extLst>
          <ext uri="smNativeData">
            <pm:shade xmlns:pm="smNativeData" id="1782566527" type="1" fgLvl="100" fgClr="00DCE6F1" bgLvl="0" bgClr="00DCE6F1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2566527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2566527" type="1" fgLvl="100" fgClr="00FFFFFF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2566527" type="1" fgLvl="100" fgClr="00FFFFFF" bgLvl="0" bgClr="00FFFFFF"/>
          </ext>
        </extLst>
      </patternFill>
    </fill>
    <fill>
      <patternFill patternType="solid">
        <fgColor rgb="FFE4F0E8"/>
        <bgColor rgb="FFFFFFFF"/>
        <extLst>
          <ext uri="smNativeData">
            <pm:shade xmlns:pm="smNativeData" id="1782566527" type="1" fgLvl="100" fgClr="00E4F0E8" bgLvl="0" bgClr="00E4F0E8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2566527" type="1" fgLvl="100" fgClr="00FF0000" bgLvl="0" bgClr="00FF0000"/>
          </ext>
        </extLst>
      </patternFill>
    </fill>
    <fill>
      <patternFill patternType="none"/>
    </fill>
    <fill>
      <patternFill patternType="solid">
        <fgColor rgb="FFD9D2E9"/>
        <bgColor rgb="FFFFFFFF"/>
        <extLst>
          <ext uri="smNativeData">
            <pm:shade xmlns:pm="smNativeData" id="1782566527" type="1" fgLvl="100" fgClr="00D9D2E9" bgLvl="0" bgClr="00D9D2E9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2566527" type="1" fgLvl="100" fgClr="00FF0000" bgLvl="0" bgClr="00FF0000"/>
          </ext>
        </extLst>
      </patternFill>
    </fill>
    <fill>
      <patternFill patternType="solid">
        <fgColor rgb="FFD9D2E9"/>
        <bgColor rgb="FFFFFFFF"/>
        <extLst>
          <ext uri="smNativeData">
            <pm:shade xmlns:pm="smNativeData" id="1782566527" type="1" fgLvl="100" fgClr="00D9D2E9" bgLvl="0" bgClr="00D9D2E9"/>
          </ext>
        </extLst>
      </patternFill>
    </fill>
    <fill>
      <patternFill patternType="solid">
        <fgColor rgb="FF9EFF9E"/>
        <bgColor rgb="FFFFFFFF"/>
        <extLst>
          <ext uri="smNativeData">
            <pm:shade xmlns:pm="smNativeData" id="1782566527" type="1" fgLvl="100" fgClr="009EFF9E" bgLvl="0" bgClr="009EFF9E"/>
          </ext>
        </extLst>
      </patternFill>
    </fill>
    <fill>
      <patternFill patternType="solid">
        <fgColor rgb="FF9E9EFF"/>
        <bgColor rgb="FFFFFFFF"/>
        <extLst>
          <ext uri="smNativeData">
            <pm:shade xmlns:pm="smNativeData" id="1782566527" type="1" fgLvl="100" fgClr="009E9EFF" bgLvl="0" bgClr="009E9EFF"/>
          </ext>
        </extLst>
      </patternFill>
    </fill>
    <fill>
      <patternFill patternType="solid">
        <fgColor rgb="FFE0E0FF"/>
        <bgColor rgb="FFFFFFFF"/>
        <extLst>
          <ext uri="smNativeData">
            <pm:shade xmlns:pm="smNativeData" id="1782566527" type="1" fgLvl="100" fgClr="00E0E0FF" bgLvl="0" bgClr="00E0E0FF"/>
          </ext>
        </extLst>
      </patternFill>
    </fill>
    <fill>
      <patternFill patternType="solid">
        <fgColor rgb="FFFFE599"/>
        <bgColor rgb="FFFFFFFF"/>
        <extLst>
          <ext uri="smNativeData">
            <pm:shade xmlns:pm="smNativeData" id="1782566527" type="1" fgLvl="100" fgClr="00FFE599" bgLvl="0" bgClr="00FFE599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00FF00"/>
        <bgColor rgb="FFFFFFFF"/>
        <extLst>
          <ext uri="smNativeData">
            <pm:shade xmlns:pm="smNativeData" id="1782566527" type="1" fgLvl="100" fgClr="0000FF00" bgLvl="0" bgClr="0000FF00"/>
          </ext>
        </extLst>
      </patternFill>
    </fill>
    <fill>
      <patternFill patternType="solid">
        <fgColor rgb="FFFFE599"/>
        <bgColor rgb="FFFFFFFF"/>
        <extLst>
          <ext uri="smNativeData">
            <pm:shade xmlns:pm="smNativeData" id="1782566527" type="1" fgLvl="100" fgClr="00FFE599" bgLvl="0" bgClr="00FFE599"/>
          </ext>
        </extLst>
      </patternFill>
    </fill>
    <fill>
      <patternFill patternType="solid">
        <fgColor rgb="FFB6D7A8"/>
        <bgColor rgb="FFFFFFFF"/>
        <extLst>
          <ext uri="smNativeData">
            <pm:shade xmlns:pm="smNativeData" id="1782566527" type="1" fgLvl="100" fgClr="00B6D7A8" bgLvl="0" bgClr="00B6D7A8"/>
          </ext>
        </extLst>
      </patternFill>
    </fill>
    <fill>
      <patternFill patternType="solid">
        <fgColor rgb="FFA4C2F4"/>
        <bgColor rgb="FFFFFFFF"/>
        <extLst>
          <ext uri="smNativeData">
            <pm:shade xmlns:pm="smNativeData" id="1782566527" type="1" fgLvl="100" fgClr="00A4C2F4" bgLvl="0" bgClr="00A4C2F4"/>
          </ext>
        </extLst>
      </patternFill>
    </fill>
    <fill>
      <patternFill patternType="solid">
        <fgColor rgb="FFCFE2F3"/>
        <bgColor rgb="FFFFFFFF"/>
        <extLst>
          <ext uri="smNativeData">
            <pm:shade xmlns:pm="smNativeData" id="1782566527" type="1" fgLvl="100" fgClr="00CFE2F3" bgLvl="0" bgClr="00CFE2F3"/>
          </ext>
        </extLst>
      </patternFill>
    </fill>
    <fill>
      <patternFill patternType="none"/>
    </fill>
    <fill>
      <patternFill patternType="solid">
        <fgColor rgb="FFEA9999"/>
        <bgColor rgb="FFFFFFFF"/>
        <extLst>
          <ext uri="smNativeData">
            <pm:shade xmlns:pm="smNativeData" id="1782566527" type="1" fgLvl="100" fgClr="00EA9999" bgLvl="0" bgClr="00EA9999"/>
          </ext>
        </extLst>
      </patternFill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782566527" type="1" fgLvl="100" fgClr="00FF00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82566527" type="1" fgLvl="100" fgClr="00FF0000" bgLvl="0" bgClr="00000000"/>
          </ext>
        </extLst>
      </patternFill>
    </fill>
    <fill>
      <patternFill patternType="solid">
        <fgColor rgb="FFFFE599"/>
        <bgColor rgb="FFFFFFFF"/>
        <extLst>
          <ext uri="smNativeData">
            <pm:shade xmlns:pm="smNativeData" id="1782566527" type="1" fgLvl="100" fgClr="00FFE599" bgLvl="0" bgClr="00FFFFFF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82566527" type="1" fgLvl="100" fgClr="0000FF00" bgLvl="0" bgClr="00000000"/>
          </ext>
        </extLst>
      </patternFill>
    </fill>
    <fill>
      <patternFill patternType="solid">
        <fgColor rgb="FFFFE599"/>
        <bgColor rgb="FFFFFFFF"/>
        <extLst>
          <ext uri="smNativeData">
            <pm:shade xmlns:pm="smNativeData" id="1782566527" type="1" fgLvl="100" fgClr="00FFE599" bgLvl="0" bgClr="00FFFFFF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82566527" type="1" fgLvl="38" fgClr="00FF00FF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2566527" type="1" fgLvl="100" fgClr="00FFFFFF" bgLvl="100" bgClr="00000000"/>
          </ext>
        </extLst>
      </patternFill>
    </fill>
    <fill>
      <patternFill patternType="none"/>
    </fill>
    <fill>
      <patternFill patternType="none"/>
    </fill>
  </fills>
  <borders count="5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ck">
        <color rgb="FF93C47D"/>
      </left>
      <right style="none">
        <color rgb="FF000000"/>
      </right>
      <top style="thick">
        <color rgb="FF93C47D"/>
      </top>
      <bottom style="thick">
        <color rgb="FF93C47D"/>
      </bottom>
      <extLst>
        <ext uri="smNativeData">
          <pm:border xmlns:pm="smNativeData" id="1782566527">
            <pm:line position="top" type="1" style="0" width="50" dist="20" width2="20" rgb="93C47D"/>
            <pm:line position="bottom" type="1" style="0" width="50" dist="20" width2="20" rgb="93C47D"/>
            <pm:line position="left" type="1" style="0" width="50" dist="20" width2="20" rgb="93C47D"/>
          </pm:border>
        </ext>
      </extLst>
    </border>
    <border>
      <left style="none">
        <color rgb="FF000000"/>
      </left>
      <right style="thick">
        <color rgb="FF93C47D"/>
      </right>
      <top style="thick">
        <color rgb="FF93C47D"/>
      </top>
      <bottom style="thick">
        <color rgb="FF93C47D"/>
      </bottom>
      <extLst>
        <ext uri="smNativeData">
          <pm:border xmlns:pm="smNativeData" id="1782566527">
            <pm:line position="top" type="1" style="0" width="50" dist="20" width2="20" rgb="93C47D"/>
            <pm:line position="bottom" type="1" style="0" width="50" dist="20" width2="20" rgb="93C47D"/>
            <pm:line position="right" type="1" style="0" width="50" dist="20" width2="20" rgb="93C47D"/>
          </pm:border>
        </ext>
      </extLst>
    </border>
    <border>
      <left style="thick">
        <color rgb="FFC27BA0"/>
      </left>
      <right style="none">
        <color rgb="FF000000"/>
      </right>
      <top style="thick">
        <color rgb="FFC27BA0"/>
      </top>
      <bottom style="thick">
        <color rgb="FFC27BA0"/>
      </bottom>
      <extLst>
        <ext uri="smNativeData">
          <pm:border xmlns:pm="smNativeData" id="1782566527">
            <pm:line position="top" type="1" style="0" width="50" dist="20" width2="20" rgb="C27BA0"/>
            <pm:line position="bottom" type="1" style="0" width="50" dist="20" width2="20" rgb="C27BA0"/>
            <pm:line position="left" type="1" style="0" width="50" dist="20" width2="20" rgb="C27BA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C27BA0"/>
      </top>
      <bottom style="thick">
        <color rgb="FFC27BA0"/>
      </bottom>
      <extLst>
        <ext uri="smNativeData">
          <pm:border xmlns:pm="smNativeData" id="1782566527">
            <pm:line position="top" type="1" style="0" width="50" dist="20" width2="20" rgb="C27BA0"/>
            <pm:line position="bottom" type="1" style="0" width="50" dist="20" width2="20" rgb="C27BA0"/>
          </pm:border>
        </ext>
      </extLst>
    </border>
    <border>
      <left style="none">
        <color rgb="FF000000"/>
      </left>
      <right style="thick">
        <color rgb="FFC27BA0"/>
      </right>
      <top style="thick">
        <color rgb="FFC27BA0"/>
      </top>
      <bottom style="thick">
        <color rgb="FFC27BA0"/>
      </bottom>
      <extLst>
        <ext uri="smNativeData">
          <pm:border xmlns:pm="smNativeData" id="1782566527">
            <pm:line position="top" type="1" style="0" width="50" dist="20" width2="20" rgb="C27BA0"/>
            <pm:line position="bottom" type="1" style="0" width="50" dist="20" width2="20" rgb="C27BA0"/>
            <pm:line position="right" type="1" style="0" width="50" dist="20" width2="20" rgb="C27BA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256652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thick">
        <color rgb="FFFFE599"/>
      </top>
      <bottom style="none">
        <color rgb="FF000000"/>
      </bottom>
      <extLst>
        <ext uri="smNativeData">
          <pm:border xmlns:pm="smNativeData" id="1782566527">
            <pm:line position="top" type="1" style="0" width="50" dist="20" width2="20" rgb="FFE599"/>
          </pm:border>
        </ext>
      </extLst>
    </border>
    <border>
      <left style="none">
        <color rgb="FF000000"/>
      </left>
      <right style="thin">
        <color rgb="FF000000"/>
      </right>
      <top style="thick">
        <color rgb="FFFFE599"/>
      </top>
      <bottom style="none">
        <color rgb="FF000000"/>
      </bottom>
      <extLst>
        <ext uri="smNativeData">
          <pm:border xmlns:pm="smNativeData" id="1782566527">
            <pm:line position="top" type="1" style="0" width="50" dist="20" width2="20" rgb="FFE599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2566527"/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256652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35">
    <xf numFmtId="0" fontId="0" fillId="0" borderId="0" xfId="0"/>
    <xf numFmtId="0" fontId="2" fillId="0" borderId="1" xfId="0" applyFont="1" applyFill="1" applyBorder="1" applyAlignment="1">
      <alignment horizontal="center"/>
    </xf>
    <xf numFmtId="0" fontId="1" fillId="0" borderId="2" xfId="0" applyFont="1" applyFill="1" applyBorder="1"/>
    <xf numFmtId="0" fontId="1" fillId="0" borderId="3" xfId="0" applyFont="1" applyFill="1" applyBorder="1"/>
    <xf numFmtId="0" fontId="3" fillId="5" borderId="4" xfId="0" applyFont="1" applyFill="1" applyAlignment="1">
      <alignment horizontal="center"/>
    </xf>
    <xf numFmtId="0" fontId="2" fillId="6" borderId="5" xfId="0" applyFont="1" applyFill="1" applyAlignment="1">
      <alignment horizontal="center"/>
    </xf>
    <xf numFmtId="0" fontId="4" fillId="7" borderId="6" xfId="0" applyFont="1" applyFill="1"/>
    <xf numFmtId="0" fontId="4" fillId="5" borderId="4" xfId="0" applyFont="1" applyFill="1" applyAlignment="1">
      <alignment horizontal="center"/>
    </xf>
    <xf numFmtId="0" fontId="4" fillId="6" borderId="5" xfId="0" applyFont="1" applyFill="1" applyAlignment="1">
      <alignment horizontal="center"/>
    </xf>
    <xf numFmtId="0" fontId="0" fillId="0" borderId="1" xfId="0" applyFill="1" applyBorder="1"/>
    <xf numFmtId="0" fontId="3" fillId="8" borderId="7" xfId="0" applyFont="1" applyFill="1" applyAlignment="1">
      <alignment horizontal="center"/>
    </xf>
    <xf numFmtId="0" fontId="4" fillId="6" borderId="5" xfId="0" applyFont="1" applyFill="1"/>
    <xf numFmtId="0" fontId="4" fillId="8" borderId="7" xfId="0" applyFont="1" applyFill="1" applyAlignment="1">
      <alignment horizontal="center"/>
    </xf>
    <xf numFmtId="0" fontId="2" fillId="7" borderId="6" xfId="0" applyFont="1" applyFill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8" borderId="7" xfId="0" applyFont="1" applyFill="1" applyAlignment="1">
      <alignment horizontal="center"/>
    </xf>
    <xf numFmtId="0" fontId="3" fillId="10" borderId="9" xfId="0" applyFont="1" applyFill="1" applyAlignment="1">
      <alignment horizontal="center"/>
    </xf>
    <xf numFmtId="0" fontId="4" fillId="10" borderId="9" xfId="0" applyFont="1" applyFill="1" applyAlignment="1">
      <alignment horizontal="center"/>
    </xf>
    <xf numFmtId="0" fontId="4" fillId="7" borderId="6" xfId="0" applyFont="1" applyFill="1" applyAlignment="1">
      <alignment horizontal="center"/>
    </xf>
    <xf numFmtId="0" fontId="2" fillId="10" borderId="9" xfId="0" applyFont="1" applyFill="1" applyAlignment="1">
      <alignment horizontal="center"/>
    </xf>
    <xf numFmtId="0" fontId="3" fillId="11" borderId="10" xfId="0" applyFont="1" applyFill="1" applyAlignment="1">
      <alignment horizontal="center"/>
    </xf>
    <xf numFmtId="0" fontId="4" fillId="11" borderId="10" xfId="0" applyFont="1" applyFill="1"/>
    <xf numFmtId="0" fontId="4" fillId="11" borderId="10" xfId="0" applyFont="1" applyFill="1" applyAlignment="1">
      <alignment horizontal="center"/>
    </xf>
    <xf numFmtId="0" fontId="3" fillId="12" borderId="11" xfId="0" applyFont="1" applyFill="1" applyAlignment="1">
      <alignment horizontal="center"/>
    </xf>
    <xf numFmtId="0" fontId="4" fillId="12" borderId="11" xfId="0" applyFont="1" applyFill="1"/>
    <xf numFmtId="0" fontId="4" fillId="12" borderId="11" xfId="0" applyFont="1" applyFill="1" applyAlignment="1">
      <alignment horizontal="center"/>
    </xf>
    <xf numFmtId="0" fontId="2" fillId="13" borderId="12" xfId="0" applyFont="1" applyFill="1" applyAlignment="1">
      <alignment horizontal="center"/>
    </xf>
    <xf numFmtId="0" fontId="4" fillId="13" borderId="12" xfId="0" applyFont="1" applyFill="1"/>
    <xf numFmtId="0" fontId="4" fillId="13" borderId="12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6" fillId="14" borderId="13" xfId="0" applyFont="1" applyFill="1" applyAlignment="1">
      <alignment horizontal="center"/>
    </xf>
    <xf numFmtId="0" fontId="7" fillId="15" borderId="14" xfId="0" applyFont="1" applyFill="1" applyAlignment="1">
      <alignment horizontal="left"/>
    </xf>
    <xf numFmtId="0" fontId="0" fillId="15" borderId="14" xfId="0" applyFill="1" applyAlignment="1">
      <alignment horizontal="right"/>
    </xf>
    <xf numFmtId="0" fontId="0" fillId="15" borderId="14" xfId="0" applyFill="1" applyAlignment="1">
      <alignment horizontal="left"/>
    </xf>
    <xf numFmtId="0" fontId="0" fillId="16" borderId="15" xfId="0" applyFill="1" applyBorder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2" fontId="8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17" borderId="16" xfId="0" applyFill="1" applyBorder="1" applyAlignment="1">
      <alignment horizontal="center"/>
    </xf>
    <xf numFmtId="0" fontId="8" fillId="0" borderId="17" xfId="0" applyFont="1" applyFill="1" applyBorder="1" applyAlignment="1">
      <alignment horizontal="right"/>
    </xf>
    <xf numFmtId="0" fontId="0" fillId="0" borderId="18" xfId="0" applyFill="1" applyBorder="1" applyAlignment="1">
      <alignment horizontal="left"/>
    </xf>
    <xf numFmtId="0" fontId="0" fillId="17" borderId="16" xfId="0" applyFill="1" applyBorder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9" xfId="0" applyFill="1" applyBorder="1" applyAlignment="1">
      <alignment horizontal="right"/>
    </xf>
    <xf numFmtId="165" fontId="0" fillId="0" borderId="20" xfId="0" applyNumberFormat="1" applyFill="1" applyBorder="1" applyAlignment="1">
      <alignment horizontal="right"/>
    </xf>
    <xf numFmtId="2" fontId="0" fillId="0" borderId="20" xfId="0" applyNumberFormat="1" applyFill="1" applyBorder="1" applyAlignment="1">
      <alignment horizontal="right"/>
    </xf>
    <xf numFmtId="2" fontId="0" fillId="0" borderId="21" xfId="0" applyNumberFormat="1" applyFill="1" applyBorder="1" applyAlignment="1">
      <alignment horizontal="right"/>
    </xf>
    <xf numFmtId="0" fontId="0" fillId="23" borderId="22" xfId="0" applyFill="1" applyBorder="1" applyAlignment="1">
      <alignment horizontal="right"/>
    </xf>
    <xf numFmtId="11" fontId="8" fillId="0" borderId="0" xfId="0" applyNumberFormat="1" applyFont="1" applyAlignment="1">
      <alignment horizontal="right"/>
    </xf>
    <xf numFmtId="0" fontId="8" fillId="24" borderId="23" xfId="0" applyFont="1" applyFill="1" applyAlignment="1">
      <alignment horizontal="left"/>
    </xf>
    <xf numFmtId="0" fontId="8" fillId="24" borderId="23" xfId="0" applyFont="1" applyFill="1" applyAlignment="1">
      <alignment horizontal="right"/>
    </xf>
    <xf numFmtId="0" fontId="0" fillId="24" borderId="23" xfId="0" applyFill="1" applyAlignment="1">
      <alignment horizontal="right"/>
    </xf>
    <xf numFmtId="0" fontId="8" fillId="0" borderId="18" xfId="0" applyFont="1" applyFill="1" applyBorder="1" applyAlignment="1">
      <alignment horizontal="left"/>
    </xf>
    <xf numFmtId="164" fontId="8" fillId="0" borderId="0" xfId="0" applyNumberFormat="1" applyFont="1" applyAlignment="1">
      <alignment horizontal="right"/>
    </xf>
    <xf numFmtId="0" fontId="0" fillId="0" borderId="20" xfId="0" applyFill="1" applyBorder="1" applyAlignment="1">
      <alignment horizontal="right"/>
    </xf>
    <xf numFmtId="0" fontId="0" fillId="0" borderId="21" xfId="0" applyFill="1" applyBorder="1" applyAlignment="1">
      <alignment horizontal="right"/>
    </xf>
    <xf numFmtId="166" fontId="0" fillId="0" borderId="0" xfId="0" applyNumberFormat="1" applyAlignment="1">
      <alignment horizontal="right"/>
    </xf>
    <xf numFmtId="0" fontId="0" fillId="25" borderId="24" xfId="0" applyFill="1" applyBorder="1" applyAlignment="1">
      <alignment horizontal="right"/>
    </xf>
    <xf numFmtId="0" fontId="0" fillId="0" borderId="19" xfId="0" applyFill="1" applyBorder="1"/>
    <xf numFmtId="0" fontId="1" fillId="0" borderId="21" xfId="0" applyFont="1" applyFill="1" applyBorder="1"/>
    <xf numFmtId="0" fontId="0" fillId="0" borderId="25" xfId="0" applyFill="1" applyBorder="1" applyAlignment="1">
      <alignment horizontal="right"/>
    </xf>
    <xf numFmtId="0" fontId="8" fillId="0" borderId="25" xfId="0" applyFont="1" applyFill="1" applyBorder="1" applyAlignment="1">
      <alignment horizontal="right"/>
    </xf>
    <xf numFmtId="0" fontId="7" fillId="13" borderId="12" xfId="0" applyFont="1" applyFill="1" applyAlignment="1">
      <alignment horizontal="left"/>
    </xf>
    <xf numFmtId="0" fontId="0" fillId="13" borderId="12" xfId="0" applyFill="1" applyAlignment="1">
      <alignment horizontal="right"/>
    </xf>
    <xf numFmtId="0" fontId="7" fillId="13" borderId="12" xfId="0" applyFont="1" applyFill="1" applyAlignment="1">
      <alignment horizontal="right"/>
    </xf>
    <xf numFmtId="164" fontId="7" fillId="13" borderId="12" xfId="0" applyNumberFormat="1" applyFont="1" applyFill="1" applyAlignment="1">
      <alignment horizontal="right"/>
    </xf>
    <xf numFmtId="0" fontId="7" fillId="27" borderId="26" xfId="0" applyFont="1" applyFill="1" applyBorder="1" applyAlignment="1">
      <alignment horizontal="right"/>
    </xf>
    <xf numFmtId="0" fontId="0" fillId="28" borderId="27" xfId="0" applyFill="1" applyAlignment="1">
      <alignment horizontal="center" vertical="center"/>
    </xf>
    <xf numFmtId="164" fontId="9" fillId="13" borderId="12" xfId="0" applyNumberFormat="1" applyFont="1" applyFill="1" applyAlignment="1">
      <alignment horizontal="right"/>
    </xf>
    <xf numFmtId="0" fontId="9" fillId="29" borderId="28" xfId="0" applyFont="1" applyFill="1" applyBorder="1" applyAlignment="1">
      <alignment horizontal="right"/>
    </xf>
    <xf numFmtId="0" fontId="7" fillId="30" borderId="29" xfId="0" applyFont="1" applyFill="1" applyBorder="1" applyAlignment="1">
      <alignment horizontal="right"/>
    </xf>
    <xf numFmtId="0" fontId="0" fillId="30" borderId="29" xfId="0" applyFill="1" applyBorder="1" applyAlignment="1">
      <alignment horizontal="right"/>
    </xf>
    <xf numFmtId="0" fontId="8" fillId="30" borderId="29" xfId="0" applyFont="1" applyFill="1" applyBorder="1" applyAlignment="1">
      <alignment horizontal="left"/>
    </xf>
    <xf numFmtId="0" fontId="8" fillId="30" borderId="29" xfId="0" applyFont="1" applyFill="1" applyBorder="1" applyAlignment="1">
      <alignment horizontal="right"/>
    </xf>
    <xf numFmtId="0" fontId="7" fillId="31" borderId="30" xfId="0" applyFont="1" applyFill="1" applyBorder="1" applyAlignment="1">
      <alignment horizontal="right"/>
    </xf>
    <xf numFmtId="0" fontId="8" fillId="32" borderId="31" xfId="0" applyFont="1" applyFill="1" applyBorder="1" applyAlignment="1">
      <alignment horizontal="left"/>
    </xf>
    <xf numFmtId="0" fontId="8" fillId="32" borderId="31" xfId="0" applyFont="1" applyFill="1" applyBorder="1" applyAlignment="1">
      <alignment horizontal="right"/>
    </xf>
    <xf numFmtId="0" fontId="10" fillId="30" borderId="29" xfId="0" applyFont="1" applyFill="1" applyBorder="1" applyAlignment="1">
      <alignment horizontal="right"/>
    </xf>
    <xf numFmtId="0" fontId="0" fillId="32" borderId="31" xfId="0" applyFill="1" applyBorder="1" applyAlignment="1">
      <alignment horizontal="right"/>
    </xf>
    <xf numFmtId="0" fontId="7" fillId="32" borderId="31" xfId="0" applyFont="1" applyFill="1" applyBorder="1" applyAlignment="1">
      <alignment horizontal="left"/>
    </xf>
    <xf numFmtId="0" fontId="7" fillId="32" borderId="3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33" borderId="32" xfId="0" applyFont="1" applyFill="1" applyAlignment="1">
      <alignment horizontal="left"/>
    </xf>
    <xf numFmtId="0" fontId="0" fillId="33" borderId="32" xfId="0" applyFill="1" applyAlignment="1">
      <alignment horizontal="right"/>
    </xf>
    <xf numFmtId="0" fontId="0" fillId="33" borderId="32" xfId="0" applyFill="1" applyAlignment="1">
      <alignment horizontal="left"/>
    </xf>
    <xf numFmtId="0" fontId="8" fillId="0" borderId="33" xfId="0" applyFont="1" applyFill="1" applyBorder="1" applyAlignment="1">
      <alignment horizontal="left"/>
    </xf>
    <xf numFmtId="0" fontId="0" fillId="0" borderId="33" xfId="0" applyFill="1" applyBorder="1" applyAlignment="1">
      <alignment horizontal="right"/>
    </xf>
    <xf numFmtId="0" fontId="8" fillId="0" borderId="33" xfId="0" applyFont="1" applyFill="1" applyBorder="1" applyAlignment="1">
      <alignment horizontal="right"/>
    </xf>
    <xf numFmtId="1" fontId="0" fillId="0" borderId="33" xfId="0" applyNumberFormat="1" applyFill="1" applyBorder="1" applyAlignment="1">
      <alignment horizontal="right"/>
    </xf>
    <xf numFmtId="2" fontId="8" fillId="0" borderId="33" xfId="0" applyNumberFormat="1" applyFont="1" applyFill="1" applyBorder="1" applyAlignment="1">
      <alignment horizontal="right"/>
    </xf>
    <xf numFmtId="1" fontId="8" fillId="0" borderId="33" xfId="0" applyNumberFormat="1" applyFont="1" applyFill="1" applyBorder="1" applyAlignment="1">
      <alignment horizontal="right"/>
    </xf>
    <xf numFmtId="0" fontId="0" fillId="0" borderId="3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right"/>
    </xf>
    <xf numFmtId="0" fontId="0" fillId="37" borderId="36" xfId="0" applyFill="1" applyAlignment="1">
      <alignment horizontal="center" vertical="center"/>
    </xf>
    <xf numFmtId="0" fontId="8" fillId="38" borderId="37" xfId="0" applyFont="1" applyFill="1" applyBorder="1" applyAlignment="1">
      <alignment horizontal="left"/>
    </xf>
    <xf numFmtId="0" fontId="8" fillId="38" borderId="37" xfId="0" applyFont="1" applyFill="1" applyBorder="1" applyAlignment="1">
      <alignment horizontal="right"/>
    </xf>
    <xf numFmtId="0" fontId="11" fillId="39" borderId="38" xfId="0" applyFont="1" applyFill="1" applyBorder="1" applyAlignment="1">
      <alignment horizontal="center"/>
    </xf>
    <xf numFmtId="0" fontId="11" fillId="40" borderId="39" xfId="0" applyFont="1" applyFill="1" applyBorder="1" applyAlignment="1">
      <alignment horizontal="center"/>
    </xf>
    <xf numFmtId="0" fontId="11" fillId="41" borderId="40" xfId="0" applyFont="1" applyFill="1" applyBorder="1" applyAlignment="1">
      <alignment horizontal="center"/>
    </xf>
    <xf numFmtId="0" fontId="11" fillId="40" borderId="39" xfId="0" applyFont="1" applyFill="1" applyBorder="1" applyAlignment="1">
      <alignment horizontal="left"/>
    </xf>
    <xf numFmtId="166" fontId="11" fillId="40" borderId="39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0" fillId="0" borderId="41" xfId="0" applyFill="1" applyBorder="1" applyAlignment="1">
      <alignment horizontal="right"/>
    </xf>
    <xf numFmtId="0" fontId="0" fillId="0" borderId="25" xfId="0" applyFill="1" applyBorder="1" applyAlignment="1">
      <alignment horizontal="center"/>
    </xf>
    <xf numFmtId="0" fontId="7" fillId="43" borderId="42" xfId="0" applyFont="1" applyFill="1" applyAlignment="1">
      <alignment horizontal="left"/>
    </xf>
    <xf numFmtId="0" fontId="0" fillId="43" borderId="42" xfId="0" applyFill="1" applyAlignment="1">
      <alignment horizontal="right"/>
    </xf>
    <xf numFmtId="0" fontId="0" fillId="43" borderId="42" xfId="0" applyFill="1" applyAlignment="1">
      <alignment horizontal="left"/>
    </xf>
    <xf numFmtId="2" fontId="7" fillId="13" borderId="12" xfId="0" applyNumberFormat="1" applyFont="1" applyFill="1" applyAlignment="1">
      <alignment horizontal="right"/>
    </xf>
    <xf numFmtId="165" fontId="7" fillId="13" borderId="12" xfId="0" applyNumberFormat="1" applyFont="1" applyFill="1" applyAlignment="1">
      <alignment horizontal="right"/>
    </xf>
    <xf numFmtId="0" fontId="0" fillId="0" borderId="43" xfId="0" applyFill="1" applyBorder="1"/>
    <xf numFmtId="0" fontId="9" fillId="0" borderId="43" xfId="0" applyFont="1" applyFill="1" applyBorder="1"/>
    <xf numFmtId="1" fontId="11" fillId="41" borderId="40" xfId="0" applyNumberFormat="1" applyFont="1" applyFill="1" applyBorder="1" applyAlignment="1">
      <alignment horizontal="center"/>
    </xf>
    <xf numFmtId="1" fontId="8" fillId="0" borderId="0" xfId="0" applyNumberFormat="1" applyFont="1" applyAlignment="1">
      <alignment horizontal="right"/>
    </xf>
    <xf numFmtId="0" fontId="0" fillId="45" borderId="44" xfId="0" applyFill="1" applyAlignment="1">
      <alignment horizontal="center" vertical="center"/>
    </xf>
    <xf numFmtId="0" fontId="0" fillId="45" borderId="44" xfId="0" applyFill="1"/>
    <xf numFmtId="0" fontId="0" fillId="46" borderId="45" xfId="0" applyFill="1" applyBorder="1" applyAlignment="1">
      <alignment horizontal="right"/>
    </xf>
    <xf numFmtId="0" fontId="0" fillId="47" borderId="46" xfId="0" applyFill="1" applyAlignment="1">
      <alignment horizontal="right"/>
    </xf>
    <xf numFmtId="0" fontId="7" fillId="47" borderId="46" xfId="0" applyFont="1" applyFill="1" applyAlignment="1">
      <alignment horizontal="left"/>
    </xf>
    <xf numFmtId="0" fontId="0" fillId="47" borderId="46" xfId="0" applyFill="1" applyAlignment="1">
      <alignment horizontal="left"/>
    </xf>
    <xf numFmtId="0" fontId="0" fillId="48" borderId="47" xfId="0" applyFill="1" applyAlignment="1">
      <alignment horizontal="center" vertical="center"/>
    </xf>
    <xf numFmtId="0" fontId="0" fillId="48" borderId="47" xfId="0" applyFill="1"/>
    <xf numFmtId="0" fontId="0" fillId="47" borderId="46" xfId="0" applyFill="1" applyAlignment="1">
      <alignment horizontal="center"/>
    </xf>
    <xf numFmtId="0" fontId="11" fillId="49" borderId="48" xfId="0" applyFont="1" applyFill="1" applyBorder="1" applyAlignment="1">
      <alignment horizontal="center"/>
    </xf>
    <xf numFmtId="0" fontId="0" fillId="49" borderId="48" xfId="0" applyFill="1" applyBorder="1"/>
    <xf numFmtId="0" fontId="3" fillId="50" borderId="49" xfId="0" applyFont="1" applyFill="1" applyAlignment="1">
      <alignment horizontal="center"/>
    </xf>
    <xf numFmtId="0" fontId="4" fillId="50" borderId="49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43" xfId="0" applyFill="1" applyBorder="1"/>
    <xf numFmtId="0" fontId="1" fillId="0" borderId="51" xfId="0" applyFont="1" applyFill="1" applyBorder="1"/>
    <xf numFmtId="0" fontId="0" fillId="0" borderId="52" xfId="0" applyFill="1" applyBorder="1"/>
  </cellXfs>
  <cellStyles count="1">
    <cellStyle name="Normal" xfId="0" builtinId="0" customBuiltin="1"/>
  </cellStyles>
  <tableStyles count="0"/>
  <extLst>
    <ext uri="smNativeData">
      <pm:charStyles xmlns:pm="smNativeData" id="1782566527" count="1">
        <pm:charStyle name="Normal" fontId="0" Id="1"/>
      </pm:charStyles>
      <pm:colors xmlns:pm="smNativeData" id="1782566527" count="22">
        <pm:color name="Color 24" rgb="1F497D"/>
        <pm:color name="Color 25" rgb="9BBB59"/>
        <pm:color name="Color 26" rgb="C9DAF8"/>
        <pm:color name="Color 27" rgb="A2C4C9"/>
        <pm:color name="Color 28" rgb="FFD966"/>
        <pm:color name="Color 29" rgb="DD7E6B"/>
        <pm:color name="Color 30" rgb="A4C2F4"/>
        <pm:color name="Color 31" rgb="F3F3F3"/>
        <pm:color name="Color 32" rgb="D9D2E9"/>
        <pm:color name="Color 33" rgb="DCE6F1"/>
        <pm:color name="Color 34" rgb="E4F0E8"/>
        <pm:color name="Color 35" rgb="9EFF9E"/>
        <pm:color name="Color 36" rgb="9E9EFF"/>
        <pm:color name="Color 37" rgb="E0E0FF"/>
        <pm:color name="Color 38" rgb="FFE599"/>
        <pm:color name="Color 39" rgb="B6D7A8"/>
        <pm:color name="Color 40" rgb="CFE2F3"/>
        <pm:color name="Color 41" rgb="EA9999"/>
        <pm:color name="Color 42" rgb="93C47D"/>
        <pm:color name="Color 43" rgb="C27BA0"/>
        <pm:color name="Color 44" rgb="D1D100"/>
        <pm:color name="Color 45" rgb="FF9E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_rels/drawing4.xml.rels><?xml version="1.0" encoding="UTF-8" standalone="yes" 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5.png"/></Relationships>
</file>

<file path=xl/drawings/_rels/drawing5.xml.rels><?xml version="1.0" encoding="UTF-8" standalone="yes" 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6.xml.rels><?xml version="1.0" encoding="UTF-8" standalone="yes" 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7.xml.rels><?xml version="1.0" encoding="UTF-8" standalone="yes" 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962025</xdr:colOff>
      <xdr:row>44</xdr:row>
      <xdr:rowOff>209550</xdr:rowOff>
    </xdr:from>
    <xdr:to>
      <xdr:col>15</xdr:col>
      <xdr:colOff>111125</xdr:colOff>
      <xdr:row>49</xdr:row>
      <xdr:rowOff>36830</xdr:rowOff>
    </xdr:to>
    <xdr:pic macro="">
      <xdr:nvPicPr>
        <xdr:cNvPr id="2" name="image1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sAAAABgAAADQE5gMxAAAADwAAAMEAgABqRAAAwTYAAOIsAAAZ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1390" y="8900795"/>
          <a:ext cx="7296150" cy="8286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523875</xdr:colOff>
      <xdr:row>78</xdr:row>
      <xdr:rowOff>9525</xdr:rowOff>
    </xdr:from>
    <xdr:to>
      <xdr:col>7</xdr:col>
      <xdr:colOff>1409700</xdr:colOff>
      <xdr:row>92</xdr:row>
      <xdr:rowOff>114300</xdr:rowOff>
    </xdr:to>
    <xdr:pic macro="">
      <xdr:nvPicPr>
        <xdr:cNvPr id="7" name="image2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AAABAAAADEAZAFcAAAABwAAAEkCSAMIMwAABl0AAAEeAADfE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5640" y="15121890"/>
          <a:ext cx="4877435" cy="2905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14</xdr:col>
      <xdr:colOff>0</xdr:colOff>
      <xdr:row>56</xdr:row>
      <xdr:rowOff>0</xdr:rowOff>
    </xdr:from>
    <xdr:to>
      <xdr:col>17</xdr:col>
      <xdr:colOff>515620</xdr:colOff>
      <xdr:row>87</xdr:row>
      <xdr:rowOff>15240</xdr:rowOff>
    </xdr:to>
    <xdr:pic macro="">
      <xdr:nvPicPr>
        <xdr:cNvPr id="6" name="image5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4AAAADgAAAAAAAABXAAAAEQAAAE4AUQIdigAAzkMAAAAeAABUJA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51695" y="11022330"/>
          <a:ext cx="4876800" cy="59055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8</xdr:col>
      <xdr:colOff>561975</xdr:colOff>
      <xdr:row>78</xdr:row>
      <xdr:rowOff>9525</xdr:rowOff>
    </xdr:from>
    <xdr:to>
      <xdr:col>14</xdr:col>
      <xdr:colOff>421640</xdr:colOff>
      <xdr:row>83</xdr:row>
      <xdr:rowOff>152400</xdr:rowOff>
    </xdr:to>
    <xdr:pic macro="">
      <xdr:nvPicPr>
        <xdr:cNvPr id="5" name="image3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AAACAAAADEAOgFTAAAADgAAAAwDAgFkVgAABl0AAFE2AAAIBw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43660" y="15121890"/>
          <a:ext cx="8829675" cy="11430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1171575</xdr:colOff>
      <xdr:row>56</xdr:row>
      <xdr:rowOff>133350</xdr:rowOff>
    </xdr:from>
    <xdr:to>
      <xdr:col>13</xdr:col>
      <xdr:colOff>118110</xdr:colOff>
      <xdr:row>74</xdr:row>
      <xdr:rowOff>66675</xdr:rowOff>
    </xdr:to>
    <xdr:pic macro="">
      <xdr:nvPicPr>
        <xdr:cNvPr id="4" name="image8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4AAAACQAAANICeQJKAAAADQAAAG4BZABqZQAAoEQAAAAeAAA3FA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85870" y="11155680"/>
          <a:ext cx="4876800" cy="3286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285115</xdr:colOff>
      <xdr:row>72</xdr:row>
      <xdr:rowOff>190500</xdr:rowOff>
    </xdr:from>
    <xdr:to>
      <xdr:col>13</xdr:col>
      <xdr:colOff>1194435</xdr:colOff>
      <xdr:row>77</xdr:row>
      <xdr:rowOff>60325</xdr:rowOff>
    </xdr:to>
    <xdr:pic macro="">
      <xdr:nvPicPr>
        <xdr:cNvPr id="3" name="image4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tAGw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AAACQAAABUEmgBNAAAADQAAAGIB9QP2XwAASFcAABMqAAD7BA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99410" y="14188440"/>
          <a:ext cx="6839585" cy="809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>
    <xdr:from>
      <xdr:col>2</xdr:col>
      <xdr:colOff>245745</xdr:colOff>
      <xdr:row>86</xdr:row>
      <xdr:rowOff>57150</xdr:rowOff>
    </xdr:from>
    <xdr:to>
      <xdr:col>4</xdr:col>
      <xdr:colOff>338455</xdr:colOff>
      <xdr:row>92</xdr:row>
      <xdr:rowOff>165735</xdr:rowOff>
    </xdr:to>
    <xdr:pic macro="">
      <xdr:nvPicPr>
        <xdr:cNvPr id="2" name="Imagen1"/>
        <xdr:cNvPicPr>
          <a:picLocks noChangeAspect="1"/>
          <a:extLst>
            <a:ext uri="smNativeData">
              <pm:smNativeData xmlns:pm="smNativeData" val="SMDATA_15_f84/ah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4ADfQ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WAAAAAgAAACUBnABcAAAABAAAAFAD5gCHGwAAKWcAAF0WAAANCAAAAAAAAA==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4845" y="16769715"/>
          <a:ext cx="3635375" cy="130873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285115</xdr:colOff>
      <xdr:row>57</xdr:row>
      <xdr:rowOff>190500</xdr:rowOff>
    </xdr:from>
    <xdr:to>
      <xdr:col>12</xdr:col>
      <xdr:colOff>377190</xdr:colOff>
      <xdr:row>73</xdr:row>
      <xdr:rowOff>102870</xdr:rowOff>
    </xdr:to>
    <xdr:pic macro="">
      <xdr:nvPicPr>
        <xdr:cNvPr id="6" name="image2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5Ii8+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5AAAACQAAAM8DmgBJAAAADAAAADQCUQHJWQAAI0YAAAAeAADfE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95475" y="11401425"/>
          <a:ext cx="4876800" cy="2905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14</xdr:col>
      <xdr:colOff>0</xdr:colOff>
      <xdr:row>58</xdr:row>
      <xdr:rowOff>0</xdr:rowOff>
    </xdr:from>
    <xdr:to>
      <xdr:col>17</xdr:col>
      <xdr:colOff>515620</xdr:colOff>
      <xdr:row>88</xdr:row>
      <xdr:rowOff>180340</xdr:rowOff>
    </xdr:to>
    <xdr:pic macro="">
      <xdr:nvPicPr>
        <xdr:cNvPr id="5" name="image5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6AAAADgAAAAAAAABYAAAAEQAAAJsDUQLwgwAAMkYAAAAeAABUJA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47760" y="11410950"/>
          <a:ext cx="4876800" cy="59055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8</xdr:col>
      <xdr:colOff>561340</xdr:colOff>
      <xdr:row>81</xdr:row>
      <xdr:rowOff>9525</xdr:rowOff>
    </xdr:from>
    <xdr:to>
      <xdr:col>14</xdr:col>
      <xdr:colOff>429895</xdr:colOff>
      <xdr:row>86</xdr:row>
      <xdr:rowOff>152400</xdr:rowOff>
    </xdr:to>
    <xdr:pic macro="">
      <xdr:nvPicPr>
        <xdr:cNvPr id="4" name="image3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RAAAACAAAADEAOwFWAAAADgAAAAwDBwFDUAAA3GAAAFI2AAAIBw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47345" y="15745460"/>
          <a:ext cx="8830310" cy="11430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4</xdr:col>
      <xdr:colOff>932815</xdr:colOff>
      <xdr:row>81</xdr:row>
      <xdr:rowOff>47625</xdr:rowOff>
    </xdr:from>
    <xdr:to>
      <xdr:col>8</xdr:col>
      <xdr:colOff>294005</xdr:colOff>
      <xdr:row>97</xdr:row>
      <xdr:rowOff>133350</xdr:rowOff>
    </xdr:to>
    <xdr:pic macro="">
      <xdr:nvPicPr>
        <xdr:cNvPr id="3" name="image8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RAAAABAAAAPQAegJhAAAACAAAAKsCpQCdMAAAGGEAAAEeAAA3FA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2575" y="15783560"/>
          <a:ext cx="4877435" cy="3286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362585</xdr:colOff>
      <xdr:row>72</xdr:row>
      <xdr:rowOff>200025</xdr:rowOff>
    </xdr:from>
    <xdr:to>
      <xdr:col>14</xdr:col>
      <xdr:colOff>63500</xdr:colOff>
      <xdr:row>77</xdr:row>
      <xdr:rowOff>42545</xdr:rowOff>
    </xdr:to>
    <xdr:pic macro="">
      <xdr:nvPicPr>
        <xdr:cNvPr id="2" name="image4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IAAAACQAAAEkExABNAAAADgAAAOkAJwBDWgAAYFcAABEqAAD7BA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2945" y="14203680"/>
          <a:ext cx="6838315" cy="809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13</xdr:col>
      <xdr:colOff>577850</xdr:colOff>
      <xdr:row>27</xdr:row>
      <xdr:rowOff>142875</xdr:rowOff>
    </xdr:to>
    <xdr:pic macro="">
      <xdr:nvPicPr>
        <xdr:cNvPr id="4" name="image6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BgAAAAAAAAAbAAAADQAAANsCmQLhMQAAgAQAAOQpAACZGw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8315" y="731520"/>
          <a:ext cx="6809740" cy="448627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>
    <xdr:from>
      <xdr:col>6</xdr:col>
      <xdr:colOff>350520</xdr:colOff>
      <xdr:row>29</xdr:row>
      <xdr:rowOff>180975</xdr:rowOff>
    </xdr:from>
    <xdr:to>
      <xdr:col>7</xdr:col>
      <xdr:colOff>697865</xdr:colOff>
      <xdr:row>33</xdr:row>
      <xdr:rowOff>153670</xdr:rowOff>
    </xdr:to>
    <xdr:pic macro="">
      <xdr:nvPicPr>
        <xdr:cNvPr id="3" name="Imagen1"/>
        <xdr:cNvPicPr>
          <a:picLocks noChangeAspect="1"/>
          <a:extLst>
            <a:ext uri="smNativeData">
              <pm:smNativeData xmlns:pm="smNativeData" val="SMDATA_15_f84/ah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dAAAABgAAAJ4DkwEhAAAABwAAABMDIwMJNAAAyyIAAJ0HAADBBA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8835" y="5655945"/>
          <a:ext cx="1237615" cy="77279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2</xdr:col>
      <xdr:colOff>228600</xdr:colOff>
      <xdr:row>21</xdr:row>
      <xdr:rowOff>142875</xdr:rowOff>
    </xdr:from>
    <xdr:to>
      <xdr:col>5</xdr:col>
      <xdr:colOff>605790</xdr:colOff>
      <xdr:row>38</xdr:row>
      <xdr:rowOff>59690</xdr:rowOff>
    </xdr:to>
    <xdr:pic macro="">
      <xdr:nvPicPr>
        <xdr:cNvPr id="2" name="Imagen2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l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AgAAANsCewAmAAAABQAAADIBuQIWEgAAtxgAAAseAABoFA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40050" y="4017645"/>
          <a:ext cx="4883785" cy="331724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914400</xdr:colOff>
      <xdr:row>39</xdr:row>
      <xdr:rowOff>76200</xdr:rowOff>
    </xdr:from>
    <xdr:to>
      <xdr:col>18</xdr:col>
      <xdr:colOff>90170</xdr:colOff>
      <xdr:row>69</xdr:row>
      <xdr:rowOff>113665</xdr:rowOff>
    </xdr:to>
    <xdr:pic macro="">
      <xdr:nvPicPr>
        <xdr:cNvPr id="6" name="image7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AAADgAAAJwBYwJFAAAAEgAAAEYCaADRiQAAEzAAAAAeAADsIg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3435" y="7814945"/>
          <a:ext cx="4876800" cy="56769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42</xdr:row>
      <xdr:rowOff>95250</xdr:rowOff>
    </xdr:from>
    <xdr:to>
      <xdr:col>12</xdr:col>
      <xdr:colOff>814070</xdr:colOff>
      <xdr:row>58</xdr:row>
      <xdr:rowOff>6985</xdr:rowOff>
    </xdr:to>
    <xdr:pic macro="">
      <xdr:nvPicPr>
        <xdr:cNvPr id="5" name="image2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CQAAAAMC6QA6AAAADAAAACcADgMjXgAAqzMAAAAeAADfEQ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02865" y="8399145"/>
          <a:ext cx="4876800" cy="2905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227965</xdr:colOff>
      <xdr:row>57</xdr:row>
      <xdr:rowOff>28575</xdr:rowOff>
    </xdr:from>
    <xdr:to>
      <xdr:col>14</xdr:col>
      <xdr:colOff>537210</xdr:colOff>
      <xdr:row>61</xdr:row>
      <xdr:rowOff>106680</xdr:rowOff>
    </xdr:to>
    <xdr:pic macro="">
      <xdr:nvPicPr>
        <xdr:cNvPr id="4" name="image4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5AAAACQAAAKAAmwA9AAAADgAAAFUCZwFuXQAAjEQAABEqAAD7BA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7930" y="11142980"/>
          <a:ext cx="6838315" cy="809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62</xdr:row>
      <xdr:rowOff>152400</xdr:rowOff>
    </xdr:from>
    <xdr:to>
      <xdr:col>14</xdr:col>
      <xdr:colOff>748665</xdr:colOff>
      <xdr:row>67</xdr:row>
      <xdr:rowOff>98425</xdr:rowOff>
    </xdr:to>
    <xdr:pic macro="">
      <xdr:nvPicPr>
        <xdr:cNvPr id="3" name="image3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+AAAACQAAAH4D6QBDAAAADgAAAPgB9AEjXgAA70oAAKkqAACCBQ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2865" y="12181205"/>
          <a:ext cx="6934835" cy="8953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1505585</xdr:colOff>
      <xdr:row>68</xdr:row>
      <xdr:rowOff>66675</xdr:rowOff>
    </xdr:from>
    <xdr:to>
      <xdr:col>13</xdr:col>
      <xdr:colOff>910590</xdr:colOff>
      <xdr:row>84</xdr:row>
      <xdr:rowOff>152400</xdr:rowOff>
    </xdr:to>
    <xdr:pic macro="">
      <xdr:nvPicPr>
        <xdr:cNvPr id="2" name="image8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AAACQAAAFUB/wNUAAAADQAAAAwDcgNKZQAAelEAAAAeAAA3FA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65550" y="13244830"/>
          <a:ext cx="4876800" cy="3286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914400</xdr:colOff>
      <xdr:row>39</xdr:row>
      <xdr:rowOff>76200</xdr:rowOff>
    </xdr:from>
    <xdr:to>
      <xdr:col>18</xdr:col>
      <xdr:colOff>90170</xdr:colOff>
      <xdr:row>69</xdr:row>
      <xdr:rowOff>113665</xdr:rowOff>
    </xdr:to>
    <xdr:pic macro="">
      <xdr:nvPicPr>
        <xdr:cNvPr id="6" name="image7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nAAAADgAAAJwBYwJFAAAAEgAAAEYCaADRiQAAEzAAAAAeAADsIg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3435" y="7814945"/>
          <a:ext cx="4876800" cy="56769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42</xdr:row>
      <xdr:rowOff>95250</xdr:rowOff>
    </xdr:from>
    <xdr:to>
      <xdr:col>12</xdr:col>
      <xdr:colOff>814070</xdr:colOff>
      <xdr:row>58</xdr:row>
      <xdr:rowOff>6985</xdr:rowOff>
    </xdr:to>
    <xdr:pic macro="">
      <xdr:nvPicPr>
        <xdr:cNvPr id="5" name="image2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qAAAACQAAAAMC6QA6AAAADAAAACcADgMjXgAAqzMAAAAeAADfEQ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02865" y="8399145"/>
          <a:ext cx="4876800" cy="2905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227965</xdr:colOff>
      <xdr:row>57</xdr:row>
      <xdr:rowOff>28575</xdr:rowOff>
    </xdr:from>
    <xdr:to>
      <xdr:col>14</xdr:col>
      <xdr:colOff>537210</xdr:colOff>
      <xdr:row>61</xdr:row>
      <xdr:rowOff>106680</xdr:rowOff>
    </xdr:to>
    <xdr:pic macro="">
      <xdr:nvPicPr>
        <xdr:cNvPr id="4" name="image4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5AAAACQAAAKAAmwA9AAAADgAAAFUCZwFuXQAAjEQAABEqAAD7BA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7930" y="11142980"/>
          <a:ext cx="6838315" cy="809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62</xdr:row>
      <xdr:rowOff>152400</xdr:rowOff>
    </xdr:from>
    <xdr:to>
      <xdr:col>14</xdr:col>
      <xdr:colOff>748665</xdr:colOff>
      <xdr:row>67</xdr:row>
      <xdr:rowOff>98425</xdr:rowOff>
    </xdr:to>
    <xdr:pic macro="">
      <xdr:nvPicPr>
        <xdr:cNvPr id="3" name="image3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+AAAACQAAAH4D6QBDAAAADgAAAPgB9AEjXgAA70oAAKkqAACCBQ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2865" y="12181205"/>
          <a:ext cx="6934835" cy="8953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1505585</xdr:colOff>
      <xdr:row>68</xdr:row>
      <xdr:rowOff>66675</xdr:rowOff>
    </xdr:from>
    <xdr:to>
      <xdr:col>13</xdr:col>
      <xdr:colOff>910590</xdr:colOff>
      <xdr:row>84</xdr:row>
      <xdr:rowOff>152400</xdr:rowOff>
    </xdr:to>
    <xdr:pic macro="">
      <xdr:nvPicPr>
        <xdr:cNvPr id="2" name="image8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AAACQAAAFUB/wNUAAAADQAAAAwDcgNKZQAAelEAAAAeAAA3FA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65550" y="13244830"/>
          <a:ext cx="4876800" cy="3286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778510</xdr:colOff>
      <xdr:row>46</xdr:row>
      <xdr:rowOff>66040</xdr:rowOff>
    </xdr:from>
    <xdr:to>
      <xdr:col>17</xdr:col>
      <xdr:colOff>889635</xdr:colOff>
      <xdr:row>76</xdr:row>
      <xdr:rowOff>92710</xdr:rowOff>
    </xdr:to>
    <xdr:pic macro="">
      <xdr:nvPicPr>
        <xdr:cNvPr id="6" name="image7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uAAAADgAAAGUBCAJMAAAAEQAAANsBzwP7iAAAWTgAAAIeAADsIg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67545" y="9159875"/>
          <a:ext cx="4878070" cy="567690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48</xdr:row>
      <xdr:rowOff>95250</xdr:rowOff>
    </xdr:from>
    <xdr:to>
      <xdr:col>12</xdr:col>
      <xdr:colOff>814070</xdr:colOff>
      <xdr:row>64</xdr:row>
      <xdr:rowOff>6985</xdr:rowOff>
    </xdr:to>
    <xdr:pic macro="">
      <xdr:nvPicPr>
        <xdr:cNvPr id="5" name="image2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BAAAB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CQAAAAMC6QBAAAAADAAAACcADgMjXgAA1zoAAAAeAADfEQ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02865" y="9565005"/>
          <a:ext cx="4876800" cy="2905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227965</xdr:colOff>
      <xdr:row>63</xdr:row>
      <xdr:rowOff>28575</xdr:rowOff>
    </xdr:from>
    <xdr:to>
      <xdr:col>14</xdr:col>
      <xdr:colOff>537210</xdr:colOff>
      <xdr:row>67</xdr:row>
      <xdr:rowOff>106680</xdr:rowOff>
    </xdr:to>
    <xdr:pic macro="">
      <xdr:nvPicPr>
        <xdr:cNvPr id="4" name="image4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XAQ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/AAAACQAAAKAAmwBDAAAADgAAAFUCZwFuXQAAuEsAABEqAAD7BA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87930" y="12308840"/>
          <a:ext cx="6838315" cy="8096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342900</xdr:colOff>
      <xdr:row>68</xdr:row>
      <xdr:rowOff>152400</xdr:rowOff>
    </xdr:from>
    <xdr:to>
      <xdr:col>14</xdr:col>
      <xdr:colOff>748665</xdr:colOff>
      <xdr:row>73</xdr:row>
      <xdr:rowOff>98425</xdr:rowOff>
    </xdr:to>
    <xdr:pic macro="">
      <xdr:nvPicPr>
        <xdr:cNvPr id="3" name="image3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xCw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EAAAACQAAAH4D6QBJAAAADgAAAPgB9AEjXgAAG1IAAKkqAACCBQ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2865" y="13347065"/>
          <a:ext cx="6934835" cy="89535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  <xdr:twoCellAnchor editAs="oneCell">
    <xdr:from>
      <xdr:col>9</xdr:col>
      <xdr:colOff>1505585</xdr:colOff>
      <xdr:row>74</xdr:row>
      <xdr:rowOff>66675</xdr:rowOff>
    </xdr:from>
    <xdr:to>
      <xdr:col>13</xdr:col>
      <xdr:colOff>910590</xdr:colOff>
      <xdr:row>90</xdr:row>
      <xdr:rowOff>152400</xdr:rowOff>
    </xdr:to>
    <xdr:pic macro="">
      <xdr:nvPicPr>
        <xdr:cNvPr id="2" name="image8.png"/>
        <xdr:cNvPicPr>
          <a:extLst>
            <a:ext uri="smNativeData">
              <pm:smNativeData xmlns:pm="smNativeData" val="SMDATA_15_f84/ahMAAAAlAAAAEQAAAA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KAAAACQAAAFUB/wNaAAAADQAAAAwDcgNKZQAAplgAAAAeAAA3FA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65550" y="14410690"/>
          <a:ext cx="4876800" cy="328612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B2:N87"/>
  <sheetViews>
    <sheetView tabSelected="1" view="normal" workbookViewId="0">
      <selection activeCell="E13" sqref="F13 E13"/>
    </sheetView>
  </sheetViews>
  <sheetFormatPr baseColWidth="11" defaultColWidth="12.630631" defaultRowHeight="15.75" customHeight="1"/>
  <cols>
    <col min="2" max="2" width="64.495495" customWidth="1"/>
    <col min="3" max="3" width="19.252252" customWidth="1"/>
    <col min="4" max="4" width="22.495495" customWidth="1"/>
    <col min="7" max="7" width="14.000000" customWidth="1"/>
    <col min="8" max="8" width="13.171171" customWidth="1"/>
  </cols>
  <sheetData>
    <row r="2" spans="2:4" ht="13.45">
      <c r="B2" s="1" t="s">
        <v>0</v>
      </c>
      <c r="C2" s="2"/>
      <c r="D2" s="3"/>
    </row>
    <row r="3" spans="2:4" ht="13.45">
      <c r="B3" s="4" t="s">
        <v>1</v>
      </c>
      <c r="C3" s="5" t="s">
        <v>2</v>
      </c>
      <c r="D3" s="6" t="s">
        <v>3</v>
      </c>
    </row>
    <row r="4" spans="2:4" ht="13.45">
      <c r="B4" s="7" t="s">
        <v>4</v>
      </c>
      <c r="C4" s="8" t="n">
        <v>1</v>
      </c>
      <c r="D4" s="6"/>
    </row>
    <row r="5" spans="2:4" ht="13.45">
      <c r="B5" s="7" t="s">
        <v>5</v>
      </c>
      <c r="C5" s="8" t="n">
        <v>-9</v>
      </c>
      <c r="D5" s="6"/>
    </row>
    <row r="6" spans="2:4" ht="13.45">
      <c r="B6" s="7" t="s">
        <v>6</v>
      </c>
      <c r="C6" s="8" t="n">
        <v>12000</v>
      </c>
      <c r="D6" s="6"/>
    </row>
    <row r="7" spans="2:8" ht="13.45">
      <c r="B7" s="7" t="s">
        <v>7</v>
      </c>
      <c r="C7" s="8" t="n">
        <v>-14</v>
      </c>
      <c r="D7" s="6"/>
      <c r="E7" s="9" t="s">
        <v>8</v>
      </c>
      <c r="F7" s="3"/>
      <c r="G7" s="9" t="s">
        <v>9</v>
      </c>
      <c r="H7" s="3"/>
    </row>
    <row r="8" spans="2:4" ht="13.45">
      <c r="B8" s="7" t="s">
        <v>10</v>
      </c>
      <c r="C8" s="8" t="n">
        <v>13</v>
      </c>
      <c r="D8" s="6"/>
    </row>
    <row r="9" spans="2:4" ht="13.45">
      <c r="B9" s="7" t="s">
        <v>11</v>
      </c>
      <c r="C9" s="8" t="n">
        <v>38</v>
      </c>
      <c r="D9" s="6"/>
    </row>
    <row r="10" spans="2:4" ht="13.45">
      <c r="B10" s="7" t="s">
        <v>12</v>
      </c>
      <c r="C10" s="8" t="n">
        <v>23.5</v>
      </c>
      <c r="D10" s="6"/>
    </row>
    <row r="11" spans="2:8" ht="13.45">
      <c r="B11" s="7" t="s">
        <v>13</v>
      </c>
      <c r="C11" s="8" t="n">
        <v>10</v>
      </c>
      <c r="D11" s="6"/>
      <c r="E11" s="9" t="s">
        <v>14</v>
      </c>
      <c r="F11" s="2"/>
      <c r="G11" s="2"/>
      <c r="H11" s="3"/>
    </row>
    <row r="12" spans="2:6" ht="13.45">
      <c r="B12" s="7" t="s">
        <v>15</v>
      </c>
      <c r="C12" s="8" t="n">
        <v>23.5</v>
      </c>
      <c r="D12" s="6"/>
      <c r="E12" s="134" t="s">
        <v>16</v>
      </c>
      <c r="F12" s="133"/>
    </row>
    <row r="13" spans="2:6" ht="13.45">
      <c r="B13" s="7" t="s">
        <v>17</v>
      </c>
      <c r="C13" s="8" t="n">
        <v>12.5</v>
      </c>
      <c r="D13" s="6"/>
      <c r="E13" s="132" t="s">
        <v>18</v>
      </c>
      <c r="F13" s="132"/>
    </row>
    <row r="14" spans="2:4" ht="13.45">
      <c r="B14" s="10" t="s">
        <v>19</v>
      </c>
      <c r="C14" s="11"/>
      <c r="D14" s="6"/>
    </row>
    <row r="15" spans="2:8" ht="13.45">
      <c r="B15" s="12" t="s">
        <v>20</v>
      </c>
      <c r="C15" s="11"/>
      <c r="D15" s="6" t="s">
        <v>21</v>
      </c>
      <c r="E15" s="9" t="s">
        <v>22</v>
      </c>
      <c r="F15" s="2"/>
      <c r="G15" s="2"/>
      <c r="H15" s="3"/>
    </row>
    <row r="16" spans="2:4" ht="13.45">
      <c r="B16" s="12" t="s">
        <v>23</v>
      </c>
      <c r="C16" s="8" t="n">
        <v>10</v>
      </c>
      <c r="D16" s="13"/>
    </row>
    <row r="17" spans="2:4" ht="13.45">
      <c r="B17" s="14" t="s">
        <v>24</v>
      </c>
      <c r="C17" s="2"/>
      <c r="D17" s="3"/>
    </row>
    <row r="18" spans="2:8" ht="13.45">
      <c r="B18" s="12" t="s">
        <v>25</v>
      </c>
      <c r="C18" s="8" t="n">
        <v>-25</v>
      </c>
      <c r="D18" s="6"/>
      <c r="E18" s="9" t="s">
        <v>26</v>
      </c>
      <c r="F18" s="2"/>
      <c r="G18" s="3"/>
      <c r="H18" t="n">
        <v>18.8000000000000007</v>
      </c>
    </row>
    <row r="19" spans="2:10" ht="13.45">
      <c r="B19" s="15" t="s">
        <v>27</v>
      </c>
      <c r="C19" s="8" t="n">
        <v>-41.0200000000000031</v>
      </c>
      <c r="D19" s="6"/>
      <c r="E19" s="9" t="s">
        <v>28</v>
      </c>
      <c r="F19" s="2"/>
      <c r="G19" s="2"/>
      <c r="H19" s="3"/>
      <c r="I19" s="9" t="s">
        <v>29</v>
      </c>
      <c r="J19" s="3"/>
    </row>
    <row r="20" spans="2:4" ht="13.45">
      <c r="B20" s="12" t="s">
        <v>30</v>
      </c>
      <c r="C20" s="8" t="n">
        <v>21</v>
      </c>
      <c r="D20" s="6"/>
    </row>
    <row r="21" spans="2:4" ht="13.45">
      <c r="B21" s="12" t="s">
        <v>31</v>
      </c>
      <c r="C21" s="8" t="n">
        <v>20</v>
      </c>
      <c r="D21" s="6"/>
    </row>
    <row r="22" spans="2:14" ht="13.45">
      <c r="B22" s="15" t="s">
        <v>32</v>
      </c>
      <c r="C22" s="5" t="n">
        <v>-18.0199999999999996</v>
      </c>
      <c r="D22" s="6"/>
      <c r="E22" s="9" t="s">
        <v>33</v>
      </c>
      <c r="F22" s="2"/>
      <c r="G22" s="2"/>
      <c r="H22" s="3"/>
      <c r="I22" s="9" t="s">
        <v>34</v>
      </c>
      <c r="J22" s="2"/>
      <c r="K22" s="2"/>
      <c r="L22" s="2"/>
      <c r="M22" s="2"/>
      <c r="N22" s="3"/>
    </row>
    <row r="23" spans="2:4" ht="13.45">
      <c r="B23" s="12" t="s">
        <v>35</v>
      </c>
      <c r="C23" s="8" t="n">
        <v>5.5</v>
      </c>
      <c r="D23" s="6"/>
    </row>
    <row r="24" spans="2:4" ht="13.45">
      <c r="B24" s="14" t="s">
        <v>36</v>
      </c>
      <c r="C24" s="2"/>
      <c r="D24" s="3"/>
    </row>
    <row r="25" spans="2:7" ht="13.45">
      <c r="B25" s="12" t="s">
        <v>37</v>
      </c>
      <c r="C25" s="8" t="n">
        <v>-25</v>
      </c>
      <c r="D25" s="6"/>
      <c r="E25" s="9" t="s">
        <v>38</v>
      </c>
      <c r="F25" s="2"/>
      <c r="G25" s="3"/>
    </row>
    <row r="26" spans="2:4" ht="13.45">
      <c r="B26" s="15" t="s">
        <v>27</v>
      </c>
      <c r="C26" s="8" t="n">
        <v>-41.0200000000000031</v>
      </c>
      <c r="D26" s="6"/>
    </row>
    <row r="27" spans="2:4" ht="13.45">
      <c r="B27" s="12" t="s">
        <v>39</v>
      </c>
      <c r="C27" s="8" t="n">
        <v>21.5</v>
      </c>
      <c r="D27" s="6"/>
    </row>
    <row r="28" spans="2:4" ht="13.45">
      <c r="B28" s="12" t="s">
        <v>40</v>
      </c>
      <c r="C28" s="8" t="n">
        <v>20</v>
      </c>
      <c r="D28" s="6"/>
    </row>
    <row r="29" spans="2:14" ht="13.45">
      <c r="B29" s="15" t="s">
        <v>41</v>
      </c>
      <c r="C29" s="5" t="n">
        <v>-17.5199999999999996</v>
      </c>
      <c r="D29" s="6"/>
      <c r="E29" s="9" t="s">
        <v>33</v>
      </c>
      <c r="F29" s="2"/>
      <c r="G29" s="2"/>
      <c r="H29" s="3"/>
      <c r="I29" s="9" t="s">
        <v>42</v>
      </c>
      <c r="J29" s="2"/>
      <c r="K29" s="2"/>
      <c r="L29" s="2"/>
      <c r="M29" s="2"/>
      <c r="N29" s="3"/>
    </row>
    <row r="30" spans="2:9" ht="13.45">
      <c r="B30" s="12" t="s">
        <v>43</v>
      </c>
      <c r="C30" s="8" t="n">
        <v>6</v>
      </c>
      <c r="D30" s="6"/>
      <c r="E30" s="9" t="s">
        <v>44</v>
      </c>
      <c r="F30" s="2"/>
      <c r="G30" s="2"/>
      <c r="H30" s="3"/>
      <c r="I30">
        <f>2.5</f>
        <v>2.5</v>
      </c>
    </row>
    <row r="31" spans="2:4" ht="13.45">
      <c r="B31" s="16" t="s">
        <v>45</v>
      </c>
      <c r="C31" s="11"/>
      <c r="D31" s="6"/>
    </row>
    <row r="32" spans="2:4" ht="13.45">
      <c r="B32" s="17" t="s">
        <v>20</v>
      </c>
      <c r="C32" s="11"/>
      <c r="D32" s="18"/>
    </row>
    <row r="33" spans="2:4" ht="13.45">
      <c r="B33" s="17" t="s">
        <v>25</v>
      </c>
      <c r="C33" s="8" t="n">
        <v>-28</v>
      </c>
      <c r="D33" s="18"/>
    </row>
    <row r="34" spans="2:4" ht="13.45">
      <c r="B34" s="19" t="s">
        <v>27</v>
      </c>
      <c r="C34" s="8" t="n">
        <v>-44.0200000000000031</v>
      </c>
      <c r="D34" s="6"/>
    </row>
    <row r="35" spans="2:4" ht="13.45">
      <c r="B35" s="17" t="s">
        <v>46</v>
      </c>
      <c r="C35" s="8" t="n">
        <v>25</v>
      </c>
      <c r="D35" s="18"/>
    </row>
    <row r="36" spans="2:4" ht="13.45">
      <c r="B36" s="17" t="s">
        <v>40</v>
      </c>
      <c r="C36" s="8" t="n">
        <v>21.5</v>
      </c>
      <c r="D36" s="18"/>
    </row>
    <row r="37" spans="2:14" ht="13.45">
      <c r="B37" s="19" t="s">
        <v>47</v>
      </c>
      <c r="C37" s="8" t="n">
        <v>-19.5199999999999996</v>
      </c>
      <c r="D37" s="6"/>
      <c r="E37" s="9" t="s">
        <v>33</v>
      </c>
      <c r="F37" s="2"/>
      <c r="G37" s="2"/>
      <c r="H37" s="3"/>
      <c r="I37" s="9" t="s">
        <v>42</v>
      </c>
      <c r="J37" s="2"/>
      <c r="K37" s="2"/>
      <c r="L37" s="2"/>
      <c r="M37" s="2"/>
      <c r="N37" s="3"/>
    </row>
    <row r="38" spans="2:4" ht="13.45">
      <c r="B38" s="17" t="s">
        <v>48</v>
      </c>
      <c r="C38" s="8" t="n">
        <v>5.5</v>
      </c>
      <c r="D38" s="6"/>
    </row>
    <row r="39" spans="2:4" ht="13.45">
      <c r="B39" s="20" t="s">
        <v>49</v>
      </c>
      <c r="C39" s="21"/>
      <c r="D39" s="21"/>
    </row>
    <row r="40" spans="2:4" ht="13.45">
      <c r="B40" s="22" t="s">
        <v>50</v>
      </c>
      <c r="C40" s="22" t="n">
        <v>0.179999999999999964</v>
      </c>
      <c r="D40" s="21"/>
    </row>
    <row r="41" spans="2:4" ht="13.45">
      <c r="B41" s="22" t="s">
        <v>51</v>
      </c>
      <c r="C41" s="22" t="n">
        <v>0.185</v>
      </c>
      <c r="D41" s="21"/>
    </row>
    <row r="42" spans="2:4" ht="13.45">
      <c r="B42" s="22" t="s">
        <v>52</v>
      </c>
      <c r="C42" s="22" t="n">
        <v>18</v>
      </c>
      <c r="D42" s="21"/>
    </row>
    <row r="43" spans="2:4" ht="13.45">
      <c r="B43" s="22" t="s">
        <v>53</v>
      </c>
      <c r="C43" s="22" t="n">
        <v>0.1</v>
      </c>
      <c r="D43" s="21"/>
    </row>
    <row r="44" spans="2:4" ht="13.45">
      <c r="B44" s="22" t="s">
        <v>54</v>
      </c>
      <c r="C44" s="22" t="n">
        <v>1304</v>
      </c>
      <c r="D44" s="22" t="s">
        <v>55</v>
      </c>
    </row>
    <row r="45" spans="2:11" ht="13.45">
      <c r="B45" s="22" t="s">
        <v>56</v>
      </c>
      <c r="C45" s="22" t="n">
        <v>0.0929999999999999893</v>
      </c>
      <c r="D45" s="21"/>
      <c r="H45" s="9" t="s">
        <v>57</v>
      </c>
      <c r="I45" s="2"/>
      <c r="J45" s="2"/>
      <c r="K45" s="3"/>
    </row>
    <row r="46" spans="2:4" ht="13.45">
      <c r="B46" s="22" t="s">
        <v>58</v>
      </c>
      <c r="C46" s="22" t="n">
        <v>85</v>
      </c>
      <c r="D46" s="21"/>
    </row>
    <row r="47" spans="2:4" ht="13.45">
      <c r="B47" s="22" t="s">
        <v>59</v>
      </c>
      <c r="C47" s="22">
        <f>1.8*10^-8</f>
        <v>1.799999999999999905E-08</v>
      </c>
      <c r="D47" s="21"/>
    </row>
    <row r="48" spans="2:7" ht="13.45">
      <c r="B48" s="22" t="s">
        <v>60</v>
      </c>
      <c r="C48" s="22" t="n">
        <v>0.859999999999999787</v>
      </c>
      <c r="D48" s="21"/>
      <c r="E48" s="9" t="s">
        <v>61</v>
      </c>
      <c r="F48" s="2"/>
      <c r="G48" s="3"/>
    </row>
    <row r="49" spans="2:4" ht="13.45">
      <c r="B49" s="23" t="s">
        <v>62</v>
      </c>
      <c r="C49" s="24"/>
      <c r="D49" s="24"/>
    </row>
    <row r="50" spans="2:4" ht="13.45">
      <c r="B50" s="25" t="s">
        <v>63</v>
      </c>
      <c r="C50" s="25" t="n">
        <v>20</v>
      </c>
      <c r="D50" s="25" t="s">
        <v>64</v>
      </c>
    </row>
    <row r="51" spans="2:4" ht="13.45">
      <c r="B51" s="25" t="s">
        <v>65</v>
      </c>
      <c r="C51" s="25" t="n">
        <v>-340</v>
      </c>
      <c r="D51" s="24"/>
    </row>
    <row r="52" spans="2:4" ht="13.45">
      <c r="B52" s="25" t="s">
        <v>66</v>
      </c>
      <c r="C52" s="25" t="n">
        <v>-17</v>
      </c>
      <c r="D52" s="24"/>
    </row>
    <row r="53" spans="2:4" ht="13.45">
      <c r="B53" s="25" t="s">
        <v>67</v>
      </c>
      <c r="C53" s="25" t="n">
        <v>2.9</v>
      </c>
      <c r="D53" s="24"/>
    </row>
    <row r="54" spans="2:4" ht="13.45">
      <c r="B54" s="25" t="s">
        <v>68</v>
      </c>
      <c r="C54" s="25" t="n">
        <v>0.6</v>
      </c>
      <c r="D54" s="24"/>
    </row>
    <row r="55" spans="2:4" ht="13.45">
      <c r="B55" s="26" t="s">
        <v>69</v>
      </c>
      <c r="C55" s="27"/>
      <c r="D55" s="27"/>
    </row>
    <row r="56" spans="2:4" ht="13.45">
      <c r="B56" s="28" t="s">
        <v>70</v>
      </c>
      <c r="C56" s="28" t="n">
        <v>1</v>
      </c>
      <c r="D56" s="27"/>
    </row>
    <row r="57" spans="2:4" ht="13.45">
      <c r="B57" s="28" t="s">
        <v>71</v>
      </c>
      <c r="C57" s="28" t="n">
        <v>0.859999999999999787</v>
      </c>
      <c r="D57" s="27"/>
    </row>
    <row r="58" spans="2:4" ht="13.45">
      <c r="B58" s="28" t="s">
        <v>72</v>
      </c>
      <c r="C58" s="28">
        <f>-(1550^2)*C42/(2*PI()*300000)</f>
        <v>-22.9421850466967996</v>
      </c>
      <c r="D58" s="27"/>
    </row>
    <row r="59" spans="2:4" ht="13.45">
      <c r="B59" s="28" t="s">
        <v>73</v>
      </c>
      <c r="C59" s="28" t="n">
        <v>40</v>
      </c>
      <c r="D59" s="27"/>
    </row>
    <row r="60" spans="2:6" ht="13.45">
      <c r="B60" s="28" t="s">
        <v>74</v>
      </c>
      <c r="C60" s="28">
        <f>63.1*10^9</f>
        <v>63100000000</v>
      </c>
      <c r="D60" s="27"/>
      <c r="E60" s="9" t="s">
        <v>75</v>
      </c>
      <c r="F60" s="3"/>
    </row>
    <row r="61" spans="2:4" ht="13.45">
      <c r="B61" s="28" t="s">
        <v>76</v>
      </c>
      <c r="C61" s="28">
        <f>12.5*10^9</f>
        <v>12500000000</v>
      </c>
      <c r="D61" s="27"/>
    </row>
    <row r="63" spans="2:4" ht="13.45">
      <c r="B63" s="4" t="s">
        <v>77</v>
      </c>
      <c r="C63" s="5" t="s">
        <v>2</v>
      </c>
      <c r="D63" s="6" t="s">
        <v>3</v>
      </c>
    </row>
    <row r="64" spans="2:4" ht="13.45">
      <c r="B64" s="7" t="s">
        <v>4</v>
      </c>
      <c r="C64" s="8" t="n">
        <v>1</v>
      </c>
      <c r="D64" s="6"/>
    </row>
    <row r="65" spans="2:4" ht="13.45">
      <c r="B65" s="7" t="s">
        <v>5</v>
      </c>
      <c r="C65" s="8" t="n">
        <v>-9</v>
      </c>
      <c r="D65" s="6"/>
    </row>
    <row r="66" spans="2:4" ht="13.45">
      <c r="B66" s="7" t="s">
        <v>6</v>
      </c>
      <c r="C66" s="8" t="n">
        <v>77000</v>
      </c>
      <c r="D66" s="6"/>
    </row>
    <row r="67" spans="2:4" ht="13.45">
      <c r="B67" s="7" t="s">
        <v>78</v>
      </c>
      <c r="C67" s="8" t="n">
        <v>-20</v>
      </c>
      <c r="D67" s="6"/>
    </row>
    <row r="68" spans="2:4" ht="13.45">
      <c r="B68" s="7" t="s">
        <v>10</v>
      </c>
      <c r="C68" s="8" t="n">
        <v>13</v>
      </c>
      <c r="D68" s="6"/>
    </row>
    <row r="69" spans="2:4" ht="13.45">
      <c r="B69" s="7" t="s">
        <v>11</v>
      </c>
      <c r="C69" s="8" t="n">
        <v>38</v>
      </c>
      <c r="D69" s="6"/>
    </row>
    <row r="70" spans="2:4" ht="13.45">
      <c r="B70" s="7" t="s">
        <v>12</v>
      </c>
      <c r="C70" s="8" t="n">
        <v>11.8000000000000007</v>
      </c>
      <c r="D70" s="6"/>
    </row>
    <row r="71" spans="2:4" ht="13.45">
      <c r="B71" s="7" t="s">
        <v>13</v>
      </c>
      <c r="C71" s="8" t="n">
        <v>30</v>
      </c>
      <c r="D71" s="6"/>
    </row>
    <row r="72" spans="2:4" ht="13.45">
      <c r="B72" s="7" t="s">
        <v>15</v>
      </c>
      <c r="C72" s="8" t="n">
        <v>11.8000000000000007</v>
      </c>
      <c r="D72" s="6"/>
    </row>
    <row r="73" spans="2:4" ht="13.45">
      <c r="B73" s="7" t="s">
        <v>17</v>
      </c>
      <c r="C73" s="8" t="n">
        <v>12.5</v>
      </c>
      <c r="D73" s="6"/>
    </row>
    <row r="74" spans="2:3" ht="13.45">
      <c r="B74" t="s">
        <v>79</v>
      </c>
      <c r="C74">
        <f>31.6*10^9</f>
        <v>31600000000</v>
      </c>
    </row>
    <row r="76" spans="2:4" ht="15.75" customHeight="1">
      <c r="B76" s="129" t="s">
        <v>80</v>
      </c>
      <c r="C76" s="5" t="s">
        <v>2</v>
      </c>
      <c r="D76" s="6" t="s">
        <v>3</v>
      </c>
    </row>
    <row r="77" spans="2:4" ht="15.75" customHeight="1">
      <c r="B77" s="130" t="s">
        <v>4</v>
      </c>
      <c r="C77" s="8" t="n">
        <v>1</v>
      </c>
      <c r="D77" s="6"/>
    </row>
    <row r="78" spans="2:4" ht="15.75" customHeight="1">
      <c r="B78" s="130" t="s">
        <v>5</v>
      </c>
      <c r="C78" s="8" t="n">
        <v>-9</v>
      </c>
      <c r="D78" s="6"/>
    </row>
    <row r="79" spans="2:4" ht="15.75" customHeight="1">
      <c r="B79" s="130" t="s">
        <v>6</v>
      </c>
      <c r="C79" s="8" t="n">
        <v>30000</v>
      </c>
      <c r="D79" s="6"/>
    </row>
    <row r="80" spans="2:4" ht="15.75" customHeight="1">
      <c r="B80" s="130" t="s">
        <v>81</v>
      </c>
      <c r="C80" s="8" t="n">
        <v>-16</v>
      </c>
      <c r="D80" s="6"/>
    </row>
    <row r="81" spans="2:4" ht="15.75" customHeight="1">
      <c r="B81" s="130" t="s">
        <v>10</v>
      </c>
      <c r="C81" s="8" t="n">
        <v>13</v>
      </c>
      <c r="D81" s="6"/>
    </row>
    <row r="82" spans="2:4" ht="15.75" customHeight="1">
      <c r="B82" s="130" t="s">
        <v>11</v>
      </c>
      <c r="C82" s="8" t="n">
        <v>38</v>
      </c>
      <c r="D82" s="6"/>
    </row>
    <row r="83" spans="2:4" ht="15.75" customHeight="1">
      <c r="B83" s="130" t="s">
        <v>12</v>
      </c>
      <c r="C83" s="8" t="n">
        <v>20.5</v>
      </c>
      <c r="D83" s="6"/>
    </row>
    <row r="84" spans="2:4" ht="15.75" customHeight="1">
      <c r="B84" s="130" t="s">
        <v>13</v>
      </c>
      <c r="C84" s="8" t="n">
        <v>30</v>
      </c>
      <c r="D84" s="6"/>
    </row>
    <row r="85" spans="2:4" ht="15.75" customHeight="1">
      <c r="B85" s="130" t="s">
        <v>15</v>
      </c>
      <c r="C85" s="8" t="n">
        <v>20.5</v>
      </c>
      <c r="D85" s="6"/>
    </row>
    <row r="86" spans="2:4" ht="15.75" customHeight="1">
      <c r="B86" s="130" t="s">
        <v>17</v>
      </c>
      <c r="C86" s="8" t="n">
        <v>12.5</v>
      </c>
      <c r="D86" s="6"/>
    </row>
    <row r="87" spans="2:3" ht="15.75" customHeight="1">
      <c r="B87" t="s">
        <v>79</v>
      </c>
      <c r="C87">
        <f>31.6*10^9</f>
        <v>31600000000</v>
      </c>
    </row>
  </sheetData>
  <mergeCells count="22">
    <mergeCell ref="B2:D2"/>
    <mergeCell ref="E7:F7"/>
    <mergeCell ref="G7:H7"/>
    <mergeCell ref="E11:H11"/>
    <mergeCell ref="E12:F12"/>
    <mergeCell ref="E15:H15"/>
    <mergeCell ref="B17:D17"/>
    <mergeCell ref="E18:G18"/>
    <mergeCell ref="E19:H19"/>
    <mergeCell ref="I19:J19"/>
    <mergeCell ref="E22:H22"/>
    <mergeCell ref="I22:N22"/>
    <mergeCell ref="B24:D24"/>
    <mergeCell ref="E25:G25"/>
    <mergeCell ref="E29:H29"/>
    <mergeCell ref="I29:N29"/>
    <mergeCell ref="E30:H30"/>
    <mergeCell ref="E37:H37"/>
    <mergeCell ref="I37:N37"/>
    <mergeCell ref="H45:K45"/>
    <mergeCell ref="E48:G48"/>
    <mergeCell ref="E60:F60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S78"/>
  <sheetViews>
    <sheetView view="normal" workbookViewId="0">
      <selection activeCell="D1" sqref="D1"/>
    </sheetView>
  </sheetViews>
  <sheetFormatPr baseColWidth="11" defaultColWidth="12.630631" defaultRowHeight="15.75" customHeight="1"/>
  <cols>
    <col min="1" max="1" width="37.000000" customWidth="1"/>
    <col min="2" max="2" width="23.000000" customWidth="1"/>
    <col min="3" max="3" width="22.882883" customWidth="1"/>
    <col min="4" max="4" width="27.378378" customWidth="1"/>
    <col min="5" max="5" width="21.378378" customWidth="1"/>
    <col min="6" max="6" width="20.126126" customWidth="1"/>
    <col min="7" max="7" width="15.126126" customWidth="1"/>
    <col min="8" max="8" width="24.378378" customWidth="1"/>
    <col min="9" max="9" width="26.000000" customWidth="1"/>
    <col min="10" max="10" width="26.882883" customWidth="1"/>
    <col min="11" max="11" width="25.747748" customWidth="1"/>
    <col min="12" max="12" width="15.252252" customWidth="1"/>
    <col min="13" max="13" width="16.252252" customWidth="1"/>
    <col min="14" max="14" width="17.126126" customWidth="1"/>
    <col min="15" max="15" width="23.747748" customWidth="1"/>
    <col min="16" max="16" width="25.495495" customWidth="1"/>
  </cols>
  <sheetData>
    <row r="1" spans="1:17" ht="13.45">
      <c r="A1" s="29" t="s">
        <v>82</v>
      </c>
      <c r="D1" s="30" t="s">
        <v>83</v>
      </c>
      <c r="E1" s="30"/>
      <c r="F1" s="31"/>
      <c r="G1" s="30"/>
      <c r="H1" s="30"/>
      <c r="I1" s="30"/>
      <c r="J1" s="30"/>
      <c r="K1" s="30"/>
      <c r="L1" s="31"/>
      <c r="M1" s="30"/>
      <c r="N1" s="30"/>
      <c r="O1" s="30"/>
      <c r="P1" s="30"/>
      <c r="Q1" s="30"/>
    </row>
    <row r="2" spans="1:17" ht="13.4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  <c r="H2" s="32" t="s">
        <v>91</v>
      </c>
      <c r="I2" s="32" t="s">
        <v>92</v>
      </c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2" t="s">
        <v>99</v>
      </c>
      <c r="Q2" s="32" t="s">
        <v>100</v>
      </c>
    </row>
    <row r="3" spans="1:17" ht="13.45">
      <c r="A3" s="33" t="s">
        <v>101</v>
      </c>
      <c r="B3" s="34"/>
      <c r="C3" s="34"/>
      <c r="D3" s="34"/>
      <c r="E3" s="34"/>
      <c r="F3" s="35" t="n">
        <v>400</v>
      </c>
      <c r="G3" s="34"/>
      <c r="H3" s="34"/>
      <c r="I3" s="34"/>
      <c r="J3" s="34"/>
      <c r="K3" s="34"/>
      <c r="L3" s="35"/>
      <c r="M3" s="34"/>
      <c r="N3" s="34"/>
      <c r="O3" s="34"/>
      <c r="P3" s="34"/>
      <c r="Q3" s="36"/>
    </row>
    <row r="4" spans="1:17" ht="13.45">
      <c r="A4" s="37" t="s">
        <v>102</v>
      </c>
      <c r="B4" s="30"/>
      <c r="C4" s="30"/>
      <c r="D4" s="30"/>
      <c r="E4" s="38">
        <f>Parámetros!C5</f>
        <v>-9</v>
      </c>
      <c r="F4" s="37"/>
      <c r="G4" s="30"/>
      <c r="H4" s="38">
        <f>Parámetros!C9</f>
        <v>38</v>
      </c>
      <c r="I4" s="39">
        <f>10^(H4/10)</f>
        <v>6309.57344480193024</v>
      </c>
      <c r="J4" s="38">
        <f>H4</f>
        <v>38</v>
      </c>
      <c r="K4" s="39">
        <f>10^(J4/10)</f>
        <v>6309.57344480193024</v>
      </c>
      <c r="L4" s="40" t="s">
        <v>103</v>
      </c>
      <c r="M4" s="40" t="s">
        <v>103</v>
      </c>
      <c r="N4" s="40" t="s">
        <v>103</v>
      </c>
      <c r="O4" s="40" t="s">
        <v>103</v>
      </c>
      <c r="P4" s="40" t="s">
        <v>103</v>
      </c>
      <c r="Q4" s="41"/>
    </row>
    <row r="5" spans="1:17" ht="13.45">
      <c r="A5" s="37" t="s">
        <v>104</v>
      </c>
      <c r="B5" s="30"/>
      <c r="C5" s="30"/>
      <c r="D5" s="38">
        <f>-Parámetros!C16</f>
        <v>-10</v>
      </c>
      <c r="E5" s="42">
        <f>D5+E4</f>
        <v>-19</v>
      </c>
      <c r="F5" s="43">
        <f>Parámetros!C29</f>
        <v>-17.5199999999999996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44"/>
    </row>
    <row r="6" spans="1:17" ht="13.45">
      <c r="A6" s="37" t="s">
        <v>105</v>
      </c>
      <c r="B6" s="30"/>
      <c r="C6" s="30"/>
      <c r="D6" s="38">
        <f>Parámetros!C27</f>
        <v>21.5</v>
      </c>
      <c r="E6" s="38">
        <f>D6+E5</f>
        <v>2.5</v>
      </c>
      <c r="F6" s="37"/>
      <c r="G6" s="30">
        <f>Parámetros!C30</f>
        <v>6</v>
      </c>
      <c r="H6" s="45">
        <f>E5+158.9-10*LOG10(Parámetros!C13*10^9)-G6</f>
        <v>32.9308998699190028</v>
      </c>
      <c r="I6" s="46">
        <f>10^(H6/10)</f>
        <v>1963.76713254782999</v>
      </c>
      <c r="J6" s="46">
        <f>10*LOG10(K6)</f>
        <v>31.7540908428696014</v>
      </c>
      <c r="K6" s="46">
        <f>1/((1/K4)+(1/I6))</f>
        <v>1497.64570132966992</v>
      </c>
      <c r="L6" s="47">
        <f>(2/3)^3*Parámetros!C56*(Parámetros!C57)^2*'No linealidades'!D3*(10^(E7/10)*0.001)^2*LOG10(PI()^2*ABS(Parámetros!C58*10^(-24))*'No linealidades'!D3*(Parámetros!C59)^2*Parámetros!C60^2)/(PI()*ABS(Parámetros!C58*10^(-24))*Parámetros!C60^3)*Parámetros!C13*10^9</f>
        <v>0.0000490248393090000079</v>
      </c>
      <c r="M6" s="48">
        <f>10*LOG10(N6)</f>
        <v>43.0958382116509995</v>
      </c>
      <c r="N6" s="49">
        <f>1/L6</f>
        <v>20397.8231054889002</v>
      </c>
      <c r="O6" s="48">
        <f>M6</f>
        <v>43.0958382116509995</v>
      </c>
      <c r="P6" s="50">
        <f>N6</f>
        <v>20397.8231054889002</v>
      </c>
      <c r="Q6" s="51">
        <f>10*LOG10(HARMEAN(K6,P6)/2)</f>
        <v>31.4463865708699011</v>
      </c>
    </row>
    <row r="7" spans="1:17" ht="13.45">
      <c r="A7" s="37" t="s">
        <v>106</v>
      </c>
      <c r="B7" s="30"/>
      <c r="C7" s="30"/>
      <c r="D7" s="38" t="n">
        <v>0</v>
      </c>
      <c r="E7" s="38">
        <f>D7+E6</f>
        <v>2.5</v>
      </c>
      <c r="F7" s="31"/>
      <c r="G7" s="38"/>
      <c r="H7" s="38"/>
      <c r="I7" s="38"/>
      <c r="J7" s="38"/>
      <c r="K7" s="38"/>
      <c r="L7" s="52"/>
      <c r="M7" s="38"/>
      <c r="N7" s="38"/>
      <c r="O7" s="38"/>
      <c r="P7" s="38"/>
      <c r="Q7" s="44"/>
    </row>
    <row r="8" spans="1:17" ht="13.45">
      <c r="A8" s="53" t="s">
        <v>107</v>
      </c>
      <c r="B8" s="54" t="n">
        <v>80</v>
      </c>
      <c r="C8" s="54">
        <f>Parámetros!C41</f>
        <v>0.185</v>
      </c>
      <c r="D8" s="54">
        <f>-B8*C8</f>
        <v>-14.8000000000000007</v>
      </c>
      <c r="E8" s="54">
        <f>D8+E7</f>
        <v>-12.3000000000000007</v>
      </c>
      <c r="F8" s="53" t="str">
        <f>IF(E8&gt;=Parámetros!C18,"V","F")</f>
        <v>V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44"/>
    </row>
    <row r="9" spans="1:17" ht="13.45">
      <c r="A9" s="33" t="s">
        <v>108</v>
      </c>
      <c r="B9" s="34"/>
      <c r="C9" s="34"/>
      <c r="D9" s="34"/>
      <c r="E9" s="34"/>
      <c r="F9" s="35"/>
      <c r="G9" s="34"/>
      <c r="H9" s="34"/>
      <c r="I9" s="34"/>
      <c r="J9" s="34"/>
      <c r="K9" s="34"/>
      <c r="L9" s="34"/>
      <c r="M9" s="34"/>
      <c r="N9" s="34"/>
      <c r="O9" s="34"/>
      <c r="P9" s="34"/>
      <c r="Q9" s="44"/>
    </row>
    <row r="10" spans="1:17" ht="13.45">
      <c r="A10" s="37" t="s">
        <v>109</v>
      </c>
      <c r="B10" s="30"/>
      <c r="C10" s="30"/>
      <c r="D10" s="38">
        <f>-(E8+Parámetros!H18)</f>
        <v>-6.5</v>
      </c>
      <c r="E10" s="42">
        <f>E8+D10</f>
        <v>-18.8000000000000007</v>
      </c>
      <c r="F10" s="56">
        <f>Parámetros!C22</f>
        <v>-18.0199999999999996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44"/>
    </row>
    <row r="11" spans="1:17" ht="13.45">
      <c r="A11" s="37" t="s">
        <v>110</v>
      </c>
      <c r="B11" s="30"/>
      <c r="C11" s="30"/>
      <c r="D11" s="38">
        <f>Parámetros!C20</f>
        <v>21</v>
      </c>
      <c r="E11" s="38">
        <f>D11+E10</f>
        <v>2.20000000000000018</v>
      </c>
      <c r="F11" s="37"/>
      <c r="G11" s="30">
        <f>Parámetros!C23</f>
        <v>5.5</v>
      </c>
      <c r="H11" s="45">
        <f>E10+158.9-10*LOG10(Parámetros!C13*10^9)-G11</f>
        <v>33.6308998699189985</v>
      </c>
      <c r="I11" s="45">
        <f>10^(H11/10)</f>
        <v>2307.22520250104981</v>
      </c>
      <c r="J11" s="45">
        <f>10*LOG10(K11)</f>
        <v>29.5815914518005982</v>
      </c>
      <c r="K11" s="45">
        <f>1/(1/I11+1/K6)</f>
        <v>908.153257721671025</v>
      </c>
      <c r="L11" s="40" t="s">
        <v>103</v>
      </c>
      <c r="M11" s="40" t="s">
        <v>103</v>
      </c>
      <c r="N11" s="40" t="s">
        <v>103</v>
      </c>
      <c r="O11" s="40" t="s">
        <v>103</v>
      </c>
      <c r="P11" s="40" t="s">
        <v>103</v>
      </c>
      <c r="Q11" s="44">
        <f>10*LOG10(HARMEAN(K11,P6)/2)</f>
        <v>29.3924152546469983</v>
      </c>
    </row>
    <row r="12" spans="1:17" ht="13.45">
      <c r="A12" s="37" t="s">
        <v>111</v>
      </c>
      <c r="B12" s="30"/>
      <c r="C12" s="30"/>
      <c r="D12" s="38">
        <f>-Parámetros!C16</f>
        <v>-10</v>
      </c>
      <c r="E12" s="38">
        <f>D12+E11</f>
        <v>-7.79999999999999982</v>
      </c>
      <c r="F12" s="31"/>
      <c r="G12" s="38"/>
      <c r="H12" s="38"/>
      <c r="I12" s="38"/>
      <c r="J12" s="38"/>
      <c r="K12" s="38"/>
      <c r="L12" s="30"/>
      <c r="M12" s="30"/>
      <c r="N12" s="30"/>
      <c r="O12" s="30"/>
      <c r="P12" s="30"/>
      <c r="Q12" s="44"/>
    </row>
    <row r="13" spans="1:17" ht="13.45">
      <c r="A13" s="37" t="s">
        <v>112</v>
      </c>
      <c r="B13" s="30"/>
      <c r="C13" s="30"/>
      <c r="D13" s="38">
        <f>-Parámetros!C16</f>
        <v>-10</v>
      </c>
      <c r="E13" s="42">
        <f>D13+E12</f>
        <v>-17.8000000000000007</v>
      </c>
      <c r="F13" s="43">
        <f>Parámetros!C29</f>
        <v>-17.5199999999999996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44"/>
    </row>
    <row r="14" spans="1:17" ht="13.45">
      <c r="A14" s="37" t="s">
        <v>105</v>
      </c>
      <c r="B14" s="30"/>
      <c r="C14" s="30"/>
      <c r="D14" s="38">
        <f>Parámetros!C27</f>
        <v>21.5</v>
      </c>
      <c r="E14" s="38">
        <f>D14+E13</f>
        <v>3.70000000000000018</v>
      </c>
      <c r="F14" s="31"/>
      <c r="G14" s="30">
        <f>Parámetros!C30</f>
        <v>6</v>
      </c>
      <c r="H14" s="45">
        <f>E13+158.9-10*LOG10(Parámetros!C13*10^9)-G14</f>
        <v>34.1308998699189985</v>
      </c>
      <c r="I14" s="45">
        <f>10^(H14/10)</f>
        <v>2588.74925543677</v>
      </c>
      <c r="J14" s="45">
        <f>10*LOG10(K14)</f>
        <v>28.2756560697959998</v>
      </c>
      <c r="K14" s="45">
        <f>1/(1/I14+1/K11)</f>
        <v>672.303863462980985</v>
      </c>
      <c r="L14" s="47">
        <f>(2/3)^3*Parámetros!C56*(Parámetros!C57)^2*'No linealidades'!D4*(10^(E15/10)*0.001)^2*LOG10(PI()^2*ABS(Parámetros!C58*10^(-24))*'No linealidades'!D4*(Parámetros!C59)^2*Parámetros!C60^2)/(PI()*ABS(Parámetros!C58*10^(-24))*Parámetros!C60^3)*Parámetros!C13*10^9</f>
        <v>0.0000198567916340000004</v>
      </c>
      <c r="M14" s="48">
        <f>10*LOG10(N14)</f>
        <v>47.020909214101799</v>
      </c>
      <c r="N14" s="49">
        <f>1/L14</f>
        <v>50360.6029831998967</v>
      </c>
      <c r="O14" s="48">
        <f>10*LOG10(P14)</f>
        <v>41.6189657843652014</v>
      </c>
      <c r="P14" s="50">
        <f>HARMEAN(N6,N14)/2</f>
        <v>14517.6585732632993</v>
      </c>
      <c r="Q14" s="44">
        <f>10*LOG10(HARMEAN(K14,P14)/2)</f>
        <v>28.0790548551928012</v>
      </c>
    </row>
    <row r="15" spans="1:17" ht="13.45">
      <c r="A15" s="37" t="s">
        <v>106</v>
      </c>
      <c r="B15" s="30"/>
      <c r="C15" s="30"/>
      <c r="D15" s="38">
        <f>-(E14-Parámetros!I30)</f>
        <v>-1.19999999999999996</v>
      </c>
      <c r="E15" s="38">
        <f>D15+E14</f>
        <v>2.5</v>
      </c>
      <c r="F15" s="37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44"/>
    </row>
    <row r="16" spans="1:17" ht="13.45">
      <c r="A16" s="53" t="s">
        <v>107</v>
      </c>
      <c r="B16" s="54" t="n">
        <v>13</v>
      </c>
      <c r="C16" s="54">
        <f>Parámetros!C41</f>
        <v>0.185</v>
      </c>
      <c r="D16" s="54">
        <f>-B16*C16</f>
        <v>-2.4049999999999998</v>
      </c>
      <c r="E16" s="54">
        <f>D16+E15</f>
        <v>0.095</v>
      </c>
      <c r="F16" s="53" t="str">
        <f>IF(E16&gt;=Parámetros!C18,"V","F")</f>
        <v>V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44"/>
    </row>
    <row r="17" spans="1:17" ht="13.45">
      <c r="A17" s="33" t="s">
        <v>113</v>
      </c>
      <c r="B17" s="34"/>
      <c r="C17" s="34"/>
      <c r="D17" s="34"/>
      <c r="E17" s="34"/>
      <c r="F17" s="35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44"/>
    </row>
    <row r="18" spans="1:17" ht="13.45">
      <c r="A18" s="37" t="s">
        <v>109</v>
      </c>
      <c r="B18" s="30"/>
      <c r="C18" s="30"/>
      <c r="D18" s="38">
        <f>-(E16+Parámetros!H18)</f>
        <v>-18.8949999999999996</v>
      </c>
      <c r="E18" s="42">
        <f>E16+D18</f>
        <v>-18.8000000000000007</v>
      </c>
      <c r="F18" s="56">
        <f>Parámetros!C22</f>
        <v>-18.0199999999999996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44"/>
    </row>
    <row r="19" spans="1:17" ht="13.45">
      <c r="A19" s="37" t="s">
        <v>110</v>
      </c>
      <c r="B19" s="30"/>
      <c r="C19" s="30"/>
      <c r="D19" s="38">
        <f>Parámetros!C20</f>
        <v>21</v>
      </c>
      <c r="E19" s="38">
        <f>D19+E18</f>
        <v>2.20000000000000018</v>
      </c>
      <c r="F19" s="31"/>
      <c r="G19" s="38">
        <f>Parámetros!C23</f>
        <v>5.5</v>
      </c>
      <c r="H19" s="57">
        <f>E18+158.9-10*LOG10(Parámetros!C13*10^9)-G19</f>
        <v>33.6308998699189985</v>
      </c>
      <c r="I19" s="57">
        <f>10^(H19/10)</f>
        <v>2307.22520250104981</v>
      </c>
      <c r="J19" s="57">
        <f>10*LOG10(K19)</f>
        <v>27.1650796755138018</v>
      </c>
      <c r="K19" s="57">
        <f>1/(1/I19+1/K14)</f>
        <v>520.604559706988994</v>
      </c>
      <c r="L19" s="40" t="s">
        <v>103</v>
      </c>
      <c r="M19" s="40" t="s">
        <v>103</v>
      </c>
      <c r="N19" s="40" t="s">
        <v>103</v>
      </c>
      <c r="O19" s="40" t="s">
        <v>103</v>
      </c>
      <c r="P19" s="40" t="s">
        <v>103</v>
      </c>
      <c r="Q19" s="44">
        <f>10*LOG10(HARMEAN(K19,P14)/2)</f>
        <v>27.0120686633635998</v>
      </c>
    </row>
    <row r="20" spans="1:17" ht="13.45">
      <c r="A20" s="37" t="s">
        <v>111</v>
      </c>
      <c r="B20" s="30"/>
      <c r="C20" s="30"/>
      <c r="D20" s="38">
        <f>-Parámetros!C16</f>
        <v>-10</v>
      </c>
      <c r="E20" s="38">
        <f>D20+E19</f>
        <v>-7.79999999999999982</v>
      </c>
      <c r="F20" s="31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44"/>
    </row>
    <row r="21" spans="1:17" ht="13.45">
      <c r="A21" s="37" t="s">
        <v>112</v>
      </c>
      <c r="B21" s="30"/>
      <c r="C21" s="30"/>
      <c r="D21" s="38">
        <f>-Parámetros!C16</f>
        <v>-10</v>
      </c>
      <c r="E21" s="42">
        <f>D21+E20</f>
        <v>-17.8000000000000007</v>
      </c>
      <c r="F21" s="43">
        <f>Parámetros!C29</f>
        <v>-17.5199999999999996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44"/>
    </row>
    <row r="22" spans="1:17" ht="13.45">
      <c r="A22" s="37" t="s">
        <v>105</v>
      </c>
      <c r="B22" s="30"/>
      <c r="C22" s="30"/>
      <c r="D22" s="38">
        <f>Parámetros!C27</f>
        <v>21.5</v>
      </c>
      <c r="E22" s="38">
        <f>D22+E21</f>
        <v>3.70000000000000018</v>
      </c>
      <c r="F22" s="37"/>
      <c r="G22" s="30">
        <f>Parámetros!C30</f>
        <v>6</v>
      </c>
      <c r="H22" s="45">
        <f>E21+158.9-10*LOG10(Parámetros!C13*10^9)-G22</f>
        <v>34.1308998699189985</v>
      </c>
      <c r="I22" s="45">
        <f>10^(H22/10)</f>
        <v>2588.74925543677</v>
      </c>
      <c r="J22" s="45">
        <f>10*LOG10(K22)</f>
        <v>26.3692781107147987</v>
      </c>
      <c r="K22" s="45">
        <f>1/(1/I22+1/K19)</f>
        <v>433.438825698993014</v>
      </c>
      <c r="L22" s="47">
        <f>(2/3)^3*Parámetros!C56*(Parámetros!C57)^2*'No linealidades'!D5*(10^(E23/10)*0.001)^2*LOG10(PI()^2*ABS(Parámetros!C58*10^(-24))*'No linealidades'!D5*(Parámetros!C59)^2*Parámetros!C60^2)/(PI()*ABS(Parámetros!C58*10^(-24))*Parámetros!C60^3)*Parámetros!C13*10^9</f>
        <v>0.0000476647922199999918</v>
      </c>
      <c r="M22" s="58">
        <f>10*LOG10(N22)</f>
        <v>43.2180229581091027</v>
      </c>
      <c r="N22" s="58">
        <f>1/L22</f>
        <v>20979.8459916585016</v>
      </c>
      <c r="O22" s="58">
        <f>10*LOG10(P22)</f>
        <v>39.3350105053815966</v>
      </c>
      <c r="P22" s="59">
        <f>HARMEAN(N6,N14,N22)/3</f>
        <v>8580.27190247974067</v>
      </c>
      <c r="Q22" s="44">
        <f>10*LOG10(HARMEAN(K22,P22)/2)</f>
        <v>26.1552524521343983</v>
      </c>
    </row>
    <row r="23" spans="1:17" ht="13.45">
      <c r="A23" s="37" t="s">
        <v>106</v>
      </c>
      <c r="B23" s="30"/>
      <c r="C23" s="30"/>
      <c r="D23" s="38">
        <f>-(E22-Parámetros!I30)</f>
        <v>-1.19999999999999996</v>
      </c>
      <c r="E23" s="38">
        <f>D23+E22</f>
        <v>2.5</v>
      </c>
      <c r="F23" s="31"/>
      <c r="G23" s="38"/>
      <c r="H23" s="38"/>
      <c r="I23" s="38"/>
      <c r="J23" s="38"/>
      <c r="K23" s="38"/>
      <c r="L23" s="52"/>
      <c r="M23" s="38"/>
      <c r="N23" s="38"/>
      <c r="O23" s="38"/>
      <c r="P23" s="38"/>
      <c r="Q23" s="44"/>
    </row>
    <row r="24" spans="1:17" ht="13.45">
      <c r="A24" s="53" t="s">
        <v>107</v>
      </c>
      <c r="B24" s="54" t="n">
        <v>67</v>
      </c>
      <c r="C24" s="54">
        <f>Parámetros!C41</f>
        <v>0.185</v>
      </c>
      <c r="D24" s="54">
        <f>-B24*C24</f>
        <v>-12.3949999999999996</v>
      </c>
      <c r="E24" s="54">
        <f>D24+E23</f>
        <v>-9.89499999999999957</v>
      </c>
      <c r="F24" s="53" t="str">
        <f>IF(E24&gt;=Parámetros!C18,"V","F")</f>
        <v>V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44"/>
    </row>
    <row r="25" spans="1:17" ht="13.45">
      <c r="A25" s="33" t="s">
        <v>114</v>
      </c>
      <c r="B25" s="34"/>
      <c r="C25" s="34"/>
      <c r="D25" s="34"/>
      <c r="E25" s="34"/>
      <c r="F25" s="35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44"/>
    </row>
    <row r="26" spans="1:17" ht="13.45">
      <c r="A26" s="37" t="s">
        <v>109</v>
      </c>
      <c r="B26" s="30"/>
      <c r="C26" s="30"/>
      <c r="D26" s="38">
        <f>-(E24+Parámetros!H18)</f>
        <v>-8.90499999999999936</v>
      </c>
      <c r="E26" s="42">
        <f>E24+D26</f>
        <v>-18.8000000000000007</v>
      </c>
      <c r="F26" s="56">
        <f>Parámetros!C22</f>
        <v>-18.0199999999999996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44"/>
    </row>
    <row r="27" spans="1:17" ht="13.45">
      <c r="A27" s="37" t="s">
        <v>110</v>
      </c>
      <c r="B27" s="30"/>
      <c r="C27" s="30"/>
      <c r="D27" s="38">
        <f>Parámetros!C20</f>
        <v>21</v>
      </c>
      <c r="E27" s="38">
        <f>D27+E26</f>
        <v>2.20000000000000018</v>
      </c>
      <c r="F27" s="31"/>
      <c r="G27" s="38">
        <f>Parámetros!C23</f>
        <v>5.5</v>
      </c>
      <c r="H27" s="57">
        <f>E26+158.9-10*LOG10(Parámetros!C13*10^9)-G27</f>
        <v>33.6308998699189985</v>
      </c>
      <c r="I27" s="57">
        <f>10^(H27/10)</f>
        <v>2307.22520250104981</v>
      </c>
      <c r="J27" s="57">
        <f>10*LOG10(K27)</f>
        <v>25.6216199843841004</v>
      </c>
      <c r="K27" s="57">
        <f>1/(1/I27+1/K22)</f>
        <v>364.890031067344978</v>
      </c>
      <c r="L27" s="40" t="s">
        <v>103</v>
      </c>
      <c r="M27" s="40" t="s">
        <v>103</v>
      </c>
      <c r="N27" s="40" t="s">
        <v>103</v>
      </c>
      <c r="O27" s="40" t="s">
        <v>103</v>
      </c>
      <c r="P27" s="40" t="s">
        <v>103</v>
      </c>
      <c r="Q27" s="44">
        <f>10*LOG10(HARMEAN(K27,P22)/2)</f>
        <v>25.4407484200394016</v>
      </c>
    </row>
    <row r="28" spans="1:17" ht="13.45">
      <c r="A28" s="37" t="s">
        <v>111</v>
      </c>
      <c r="B28" s="30"/>
      <c r="C28" s="30"/>
      <c r="D28" s="38">
        <f>-Parámetros!C16</f>
        <v>-10</v>
      </c>
      <c r="E28" s="38">
        <f>D28+E27</f>
        <v>-7.79999999999999982</v>
      </c>
      <c r="F28" s="3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44"/>
    </row>
    <row r="29" spans="1:17" ht="13.45">
      <c r="A29" s="37" t="s">
        <v>112</v>
      </c>
      <c r="B29" s="30"/>
      <c r="C29" s="30"/>
      <c r="D29" s="38">
        <f>-Parámetros!C16</f>
        <v>-10</v>
      </c>
      <c r="E29" s="42">
        <f>D29+E28</f>
        <v>-17.8000000000000007</v>
      </c>
      <c r="F29" s="43">
        <f>Parámetros!C29</f>
        <v>-17.5199999999999996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44"/>
    </row>
    <row r="30" spans="1:17" ht="13.45">
      <c r="A30" s="37" t="s">
        <v>105</v>
      </c>
      <c r="B30" s="30"/>
      <c r="C30" s="30"/>
      <c r="D30" s="38">
        <f>Parámetros!C27</f>
        <v>21.5</v>
      </c>
      <c r="E30" s="38">
        <f>D30+E29</f>
        <v>3.70000000000000018</v>
      </c>
      <c r="F30" s="37"/>
      <c r="G30" s="30">
        <f>Parámetros!C30</f>
        <v>6</v>
      </c>
      <c r="H30" s="45">
        <f>E29+158.9-10*LOG10(Parámetros!C13*10^9)-G30</f>
        <v>34.1308998699189985</v>
      </c>
      <c r="I30" s="45">
        <f>10^(H30/10)</f>
        <v>2588.74925543677</v>
      </c>
      <c r="J30" s="60">
        <f>10*LOG10(K30)</f>
        <v>25.0489452947345015</v>
      </c>
      <c r="K30" s="45">
        <f>1/(1/I30+1/K27)</f>
        <v>319.811833678576022</v>
      </c>
      <c r="L30" s="47">
        <f>(2/3)^3*Parámetros!C56*(Parámetros!C57)^2*'No linealidades'!D6*(10^(E31/10)*0.001)^2*LOG10(PI()^2*ABS(Parámetros!C58*10^(-24))*'No linealidades'!D6*(Parámetros!C59)^2*Parámetros!C60^2)/(PI()*ABS(Parámetros!C58*10^(-24))*Parámetros!C60^3)*Parámetros!C13*10^9</f>
        <v>0.0000379165975159999924</v>
      </c>
      <c r="M30" s="58">
        <f>10*LOG10(N30)</f>
        <v>44.2117064143747029</v>
      </c>
      <c r="N30" s="58">
        <f>1/L30</f>
        <v>26373.6744727166006</v>
      </c>
      <c r="O30" s="58">
        <f>10*LOG10(P30)</f>
        <v>38.1117547635124012</v>
      </c>
      <c r="P30" s="59">
        <f>HARMEAN(N6,N14,N22,N30)/4</f>
        <v>6474.04146056530044</v>
      </c>
      <c r="Q30" s="44">
        <f>10*LOG10(HARMEAN(K30,P30)/2)</f>
        <v>24.8395384129897003</v>
      </c>
    </row>
    <row r="31" spans="1:17" ht="13.45">
      <c r="A31" s="37" t="s">
        <v>106</v>
      </c>
      <c r="B31" s="30"/>
      <c r="C31" s="30"/>
      <c r="D31" s="38">
        <f>-(E30-Parámetros!I30)</f>
        <v>-1.19999999999999996</v>
      </c>
      <c r="E31" s="38">
        <f>D31+E30</f>
        <v>2.5</v>
      </c>
      <c r="F31" s="31"/>
      <c r="G31" s="38"/>
      <c r="H31" s="38"/>
      <c r="I31" s="38"/>
      <c r="J31" s="38"/>
      <c r="K31" s="38"/>
      <c r="L31" s="52"/>
      <c r="M31" s="38"/>
      <c r="N31" s="38"/>
      <c r="O31" s="38"/>
      <c r="P31" s="38"/>
      <c r="Q31" s="44"/>
    </row>
    <row r="32" spans="1:17" ht="13.45">
      <c r="A32" s="53" t="s">
        <v>107</v>
      </c>
      <c r="B32" s="54" t="n">
        <v>34</v>
      </c>
      <c r="C32" s="54">
        <f>Parámetros!C41</f>
        <v>0.185</v>
      </c>
      <c r="D32" s="54">
        <f>-B32*C32</f>
        <v>-6.29000000000000004</v>
      </c>
      <c r="E32" s="54">
        <f>D32+E31</f>
        <v>-3.79000000000000004</v>
      </c>
      <c r="F32" s="53" t="str">
        <f>IF(E32&gt;=Parámetros!C18,"V","F")</f>
        <v>V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4"/>
    </row>
    <row r="33" spans="1:17" ht="13.45">
      <c r="A33" s="33" t="s">
        <v>115</v>
      </c>
      <c r="B33" s="34"/>
      <c r="C33" s="34"/>
      <c r="D33" s="34"/>
      <c r="E33" s="34"/>
      <c r="F33" s="35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44"/>
    </row>
    <row r="34" spans="1:17" ht="13.45">
      <c r="A34" s="37" t="s">
        <v>109</v>
      </c>
      <c r="B34" s="30"/>
      <c r="C34" s="30"/>
      <c r="D34" s="38">
        <f>-(E32+Parámetros!H18)</f>
        <v>-15.0099999999999998</v>
      </c>
      <c r="E34" s="42">
        <f>D34+E32</f>
        <v>-18.8000000000000007</v>
      </c>
      <c r="F34" s="56">
        <f>Parámetros!C22</f>
        <v>-18.0199999999999996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44"/>
    </row>
    <row r="35" spans="1:17" ht="13.45">
      <c r="A35" s="37" t="s">
        <v>110</v>
      </c>
      <c r="B35" s="30"/>
      <c r="C35" s="30"/>
      <c r="D35" s="38">
        <f>Parámetros!C20</f>
        <v>21</v>
      </c>
      <c r="E35" s="38">
        <f>D35+E34</f>
        <v>2.20000000000000018</v>
      </c>
      <c r="F35" s="31"/>
      <c r="G35" s="38">
        <f>Parámetros!C23</f>
        <v>5.5</v>
      </c>
      <c r="H35" s="57">
        <f>E34+158.9-10*LOG10(Parámetros!C13*10^9)-G35</f>
        <v>33.6308998699189985</v>
      </c>
      <c r="I35" s="57">
        <f>10^(H35/10)</f>
        <v>2307.22520250104981</v>
      </c>
      <c r="J35" s="57">
        <f>10*LOG10(K35)</f>
        <v>24.4851832091752009</v>
      </c>
      <c r="K35" s="57">
        <f>1/(1/I35+1/K30)</f>
        <v>280.878386014033993</v>
      </c>
      <c r="L35" s="40" t="s">
        <v>103</v>
      </c>
      <c r="M35" s="40" t="s">
        <v>103</v>
      </c>
      <c r="N35" s="40" t="s">
        <v>103</v>
      </c>
      <c r="O35" s="40" t="s">
        <v>103</v>
      </c>
      <c r="P35" s="40" t="s">
        <v>103</v>
      </c>
      <c r="Q35" s="44">
        <f>10*LOG10(HARMEAN(K35,P30)/2)</f>
        <v>24.3007359718899991</v>
      </c>
    </row>
    <row r="36" spans="1:17" ht="13.45">
      <c r="A36" s="37" t="s">
        <v>111</v>
      </c>
      <c r="B36" s="30"/>
      <c r="C36" s="30"/>
      <c r="D36" s="38">
        <f>-Parámetros!C16</f>
        <v>-10</v>
      </c>
      <c r="E36" s="38">
        <f>D36+E35</f>
        <v>-7.79999999999999982</v>
      </c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44"/>
    </row>
    <row r="37" spans="1:17" ht="13.45">
      <c r="A37" s="37" t="s">
        <v>112</v>
      </c>
      <c r="B37" s="30"/>
      <c r="C37" s="30"/>
      <c r="D37" s="38">
        <f>-Parámetros!C16</f>
        <v>-10</v>
      </c>
      <c r="E37" s="42">
        <f>D37+E36</f>
        <v>-17.8000000000000007</v>
      </c>
      <c r="F37" s="43">
        <f>Parámetros!C29</f>
        <v>-17.5199999999999996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44"/>
    </row>
    <row r="38" spans="1:17" ht="13.45">
      <c r="A38" s="37" t="s">
        <v>105</v>
      </c>
      <c r="B38" s="30"/>
      <c r="C38" s="30"/>
      <c r="D38" s="38">
        <f>Parámetros!C27</f>
        <v>21.5</v>
      </c>
      <c r="E38" s="38">
        <f>D38+E37</f>
        <v>3.70000000000000018</v>
      </c>
      <c r="F38" s="37"/>
      <c r="G38" s="30">
        <f>Parámetros!C30</f>
        <v>6</v>
      </c>
      <c r="H38" s="45">
        <f>E37+158.9-10*LOG10(Parámetros!C13*10^9)-G38</f>
        <v>34.1308998699189985</v>
      </c>
      <c r="I38" s="45">
        <f>10^(H38/10)</f>
        <v>2588.74925543677</v>
      </c>
      <c r="J38" s="45">
        <f>10*LOG10(K38)</f>
        <v>24.0378276091573007</v>
      </c>
      <c r="K38" s="45">
        <f>1/(1/I38+1/K35)</f>
        <v>253.38608471674101</v>
      </c>
      <c r="L38" s="47">
        <f>(2/3)^3*Parámetros!C56*(Parámetros!C57)^2*'No linealidades'!D7*(10^(E39/10)*0.001)^2*LOG10(PI()^2*ABS(Parámetros!C58*10^(-24))*'No linealidades'!D7*(Parámetros!C59)^2*Parámetros!C60^2)/(PI()*ABS(Parámetros!C58*10^(-24))*Parámetros!C60^3)*Parámetros!C13*10^9</f>
        <v>0.0000486830359330000029</v>
      </c>
      <c r="M38" s="58">
        <f>10*LOG10(N38)</f>
        <v>43.1262234646832994</v>
      </c>
      <c r="N38" s="58">
        <f>1/L38</f>
        <v>20541.0361296334995</v>
      </c>
      <c r="O38" s="58">
        <f>10*LOG10(P38)</f>
        <v>37.1426546334319028</v>
      </c>
      <c r="P38" s="59">
        <f>HARMEAN(N6,N14,N22,N30)/5</f>
        <v>5179.23316845223962</v>
      </c>
      <c r="Q38" s="44">
        <f>10*LOG10(HARMEAN(K38,P38)/2)</f>
        <v>23.8303895582414</v>
      </c>
    </row>
    <row r="39" spans="1:17" ht="13.45">
      <c r="A39" s="37" t="s">
        <v>106</v>
      </c>
      <c r="B39" s="30"/>
      <c r="C39" s="30"/>
      <c r="D39" s="38">
        <f>-(E38-Parámetros!I30)</f>
        <v>-1.19999999999999996</v>
      </c>
      <c r="E39" s="38">
        <f>D39+E38</f>
        <v>2.5</v>
      </c>
      <c r="F39" s="31"/>
      <c r="G39" s="38"/>
      <c r="H39" s="38"/>
      <c r="I39" s="38"/>
      <c r="J39" s="38"/>
      <c r="K39" s="38"/>
      <c r="L39" s="52"/>
      <c r="M39" s="38"/>
      <c r="N39" s="38"/>
      <c r="O39" s="38"/>
      <c r="P39" s="38"/>
      <c r="Q39" s="44"/>
    </row>
    <row r="40" spans="1:17" ht="13.45">
      <c r="A40" s="53" t="s">
        <v>107</v>
      </c>
      <c r="B40" s="54" t="n">
        <v>76</v>
      </c>
      <c r="C40" s="54">
        <f>Parámetros!C41</f>
        <v>0.185</v>
      </c>
      <c r="D40" s="54">
        <f>-B40*C40</f>
        <v>-14.0600000000000005</v>
      </c>
      <c r="E40" s="54">
        <f>D40+E39</f>
        <v>-11.5600000000000005</v>
      </c>
      <c r="F40" s="53" t="str">
        <f>IF(E40&gt;=Parámetros!C18,"V","F")</f>
        <v>V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44"/>
    </row>
    <row r="41" spans="1:17" ht="13.45">
      <c r="A41" s="33" t="s">
        <v>116</v>
      </c>
      <c r="B41" s="34"/>
      <c r="C41" s="34"/>
      <c r="D41" s="34"/>
      <c r="E41" s="34"/>
      <c r="F41" s="3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4"/>
    </row>
    <row r="42" spans="1:17" ht="13.45">
      <c r="A42" s="37" t="s">
        <v>109</v>
      </c>
      <c r="B42" s="30"/>
      <c r="C42" s="30"/>
      <c r="D42" s="38">
        <f>-(E40+Parámetros!H18)</f>
        <v>-7.24000000000000021</v>
      </c>
      <c r="E42" s="42">
        <f>E40+D42</f>
        <v>-18.8000000000000007</v>
      </c>
      <c r="F42" s="56">
        <f>Parámetros!C22</f>
        <v>-18.0199999999999996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44"/>
    </row>
    <row r="43" spans="1:17" ht="13.45">
      <c r="A43" s="37" t="s">
        <v>110</v>
      </c>
      <c r="B43" s="30"/>
      <c r="C43" s="30"/>
      <c r="D43" s="38">
        <f>Parámetros!C20</f>
        <v>21</v>
      </c>
      <c r="E43" s="38">
        <f>D43+E42</f>
        <v>2.20000000000000018</v>
      </c>
      <c r="F43" s="31"/>
      <c r="G43" s="38">
        <f>Parámetros!C23</f>
        <v>5.5</v>
      </c>
      <c r="H43" s="57">
        <f>E42+158.9-10*LOG10(Parámetros!C13*10^9)-G43</f>
        <v>33.6308998699189985</v>
      </c>
      <c r="I43" s="57">
        <f>10^(H43/10)</f>
        <v>2307.22520250104981</v>
      </c>
      <c r="J43" s="57">
        <f>10*LOG10(K43)</f>
        <v>23.5852909237130994</v>
      </c>
      <c r="K43" s="57">
        <f>1/(1/I43+1/K38)</f>
        <v>228.312186054878993</v>
      </c>
      <c r="L43" s="40" t="s">
        <v>103</v>
      </c>
      <c r="M43" s="40" t="s">
        <v>103</v>
      </c>
      <c r="N43" s="40" t="s">
        <v>103</v>
      </c>
      <c r="O43" s="40" t="s">
        <v>103</v>
      </c>
      <c r="P43" s="40" t="s">
        <v>103</v>
      </c>
      <c r="Q43" s="44">
        <f>10*LOG10(HARMEAN(K43,P38)/2)</f>
        <v>23.3979438504589012</v>
      </c>
    </row>
    <row r="44" spans="1:17" ht="13.45">
      <c r="A44" s="37" t="s">
        <v>111</v>
      </c>
      <c r="B44" s="30"/>
      <c r="C44" s="30"/>
      <c r="D44" s="38">
        <f>-Parámetros!C16</f>
        <v>-10</v>
      </c>
      <c r="E44" s="38">
        <f>D44+E43</f>
        <v>-7.79999999999999982</v>
      </c>
      <c r="F44" s="31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44"/>
    </row>
    <row r="45" spans="1:17" ht="13.45">
      <c r="A45" s="37" t="s">
        <v>112</v>
      </c>
      <c r="B45" s="30"/>
      <c r="C45" s="30"/>
      <c r="D45" s="38">
        <f>-Parámetros!C16</f>
        <v>-10</v>
      </c>
      <c r="E45" s="42">
        <f>D45+E44</f>
        <v>-17.8000000000000007</v>
      </c>
      <c r="F45" s="43">
        <f>Parámetros!C29</f>
        <v>-17.5199999999999996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44"/>
    </row>
    <row r="46" spans="1:19" ht="13.45">
      <c r="A46" s="37" t="s">
        <v>105</v>
      </c>
      <c r="B46" s="30"/>
      <c r="C46" s="30"/>
      <c r="D46" s="38">
        <f>Parámetros!C27</f>
        <v>21.5</v>
      </c>
      <c r="E46" s="38">
        <f>D46+E45</f>
        <v>3.70000000000000018</v>
      </c>
      <c r="F46" s="37"/>
      <c r="G46" s="30">
        <f>Parámetros!C30</f>
        <v>6</v>
      </c>
      <c r="H46" s="45">
        <f>E45+158.9-10*LOG10(Parámetros!C13*10^9)-G46</f>
        <v>34.1308998699189985</v>
      </c>
      <c r="I46" s="45">
        <f>10^(H46/10)</f>
        <v>2588.74925543677</v>
      </c>
      <c r="J46" s="45">
        <f>10*LOG10(K46)</f>
        <v>23.2182276009850987</v>
      </c>
      <c r="K46" s="45">
        <f>1/(1/I46+1/K43)</f>
        <v>209.808346013134013</v>
      </c>
      <c r="L46" s="47">
        <f>(2/3)^3*Parámetros!C56*(Parámetros!C57)^2*'No linealidades'!D8*(10^(E47/10)*0.001)^2*LOG10(PI()^2*ABS(Parámetros!C58*10^(-24))*'No linealidades'!D8*(Parámetros!C59)^2*Parámetros!C60^2)/(PI()*ABS(Parámetros!C58*10^(-24))*Parámetros!C60^3)*Parámetros!C13*10^9</f>
        <v>0.0000491015971309999966</v>
      </c>
      <c r="M46" s="58">
        <f>10*LOG10(N46)</f>
        <v>43.0890438132104023</v>
      </c>
      <c r="N46" s="58">
        <f>1/L46</f>
        <v>20365.9363122559989</v>
      </c>
      <c r="O46" s="58">
        <f>10*LOG10(P46)</f>
        <v>36.1211645978288018</v>
      </c>
      <c r="P46" s="59">
        <f>HARMEAN(N6,N14,N22,N30,N46)/6</f>
        <v>4093.70421195266999</v>
      </c>
      <c r="Q46" s="61">
        <f>10*LOG10(HARMEAN(K46,P46)/2)</f>
        <v>23.0011614527466008</v>
      </c>
      <c r="R46" s="62" t="s">
        <v>117</v>
      </c>
      <c r="S46" s="63"/>
    </row>
    <row r="47" spans="1:17" ht="13.45">
      <c r="A47" s="37" t="s">
        <v>106</v>
      </c>
      <c r="B47" s="30"/>
      <c r="C47" s="30"/>
      <c r="D47" s="38">
        <f>-(E46-Parámetros!I30)</f>
        <v>-1.19999999999999996</v>
      </c>
      <c r="E47" s="38">
        <f>D47+E46</f>
        <v>2.5</v>
      </c>
      <c r="F47" s="31"/>
      <c r="G47" s="38"/>
      <c r="H47" s="38"/>
      <c r="I47" s="38"/>
      <c r="J47" s="38"/>
      <c r="K47" s="38"/>
      <c r="L47" s="52"/>
      <c r="M47" s="38"/>
      <c r="N47" s="38"/>
      <c r="O47" s="38"/>
      <c r="P47" s="38"/>
      <c r="Q47" s="44"/>
    </row>
    <row r="48" spans="1:17" ht="13.45">
      <c r="A48" s="53" t="s">
        <v>107</v>
      </c>
      <c r="B48" s="54" t="n">
        <v>81</v>
      </c>
      <c r="C48" s="54">
        <f>Parámetros!C41</f>
        <v>0.185</v>
      </c>
      <c r="D48" s="54">
        <f>-B48*C48</f>
        <v>-14.9849999999999994</v>
      </c>
      <c r="E48" s="54">
        <f>D48+E47</f>
        <v>-12.4849999999999994</v>
      </c>
      <c r="F48" s="53" t="str">
        <f>IF(E48&gt;=Parámetros!C18,"V","F")</f>
        <v>V</v>
      </c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44"/>
    </row>
    <row r="49" spans="1:17" ht="13.45">
      <c r="A49" s="33" t="s">
        <v>118</v>
      </c>
      <c r="B49" s="34"/>
      <c r="C49" s="34"/>
      <c r="D49" s="34"/>
      <c r="E49" s="34"/>
      <c r="F49" s="35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44"/>
    </row>
    <row r="50" spans="1:17" ht="13.45">
      <c r="A50" s="37" t="s">
        <v>109</v>
      </c>
      <c r="B50" s="30"/>
      <c r="C50" s="30"/>
      <c r="D50" s="38">
        <f>-(E48+Parámetros!H18)</f>
        <v>-6.31500000000000039</v>
      </c>
      <c r="E50" s="42">
        <f>E48+D50</f>
        <v>-18.8000000000000007</v>
      </c>
      <c r="F50" s="56">
        <f>Parámetros!C22</f>
        <v>-18.0199999999999996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64"/>
    </row>
    <row r="51" spans="1:17" ht="13.45">
      <c r="A51" s="37" t="s">
        <v>110</v>
      </c>
      <c r="B51" s="30"/>
      <c r="C51" s="30"/>
      <c r="D51" s="38">
        <f>Parámetros!C20</f>
        <v>21</v>
      </c>
      <c r="E51" s="38">
        <f>D51+E50</f>
        <v>2.20000000000000018</v>
      </c>
      <c r="F51" s="31"/>
      <c r="G51" s="38">
        <f>Parámetros!C23</f>
        <v>5.5</v>
      </c>
      <c r="H51" s="38">
        <f>E50+158.9-10*LOG10(Parámetros!C13*10^9)-G51</f>
        <v>33.6308998699189985</v>
      </c>
      <c r="I51" s="38">
        <f>10^(H51/10)</f>
        <v>2307.22520250104981</v>
      </c>
      <c r="J51" s="38">
        <f>10*LOG10(K51)</f>
        <v>22.8402374296932997</v>
      </c>
      <c r="K51" s="117">
        <f>1/(1/I51+1/K46)</f>
        <v>192.319686760746009</v>
      </c>
      <c r="L51" s="40" t="s">
        <v>103</v>
      </c>
      <c r="M51" s="40" t="s">
        <v>103</v>
      </c>
      <c r="N51" s="40" t="s">
        <v>103</v>
      </c>
      <c r="O51" s="40" t="s">
        <v>103</v>
      </c>
      <c r="P51" s="40" t="s">
        <v>103</v>
      </c>
      <c r="Q51" s="44">
        <f>10*LOG10(HARMEAN(K51,P46)/2)</f>
        <v>22.6408561442941014</v>
      </c>
    </row>
    <row r="52" spans="1:17" ht="13.45">
      <c r="A52" s="37" t="s">
        <v>119</v>
      </c>
      <c r="B52" s="30"/>
      <c r="C52" s="30"/>
      <c r="D52" s="38">
        <f>-Parámetros!C16</f>
        <v>-10</v>
      </c>
      <c r="E52" s="38">
        <f>D52+E51</f>
        <v>-7.79999999999999982</v>
      </c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64"/>
    </row>
    <row r="53" spans="1:17" ht="13.45">
      <c r="A53" s="37" t="s">
        <v>102</v>
      </c>
      <c r="B53" s="30"/>
      <c r="C53" s="30"/>
      <c r="D53" s="30"/>
      <c r="E53" s="38">
        <f>E52</f>
        <v>-7.79999999999999982</v>
      </c>
      <c r="F53" s="37" t="str">
        <f>IF(E53&gt;=Parámetros!C7,"V","F")</f>
        <v>V</v>
      </c>
      <c r="G53" s="30"/>
      <c r="H53" s="30"/>
      <c r="I53" s="30"/>
      <c r="J53" s="38"/>
      <c r="K53" s="38"/>
      <c r="L53" s="30"/>
      <c r="M53" s="30"/>
      <c r="N53" s="30"/>
      <c r="O53" s="38"/>
      <c r="P53" s="38"/>
      <c r="Q53" s="65"/>
    </row>
    <row r="54" spans="1:18" ht="13.45">
      <c r="A54" s="31"/>
      <c r="B54" s="30"/>
      <c r="C54" s="30"/>
      <c r="D54" s="30"/>
      <c r="E54" s="30"/>
      <c r="F54" s="66" t="s">
        <v>120</v>
      </c>
      <c r="G54" s="67"/>
      <c r="H54" s="67"/>
      <c r="I54" s="67"/>
      <c r="J54" s="68">
        <f>J51</f>
        <v>22.8402374296932997</v>
      </c>
      <c r="K54" s="69">
        <f>K51</f>
        <v>192.319686760746009</v>
      </c>
      <c r="L54" s="67"/>
      <c r="M54" s="67"/>
      <c r="N54" s="67"/>
      <c r="O54" s="68">
        <f>O46</f>
        <v>36.1211645978288018</v>
      </c>
      <c r="P54" s="68">
        <f>P46</f>
        <v>4093.70421195266999</v>
      </c>
      <c r="Q54" s="70">
        <f>10*LOG10(HARMEAN(K54,P54)/2)</f>
        <v>22.6408561442941014</v>
      </c>
      <c r="R54" s="71" t="s">
        <v>121</v>
      </c>
    </row>
    <row r="55" spans="1:17" ht="13.45">
      <c r="A55" s="31"/>
      <c r="B55" s="30"/>
      <c r="C55" s="30"/>
      <c r="D55" s="30"/>
      <c r="E55" s="30"/>
      <c r="F55" s="66" t="s">
        <v>122</v>
      </c>
      <c r="H55" s="67"/>
      <c r="I55" s="67"/>
      <c r="J55" s="68">
        <f>Parámetros!C10</f>
        <v>23.5</v>
      </c>
      <c r="K55" s="72">
        <f>10^(J55/10)</f>
        <v>223.872113856834005</v>
      </c>
      <c r="L55" s="67"/>
      <c r="M55" s="67"/>
      <c r="N55" s="67"/>
      <c r="O55" s="68"/>
      <c r="P55" s="67"/>
      <c r="Q55" s="73">
        <f>Parámetros!C12</f>
        <v>23.5</v>
      </c>
    </row>
    <row r="57" spans="1:9" ht="13.45">
      <c r="A57" s="74" t="s">
        <v>123</v>
      </c>
      <c r="B57" s="74" t="s">
        <v>124</v>
      </c>
      <c r="C57" s="74" t="s">
        <v>125</v>
      </c>
      <c r="D57" s="74" t="s">
        <v>126</v>
      </c>
      <c r="E57" s="30"/>
      <c r="F57" s="30"/>
      <c r="G57" s="75"/>
      <c r="H57" s="74" t="s">
        <v>123</v>
      </c>
      <c r="I57" s="74" t="s">
        <v>124</v>
      </c>
    </row>
    <row r="58" spans="1:9" ht="13.45">
      <c r="A58" s="76" t="s">
        <v>127</v>
      </c>
      <c r="B58" s="77" t="n">
        <v>18</v>
      </c>
      <c r="C58" s="76" t="n">
        <v>-17</v>
      </c>
      <c r="D58" s="77" t="n">
        <v>12000</v>
      </c>
      <c r="E58" s="30"/>
      <c r="F58" s="30"/>
      <c r="G58" s="75"/>
      <c r="H58" s="77" t="s">
        <v>128</v>
      </c>
      <c r="I58" s="77" t="n">
        <v>17.0899999999999999</v>
      </c>
    </row>
    <row r="59" spans="1:9" ht="13.45">
      <c r="A59" s="78" t="s">
        <v>129</v>
      </c>
      <c r="B59" s="78" t="s">
        <v>85</v>
      </c>
      <c r="C59" s="78" t="s">
        <v>130</v>
      </c>
      <c r="D59" s="78" t="s">
        <v>131</v>
      </c>
      <c r="E59" s="30"/>
      <c r="F59" s="30"/>
      <c r="G59" s="78" t="s">
        <v>85</v>
      </c>
      <c r="H59" s="78" t="s">
        <v>130</v>
      </c>
      <c r="I59" s="78" t="s">
        <v>131</v>
      </c>
    </row>
    <row r="60" spans="1:9" ht="13.45">
      <c r="A60" s="79" t="s">
        <v>132</v>
      </c>
      <c r="B60" s="80" t="n">
        <v>80</v>
      </c>
      <c r="C60" s="79">
        <f>B$58*B60</f>
        <v>1440</v>
      </c>
      <c r="D60" s="80">
        <f>C60</f>
        <v>1440</v>
      </c>
      <c r="E60" s="30"/>
      <c r="F60" s="30"/>
      <c r="G60" s="80" t="n">
        <v>80</v>
      </c>
      <c r="H60" s="80">
        <f>G60*I$58</f>
        <v>1367.20000000000005</v>
      </c>
      <c r="I60" s="80">
        <f>H60</f>
        <v>1367.20000000000005</v>
      </c>
    </row>
    <row r="61" spans="1:9" ht="13.45">
      <c r="A61" s="79" t="s">
        <v>133</v>
      </c>
      <c r="B61" s="80" t="n">
        <v>13</v>
      </c>
      <c r="C61" s="79">
        <f>B$58*B61</f>
        <v>234</v>
      </c>
      <c r="D61" s="80">
        <f>C61+D60</f>
        <v>1674</v>
      </c>
      <c r="E61" s="30"/>
      <c r="F61" s="30"/>
      <c r="G61" s="80" t="n">
        <v>13</v>
      </c>
      <c r="H61" s="80">
        <f>G61*I$58</f>
        <v>222.169999999999987</v>
      </c>
      <c r="I61" s="80">
        <f>H61+I60</f>
        <v>1589.36999999999989</v>
      </c>
    </row>
    <row r="62" spans="1:9" ht="13.45">
      <c r="A62" s="79" t="s">
        <v>134</v>
      </c>
      <c r="B62" s="80" t="n">
        <v>67</v>
      </c>
      <c r="C62" s="79">
        <f>B$58*B62</f>
        <v>1206</v>
      </c>
      <c r="D62" s="80">
        <f>C62+D61</f>
        <v>2880</v>
      </c>
      <c r="E62" s="30"/>
      <c r="F62" s="30"/>
      <c r="G62" s="80" t="n">
        <v>67</v>
      </c>
      <c r="H62" s="80">
        <f>G62*I$58</f>
        <v>1145.02999999999997</v>
      </c>
      <c r="I62" s="80">
        <f>H62+I61</f>
        <v>2734.40000000000009</v>
      </c>
    </row>
    <row r="63" spans="1:9" ht="13.45">
      <c r="A63" s="79" t="s">
        <v>135</v>
      </c>
      <c r="B63" s="80" t="n">
        <v>34</v>
      </c>
      <c r="C63" s="79">
        <f>B$58*B63</f>
        <v>612</v>
      </c>
      <c r="D63" s="80">
        <f>C63+D62</f>
        <v>3492</v>
      </c>
      <c r="E63" s="30"/>
      <c r="F63" s="30"/>
      <c r="G63" s="80" t="n">
        <v>34</v>
      </c>
      <c r="H63" s="80">
        <f>G63*I$58</f>
        <v>581.059999999999945</v>
      </c>
      <c r="I63" s="80">
        <f>H63+I62</f>
        <v>3315.46000000000004</v>
      </c>
    </row>
    <row r="64" spans="1:9" ht="13.45">
      <c r="A64" s="79" t="s">
        <v>136</v>
      </c>
      <c r="B64" s="80" t="n">
        <v>76</v>
      </c>
      <c r="C64" s="79">
        <f>B$58*B64</f>
        <v>1368</v>
      </c>
      <c r="D64" s="80">
        <f>C64+D63</f>
        <v>4860</v>
      </c>
      <c r="E64" s="30"/>
      <c r="F64" s="30"/>
      <c r="G64" s="80" t="n">
        <v>76</v>
      </c>
      <c r="H64" s="80">
        <f>G64*I$58</f>
        <v>1298.83999999999992</v>
      </c>
      <c r="I64" s="80">
        <f>H64+I63</f>
        <v>4614.30000000000018</v>
      </c>
    </row>
    <row r="65" spans="1:9" ht="13.45">
      <c r="A65" s="79" t="s">
        <v>137</v>
      </c>
      <c r="B65" s="80" t="n">
        <v>81</v>
      </c>
      <c r="C65" s="79">
        <f>B$58*B65</f>
        <v>1458</v>
      </c>
      <c r="D65" s="80">
        <f>C65+D64</f>
        <v>6318</v>
      </c>
      <c r="E65" s="30"/>
      <c r="F65" s="30"/>
      <c r="G65" s="80" t="n">
        <v>81</v>
      </c>
      <c r="H65" s="80">
        <f>G65*I$58</f>
        <v>1384.28999999999996</v>
      </c>
      <c r="I65" s="80">
        <f>H65+I64</f>
        <v>5998.59000000000015</v>
      </c>
    </row>
    <row r="66" spans="1:9" ht="13.4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3.45">
      <c r="A67" s="30"/>
      <c r="B67" s="30"/>
      <c r="C67" s="30"/>
      <c r="D67" s="30"/>
      <c r="E67" s="30"/>
      <c r="F67" s="30"/>
      <c r="G67" s="30"/>
      <c r="H67" s="30"/>
      <c r="I67" s="30"/>
    </row>
    <row r="68" spans="1:9" ht="13.45">
      <c r="A68" s="31"/>
      <c r="B68" s="30"/>
      <c r="C68" s="31"/>
      <c r="D68" s="30"/>
      <c r="E68" s="30"/>
      <c r="F68" s="30"/>
      <c r="G68" s="75"/>
      <c r="H68" s="74" t="s">
        <v>123</v>
      </c>
      <c r="I68" s="74" t="s">
        <v>124</v>
      </c>
    </row>
    <row r="69" spans="1:9" ht="13.45">
      <c r="A69" s="74" t="s">
        <v>138</v>
      </c>
      <c r="B69" s="77">
        <f>Parámetros!C43</f>
        <v>0.1</v>
      </c>
      <c r="C69" s="81" t="s">
        <v>139</v>
      </c>
      <c r="D69" s="30"/>
      <c r="E69" s="30"/>
      <c r="F69" s="30"/>
      <c r="G69" s="75"/>
      <c r="H69" s="77" t="s">
        <v>140</v>
      </c>
      <c r="I69" s="77" t="n">
        <v>18.8500000000000014</v>
      </c>
    </row>
    <row r="70" spans="1:9" ht="13.45">
      <c r="A70" s="78" t="s">
        <v>129</v>
      </c>
      <c r="B70" s="78" t="s">
        <v>85</v>
      </c>
      <c r="C70" s="78" t="s">
        <v>141</v>
      </c>
      <c r="D70" s="30"/>
      <c r="E70" s="30"/>
      <c r="F70" s="30"/>
      <c r="G70" s="78" t="s">
        <v>85</v>
      </c>
      <c r="H70" s="78" t="s">
        <v>130</v>
      </c>
      <c r="I70" s="78" t="s">
        <v>131</v>
      </c>
    </row>
    <row r="71" spans="1:9" ht="13.45">
      <c r="A71" s="79" t="s">
        <v>132</v>
      </c>
      <c r="B71" s="80" t="n">
        <v>80</v>
      </c>
      <c r="C71" s="80">
        <f>B$69*SQRT(B71)</f>
        <v>0.894427190999915922</v>
      </c>
      <c r="D71" s="30"/>
      <c r="E71" s="30"/>
      <c r="F71" s="30"/>
      <c r="G71" s="80" t="n">
        <v>80</v>
      </c>
      <c r="H71" s="80">
        <f>G71*I$69</f>
        <v>1508</v>
      </c>
      <c r="I71" s="80">
        <f>H71</f>
        <v>1508</v>
      </c>
    </row>
    <row r="72" spans="1:9" ht="13.45">
      <c r="A72" s="79" t="s">
        <v>133</v>
      </c>
      <c r="B72" s="80" t="n">
        <v>13</v>
      </c>
      <c r="C72" s="80">
        <f>B$69*SQRT(B72)</f>
        <v>0.360555127546399001</v>
      </c>
      <c r="D72" s="30"/>
      <c r="E72" s="30"/>
      <c r="F72" s="30"/>
      <c r="G72" s="80" t="n">
        <v>13</v>
      </c>
      <c r="H72" s="80">
        <f>G72*I$69</f>
        <v>245.050000000000011</v>
      </c>
      <c r="I72" s="80">
        <f>H72+I71</f>
        <v>1753.04999999999995</v>
      </c>
    </row>
    <row r="73" spans="1:9" ht="13.45">
      <c r="A73" s="79" t="s">
        <v>134</v>
      </c>
      <c r="B73" s="80" t="n">
        <v>67</v>
      </c>
      <c r="C73" s="80">
        <f>B$69*SQRT(B73)</f>
        <v>0.818535277187244859</v>
      </c>
      <c r="D73" s="30"/>
      <c r="E73" s="30"/>
      <c r="F73" s="30"/>
      <c r="G73" s="80" t="n">
        <v>67</v>
      </c>
      <c r="H73" s="80">
        <f>G73*I$69</f>
        <v>1262.95000000000005</v>
      </c>
      <c r="I73" s="80">
        <f>H73+I72</f>
        <v>3016</v>
      </c>
    </row>
    <row r="74" spans="1:9" ht="13.45">
      <c r="A74" s="79" t="s">
        <v>135</v>
      </c>
      <c r="B74" s="80" t="n">
        <v>34</v>
      </c>
      <c r="C74" s="80">
        <f>B$69*SQRT(B74)</f>
        <v>0.583095189484529985</v>
      </c>
      <c r="D74" s="30"/>
      <c r="E74" s="30"/>
      <c r="F74" s="30"/>
      <c r="G74" s="80" t="n">
        <v>34</v>
      </c>
      <c r="H74" s="80">
        <f>G74*I$69</f>
        <v>640.899999999999977</v>
      </c>
      <c r="I74" s="80">
        <f>H74+I73</f>
        <v>3656.90000000000009</v>
      </c>
    </row>
    <row r="75" spans="1:9" ht="13.45">
      <c r="A75" s="79" t="s">
        <v>136</v>
      </c>
      <c r="B75" s="80" t="n">
        <v>76</v>
      </c>
      <c r="C75" s="80">
        <f>B$69*SQRT(B75)</f>
        <v>0.871779788708134973</v>
      </c>
      <c r="D75" s="30"/>
      <c r="E75" s="30"/>
      <c r="F75" s="30"/>
      <c r="G75" s="80" t="n">
        <v>76</v>
      </c>
      <c r="H75" s="80">
        <f>G75*I$69</f>
        <v>1432.59999999999991</v>
      </c>
      <c r="I75" s="80">
        <f>H75+I74</f>
        <v>5089.5</v>
      </c>
    </row>
    <row r="76" spans="1:9" ht="13.45">
      <c r="A76" s="79" t="s">
        <v>137</v>
      </c>
      <c r="B76" s="80" t="n">
        <v>81</v>
      </c>
      <c r="C76" s="80">
        <f>B$69*SQRT(B76)</f>
        <v>0.9</v>
      </c>
      <c r="D76" s="30"/>
      <c r="E76" s="30"/>
      <c r="F76" s="30"/>
      <c r="G76" s="82" t="n">
        <v>81</v>
      </c>
      <c r="H76" s="80">
        <f>G76*I$69</f>
        <v>1526.84999999999991</v>
      </c>
      <c r="I76" s="80">
        <f>H76+I75</f>
        <v>6616.35000000000036</v>
      </c>
    </row>
    <row r="77" spans="1:9" ht="13.45">
      <c r="A77" s="83" t="s">
        <v>142</v>
      </c>
      <c r="B77" s="82"/>
      <c r="C77" s="84">
        <f>SUM(C71:C76)</f>
        <v>4.42839257392622976</v>
      </c>
      <c r="D77" s="30"/>
      <c r="E77" s="30"/>
      <c r="F77" s="30"/>
      <c r="G77" s="85"/>
      <c r="H77" s="30"/>
      <c r="I77" s="85"/>
    </row>
    <row r="78" spans="2:3" ht="13.45">
      <c r="B78" s="9" t="s">
        <v>143</v>
      </c>
      <c r="C78" s="3"/>
    </row>
  </sheetData>
  <mergeCells count="5">
    <mergeCell ref="A1:C1"/>
    <mergeCell ref="R46:S46"/>
    <mergeCell ref="R54:R55"/>
    <mergeCell ref="F55:G55"/>
    <mergeCell ref="B78:C78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R80"/>
  <sheetViews>
    <sheetView view="normal" zoomScale="85" workbookViewId="0">
      <selection activeCell="D1" sqref="D1"/>
    </sheetView>
  </sheetViews>
  <sheetFormatPr baseColWidth="11" defaultColWidth="12.630631" defaultRowHeight="15.75" customHeight="1"/>
  <cols>
    <col min="1" max="1" width="20.126126" customWidth="1"/>
    <col min="2" max="2" width="24.252252" customWidth="1"/>
    <col min="3" max="3" width="27.126126" customWidth="1"/>
    <col min="4" max="4" width="27.378378" customWidth="1"/>
    <col min="5" max="5" width="21.378378" customWidth="1"/>
    <col min="6" max="6" width="20.126126" customWidth="1"/>
    <col min="7" max="7" width="15.126126" customWidth="1"/>
    <col min="8" max="8" width="21.630631" customWidth="1"/>
    <col min="9" max="9" width="25.882883" customWidth="1"/>
    <col min="10" max="10" width="26.882883" customWidth="1"/>
    <col min="11" max="11" width="25.747748" customWidth="1"/>
    <col min="12" max="12" width="15.252252" customWidth="1"/>
    <col min="13" max="13" width="16.252252" customWidth="1"/>
    <col min="14" max="14" width="17.126126" customWidth="1"/>
    <col min="15" max="15" width="23.747748" customWidth="1"/>
    <col min="16" max="16" width="25.495495" customWidth="1"/>
  </cols>
  <sheetData>
    <row r="1" spans="1:17" ht="13.45">
      <c r="A1" s="29" t="s">
        <v>144</v>
      </c>
      <c r="D1" s="30" t="s">
        <v>83</v>
      </c>
      <c r="E1" s="30"/>
      <c r="F1" s="31"/>
      <c r="G1" s="30"/>
      <c r="H1" s="30"/>
      <c r="I1" s="30"/>
      <c r="J1" s="30"/>
      <c r="K1" s="30"/>
      <c r="L1" s="31"/>
      <c r="M1" s="30"/>
      <c r="N1" s="30"/>
      <c r="O1" s="30"/>
      <c r="P1" s="30"/>
      <c r="Q1" s="30"/>
    </row>
    <row r="2" spans="1:17" ht="13.4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89</v>
      </c>
      <c r="G2" s="32" t="s">
        <v>90</v>
      </c>
      <c r="H2" s="32" t="s">
        <v>91</v>
      </c>
      <c r="I2" s="32" t="s">
        <v>92</v>
      </c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2" t="s">
        <v>99</v>
      </c>
      <c r="Q2" s="32" t="s">
        <v>100</v>
      </c>
    </row>
    <row r="3" spans="1:17" ht="13.45">
      <c r="A3" s="33" t="s">
        <v>101</v>
      </c>
      <c r="B3" s="34"/>
      <c r="C3" s="34"/>
      <c r="D3" s="34"/>
      <c r="E3" s="34"/>
      <c r="F3" s="35" t="n">
        <v>400</v>
      </c>
      <c r="G3" s="34"/>
      <c r="H3" s="34"/>
      <c r="I3" s="34"/>
      <c r="J3" s="34"/>
      <c r="K3" s="34"/>
      <c r="L3" s="35"/>
      <c r="M3" s="34"/>
      <c r="N3" s="34"/>
      <c r="O3" s="34"/>
      <c r="P3" s="34"/>
      <c r="Q3" s="36"/>
    </row>
    <row r="4" spans="1:17" ht="13.45">
      <c r="A4" s="37" t="s">
        <v>102</v>
      </c>
      <c r="B4" s="30"/>
      <c r="C4" s="30"/>
      <c r="D4" s="30"/>
      <c r="E4" s="38">
        <f>Parámetros!C5</f>
        <v>-9</v>
      </c>
      <c r="F4" s="37"/>
      <c r="G4" s="30"/>
      <c r="H4" s="38">
        <f>Parámetros!C9</f>
        <v>38</v>
      </c>
      <c r="I4" s="39">
        <f>10^(H4/10)</f>
        <v>6309.57344480193024</v>
      </c>
      <c r="J4" s="38">
        <f>H4</f>
        <v>38</v>
      </c>
      <c r="K4" s="39">
        <f>10^(J4/10)</f>
        <v>6309.57344480193024</v>
      </c>
      <c r="L4" s="40" t="s">
        <v>103</v>
      </c>
      <c r="M4" s="40" t="s">
        <v>103</v>
      </c>
      <c r="N4" s="40" t="s">
        <v>103</v>
      </c>
      <c r="O4" s="40" t="s">
        <v>103</v>
      </c>
      <c r="P4" s="40" t="s">
        <v>103</v>
      </c>
      <c r="Q4" s="41"/>
    </row>
    <row r="5" spans="1:17" ht="13.45">
      <c r="A5" s="37" t="s">
        <v>104</v>
      </c>
      <c r="B5" s="30"/>
      <c r="C5" s="30"/>
      <c r="D5" s="38">
        <f>-Parámetros!C16</f>
        <v>-10</v>
      </c>
      <c r="E5" s="42">
        <f>D5+E4</f>
        <v>-19</v>
      </c>
      <c r="F5" s="43">
        <f>Parámetros!C29</f>
        <v>-17.5199999999999996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44"/>
    </row>
    <row r="6" spans="1:17" ht="13.45">
      <c r="A6" s="37" t="s">
        <v>105</v>
      </c>
      <c r="B6" s="30"/>
      <c r="C6" s="30"/>
      <c r="D6" s="38">
        <f>Parámetros!C27</f>
        <v>21.5</v>
      </c>
      <c r="E6" s="38">
        <f>D6+E5</f>
        <v>2.5</v>
      </c>
      <c r="F6" s="37"/>
      <c r="G6" s="30">
        <f>Parámetros!C30</f>
        <v>6</v>
      </c>
      <c r="H6" s="45">
        <f>E5+158.9-10*LOG10(Parámetros!C13*10^9)-G6</f>
        <v>32.9308998699190028</v>
      </c>
      <c r="I6" s="46">
        <f>10^(H6/10)</f>
        <v>1963.76713254782999</v>
      </c>
      <c r="J6" s="46">
        <f>10*LOG10(K6)</f>
        <v>31.7540908428696014</v>
      </c>
      <c r="K6" s="46">
        <f>1/((1/K4)+(1/I6))</f>
        <v>1497.64570132966992</v>
      </c>
      <c r="L6" s="47">
        <f>(2/3)^3*Parámetros!C56*(Parámetros!C57)^2*'No linealidades'!D3*(10^(E7/10)*0.001)^2*LOG10(PI()^2*ABS(Parámetros!C58*10^(-24))*'No linealidades'!D3*(Parámetros!C59)^2*Parámetros!C60^2)/(PI()*ABS(Parámetros!C58*10^(-24))*Parámetros!C60^3)*Parámetros!C13*10^9</f>
        <v>0.0000490248393090000079</v>
      </c>
      <c r="M6" s="49">
        <f>10*LOG10(N6)</f>
        <v>43.0958382116509995</v>
      </c>
      <c r="N6" s="49">
        <f>1/L6</f>
        <v>20397.8231054889002</v>
      </c>
      <c r="O6" s="49">
        <f>M6</f>
        <v>43.0958382116509995</v>
      </c>
      <c r="P6" s="50">
        <f>N6</f>
        <v>20397.8231054889002</v>
      </c>
      <c r="Q6" s="51">
        <f>10*LOG10(HARMEAN(K6,P6)/2)</f>
        <v>31.4463865708699011</v>
      </c>
    </row>
    <row r="7" spans="1:17" ht="13.45">
      <c r="A7" s="37" t="s">
        <v>106</v>
      </c>
      <c r="B7" s="30"/>
      <c r="C7" s="30"/>
      <c r="D7" s="38" t="n">
        <v>0</v>
      </c>
      <c r="E7" s="38">
        <f>D7+E6</f>
        <v>2.5</v>
      </c>
      <c r="F7" s="31"/>
      <c r="G7" s="38"/>
      <c r="H7" s="38"/>
      <c r="I7" s="38"/>
      <c r="J7" s="38"/>
      <c r="K7" s="38"/>
      <c r="L7" s="52"/>
      <c r="M7" s="38"/>
      <c r="N7" s="38"/>
      <c r="O7" s="38"/>
      <c r="P7" s="38"/>
      <c r="Q7" s="44"/>
    </row>
    <row r="8" spans="1:17" ht="13.45">
      <c r="A8" s="53" t="s">
        <v>107</v>
      </c>
      <c r="B8" s="54" t="n">
        <v>80</v>
      </c>
      <c r="C8" s="54">
        <f>Parámetros!C41</f>
        <v>0.185</v>
      </c>
      <c r="D8" s="54">
        <f>-B8*C8</f>
        <v>-14.8000000000000007</v>
      </c>
      <c r="E8" s="54">
        <f>D8+E7</f>
        <v>-12.3000000000000007</v>
      </c>
      <c r="F8" s="53" t="str">
        <f>IF(E8&gt;=Parámetros!C18,"V","F")</f>
        <v>V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44"/>
    </row>
    <row r="9" spans="1:17" ht="13.45">
      <c r="A9" s="33" t="s">
        <v>108</v>
      </c>
      <c r="B9" s="34"/>
      <c r="C9" s="34"/>
      <c r="D9" s="34"/>
      <c r="E9" s="34"/>
      <c r="F9" s="35"/>
      <c r="G9" s="34"/>
      <c r="H9" s="34"/>
      <c r="I9" s="34"/>
      <c r="J9" s="34"/>
      <c r="K9" s="34"/>
      <c r="L9" s="34"/>
      <c r="M9" s="34"/>
      <c r="N9" s="34"/>
      <c r="O9" s="34"/>
      <c r="P9" s="34"/>
      <c r="Q9" s="44"/>
    </row>
    <row r="10" spans="1:17" ht="13.45">
      <c r="A10" s="37" t="s">
        <v>109</v>
      </c>
      <c r="B10" s="30"/>
      <c r="C10" s="30"/>
      <c r="D10" s="38">
        <f>-(E8+Parámetros!H18)</f>
        <v>-6.5</v>
      </c>
      <c r="E10" s="42">
        <f>E8+D10</f>
        <v>-18.8000000000000007</v>
      </c>
      <c r="F10" s="56">
        <f>Parámetros!C22</f>
        <v>-18.0199999999999996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44"/>
    </row>
    <row r="11" spans="1:17" ht="13.45">
      <c r="A11" s="37" t="s">
        <v>110</v>
      </c>
      <c r="B11" s="30"/>
      <c r="C11" s="30"/>
      <c r="D11" s="38">
        <f>Parámetros!C20</f>
        <v>21</v>
      </c>
      <c r="E11" s="38">
        <f>D11+E10</f>
        <v>2.20000000000000018</v>
      </c>
      <c r="F11" s="37"/>
      <c r="G11" s="30">
        <f>Parámetros!C23</f>
        <v>5.5</v>
      </c>
      <c r="H11" s="45">
        <f>E10+158.9-10*LOG10(Parámetros!C13*10^9)-G11</f>
        <v>33.6308998699189985</v>
      </c>
      <c r="I11" s="45">
        <f>10^(H11/10)</f>
        <v>2307.22520250104981</v>
      </c>
      <c r="J11" s="45">
        <f>10*LOG10(K11)</f>
        <v>29.5815914518005982</v>
      </c>
      <c r="K11" s="45">
        <f>1/(1/I11+1/K6)</f>
        <v>908.153257721671025</v>
      </c>
      <c r="L11" s="40" t="s">
        <v>103</v>
      </c>
      <c r="M11" s="40" t="s">
        <v>103</v>
      </c>
      <c r="N11" s="40" t="s">
        <v>103</v>
      </c>
      <c r="O11" s="40" t="s">
        <v>103</v>
      </c>
      <c r="P11" s="40" t="s">
        <v>103</v>
      </c>
      <c r="Q11" s="44">
        <f>10*LOG10(HARMEAN(K11,P6)/2)</f>
        <v>29.3924152546469983</v>
      </c>
    </row>
    <row r="12" spans="1:17" ht="13.45">
      <c r="A12" s="37" t="s">
        <v>111</v>
      </c>
      <c r="B12" s="30"/>
      <c r="C12" s="30"/>
      <c r="D12" s="38">
        <f>-Parámetros!C16</f>
        <v>-10</v>
      </c>
      <c r="E12" s="38">
        <f>D12+E11</f>
        <v>-7.79999999999999982</v>
      </c>
      <c r="F12" s="31"/>
      <c r="G12" s="38"/>
      <c r="H12" s="38"/>
      <c r="I12" s="38"/>
      <c r="J12" s="38"/>
      <c r="K12" s="38"/>
      <c r="L12" s="30"/>
      <c r="M12" s="30"/>
      <c r="N12" s="30"/>
      <c r="O12" s="30"/>
      <c r="P12" s="30"/>
      <c r="Q12" s="44"/>
    </row>
    <row r="13" spans="1:17" ht="13.45">
      <c r="A13" s="37" t="s">
        <v>112</v>
      </c>
      <c r="B13" s="30"/>
      <c r="C13" s="30"/>
      <c r="D13" s="38">
        <f>-Parámetros!C16</f>
        <v>-10</v>
      </c>
      <c r="E13" s="42">
        <f>D13+E12</f>
        <v>-17.8000000000000007</v>
      </c>
      <c r="F13" s="43">
        <f>Parámetros!C29</f>
        <v>-17.5199999999999996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44"/>
    </row>
    <row r="14" spans="1:17" ht="13.45">
      <c r="A14" s="37" t="s">
        <v>105</v>
      </c>
      <c r="B14" s="30"/>
      <c r="C14" s="30"/>
      <c r="D14" s="38">
        <f>Parámetros!C27</f>
        <v>21.5</v>
      </c>
      <c r="E14" s="38">
        <f>D14+E13</f>
        <v>3.70000000000000018</v>
      </c>
      <c r="F14" s="31"/>
      <c r="G14" s="30">
        <f>Parámetros!C30</f>
        <v>6</v>
      </c>
      <c r="H14" s="45">
        <f>E13+158.9-10*LOG10(Parámetros!C13*10^9)-G14</f>
        <v>34.1308998699189985</v>
      </c>
      <c r="I14" s="45">
        <f>10^(H14/10)</f>
        <v>2588.74925543677</v>
      </c>
      <c r="J14" s="45">
        <f>10*LOG10(K14)</f>
        <v>28.2756560697959998</v>
      </c>
      <c r="K14" s="45">
        <f>1/(1/I14+1/K11)</f>
        <v>672.303863462980985</v>
      </c>
      <c r="L14" s="47">
        <f>(2/3)^3*Parámetros!C56*(Parámetros!C57)^2*'No linealidades'!D4*(10^(E15/10)*0.001)^2*LOG10(PI()^2*ABS(Parámetros!C58*10^(-24))*'No linealidades'!D4*(Parámetros!C59)^2*Parámetros!C60^2)/(PI()*ABS(Parámetros!C58*10^(-24))*Parámetros!C60^3)*Parámetros!C13*10^9</f>
        <v>0.0000198567916340000004</v>
      </c>
      <c r="M14" s="48">
        <f>10*LOG10(N14)</f>
        <v>47.020909214101799</v>
      </c>
      <c r="N14" s="49">
        <f>1/L14</f>
        <v>50360.6029831998967</v>
      </c>
      <c r="O14" s="48">
        <f>10*LOG10(P14)</f>
        <v>41.6189657843652014</v>
      </c>
      <c r="P14" s="50">
        <f>HARMEAN(N6,N14)/2</f>
        <v>14517.6585732632993</v>
      </c>
      <c r="Q14" s="44">
        <f>10*LOG10(HARMEAN(K14,P14)/2)</f>
        <v>28.0790548551928012</v>
      </c>
    </row>
    <row r="15" spans="1:17" ht="13.45">
      <c r="A15" s="37" t="s">
        <v>106</v>
      </c>
      <c r="B15" s="30"/>
      <c r="C15" s="30"/>
      <c r="D15" s="38">
        <f>-(E14-Parámetros!I30)</f>
        <v>-1.19999999999999996</v>
      </c>
      <c r="E15" s="38">
        <f>D15+E14</f>
        <v>2.5</v>
      </c>
      <c r="F15" s="37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44"/>
    </row>
    <row r="16" spans="1:17" ht="13.45">
      <c r="A16" s="53" t="s">
        <v>107</v>
      </c>
      <c r="B16" s="54" t="n">
        <v>13</v>
      </c>
      <c r="C16" s="54">
        <f>Parámetros!C41</f>
        <v>0.185</v>
      </c>
      <c r="D16" s="54">
        <f>-B16*C16</f>
        <v>-2.4049999999999998</v>
      </c>
      <c r="E16" s="54">
        <f>D16+E15</f>
        <v>0.095</v>
      </c>
      <c r="F16" s="53" t="str">
        <f>IF(E16&gt;=Parámetros!C18,"V","F")</f>
        <v>V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44"/>
    </row>
    <row r="17" spans="1:17" ht="13.45">
      <c r="A17" s="33" t="s">
        <v>113</v>
      </c>
      <c r="B17" s="34"/>
      <c r="C17" s="34"/>
      <c r="D17" s="34"/>
      <c r="E17" s="34"/>
      <c r="F17" s="35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44"/>
    </row>
    <row r="18" spans="1:17" ht="13.45">
      <c r="A18" s="37" t="s">
        <v>109</v>
      </c>
      <c r="B18" s="30"/>
      <c r="C18" s="30"/>
      <c r="D18" s="38">
        <f>-(E16+Parámetros!H18)</f>
        <v>-18.8949999999999996</v>
      </c>
      <c r="E18" s="42">
        <f>E16+D18</f>
        <v>-18.8000000000000007</v>
      </c>
      <c r="F18" s="56">
        <f>Parámetros!C22</f>
        <v>-18.0199999999999996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44"/>
    </row>
    <row r="19" spans="1:17" ht="13.45">
      <c r="A19" s="37" t="s">
        <v>110</v>
      </c>
      <c r="B19" s="30"/>
      <c r="C19" s="30"/>
      <c r="D19" s="38">
        <f>Parámetros!C20</f>
        <v>21</v>
      </c>
      <c r="E19" s="38">
        <f>D19+E18</f>
        <v>2.20000000000000018</v>
      </c>
      <c r="F19" s="31"/>
      <c r="G19" s="38">
        <f>Parámetros!C23</f>
        <v>5.5</v>
      </c>
      <c r="H19" s="57">
        <f>E18+158.9-10*LOG10(Parámetros!C13*10^9)-G19</f>
        <v>33.6308998699189985</v>
      </c>
      <c r="I19" s="57">
        <f>10^(H19/10)</f>
        <v>2307.22520250104981</v>
      </c>
      <c r="J19" s="57">
        <f>10*LOG10(K19)</f>
        <v>27.1650796755138018</v>
      </c>
      <c r="K19" s="57">
        <f>1/(1/I19+1/K14)</f>
        <v>520.604559706988994</v>
      </c>
      <c r="L19" s="40" t="s">
        <v>103</v>
      </c>
      <c r="M19" s="40" t="s">
        <v>103</v>
      </c>
      <c r="N19" s="40" t="s">
        <v>103</v>
      </c>
      <c r="O19" s="40" t="s">
        <v>103</v>
      </c>
      <c r="P19" s="40" t="s">
        <v>103</v>
      </c>
      <c r="Q19" s="44">
        <f>10*LOG10(HARMEAN(K19,P14)/2)</f>
        <v>27.0120686633635998</v>
      </c>
    </row>
    <row r="20" spans="1:17" ht="13.45">
      <c r="A20" s="37" t="s">
        <v>111</v>
      </c>
      <c r="B20" s="30"/>
      <c r="C20" s="30"/>
      <c r="D20" s="38">
        <f>-Parámetros!C16</f>
        <v>-10</v>
      </c>
      <c r="E20" s="38">
        <f>D20+E19</f>
        <v>-7.79999999999999982</v>
      </c>
      <c r="F20" s="31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44"/>
    </row>
    <row r="21" spans="1:17" ht="13.45">
      <c r="A21" s="37" t="s">
        <v>112</v>
      </c>
      <c r="B21" s="30"/>
      <c r="C21" s="30"/>
      <c r="D21" s="38">
        <f>-Parámetros!C16</f>
        <v>-10</v>
      </c>
      <c r="E21" s="42">
        <f>D21+E20</f>
        <v>-17.8000000000000007</v>
      </c>
      <c r="F21" s="43">
        <f>Parámetros!C29</f>
        <v>-17.5199999999999996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44"/>
    </row>
    <row r="22" spans="1:17" ht="13.45">
      <c r="A22" s="37" t="s">
        <v>105</v>
      </c>
      <c r="B22" s="30"/>
      <c r="C22" s="30"/>
      <c r="D22" s="38">
        <f>Parámetros!C27</f>
        <v>21.5</v>
      </c>
      <c r="E22" s="38">
        <f>D22+E21</f>
        <v>3.70000000000000018</v>
      </c>
      <c r="F22" s="37"/>
      <c r="G22" s="30">
        <f>Parámetros!C30</f>
        <v>6</v>
      </c>
      <c r="H22" s="45">
        <f>E21+158.9-10*LOG10(Parámetros!C13*10^9)-G22</f>
        <v>34.1308998699189985</v>
      </c>
      <c r="I22" s="45">
        <f>10^(H22/10)</f>
        <v>2588.74925543677</v>
      </c>
      <c r="J22" s="45">
        <f>10*LOG10(K22)</f>
        <v>26.3692781107147987</v>
      </c>
      <c r="K22" s="45">
        <f>1/(1/I22+1/K19)</f>
        <v>433.438825698993014</v>
      </c>
      <c r="L22" s="47">
        <f>(2/3)^3*Parámetros!C56*(Parámetros!C57)^2*'No linealidades'!D5*(10^(E23/10)*0.001)^2*LOG10(PI()^2*ABS(Parámetros!C58*10^(-24))*'No linealidades'!D5*(Parámetros!C59)^2*Parámetros!C60^2)/(PI()*ABS(Parámetros!C58*10^(-24))*Parámetros!C60^3)*Parámetros!C13*10^9</f>
        <v>0.0000476647922199999918</v>
      </c>
      <c r="M22" s="58">
        <f>10*LOG10(N22)</f>
        <v>43.2180229581091027</v>
      </c>
      <c r="N22" s="58">
        <f>1/L22</f>
        <v>20979.8459916585016</v>
      </c>
      <c r="O22" s="58">
        <f>10*LOG10(P22)</f>
        <v>39.3350105053815966</v>
      </c>
      <c r="P22" s="59">
        <f>HARMEAN(N6,N14,N22)/3</f>
        <v>8580.27190247974067</v>
      </c>
      <c r="Q22" s="51">
        <f>10*LOG10(HARMEAN(K22,P22)/2)</f>
        <v>26.1552524521343983</v>
      </c>
    </row>
    <row r="23" spans="1:17" ht="13.45">
      <c r="A23" s="37" t="s">
        <v>106</v>
      </c>
      <c r="B23" s="30"/>
      <c r="C23" s="30"/>
      <c r="D23" s="38">
        <f>-(E22-Parámetros!I30)</f>
        <v>-1.19999999999999996</v>
      </c>
      <c r="E23" s="38">
        <f>D23+E22</f>
        <v>2.5</v>
      </c>
      <c r="F23" s="31"/>
      <c r="G23" s="38"/>
      <c r="H23" s="38"/>
      <c r="I23" s="38"/>
      <c r="J23" s="38"/>
      <c r="K23" s="38"/>
      <c r="L23" s="52"/>
      <c r="M23" s="38"/>
      <c r="N23" s="38"/>
      <c r="O23" s="38"/>
      <c r="P23" s="38"/>
      <c r="Q23" s="44"/>
    </row>
    <row r="24" spans="1:17" ht="13.45">
      <c r="A24" s="53" t="s">
        <v>107</v>
      </c>
      <c r="B24" s="54" t="n">
        <v>67</v>
      </c>
      <c r="C24" s="54">
        <f>Parámetros!C41</f>
        <v>0.185</v>
      </c>
      <c r="D24" s="54">
        <f>-B24*C24</f>
        <v>-12.3949999999999996</v>
      </c>
      <c r="E24" s="54">
        <f>D24+E23</f>
        <v>-9.89499999999999957</v>
      </c>
      <c r="F24" s="53" t="str">
        <f>IF(E24&gt;=Parámetros!C18,"V","F")</f>
        <v>V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44"/>
    </row>
    <row r="25" spans="1:17" ht="13.45">
      <c r="A25" s="33" t="s">
        <v>114</v>
      </c>
      <c r="B25" s="34"/>
      <c r="C25" s="34"/>
      <c r="D25" s="34"/>
      <c r="E25" s="34"/>
      <c r="F25" s="35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44"/>
    </row>
    <row r="26" spans="1:17" ht="13.45">
      <c r="A26" s="37" t="s">
        <v>109</v>
      </c>
      <c r="B26" s="30"/>
      <c r="C26" s="30"/>
      <c r="D26" s="38">
        <f>-(E24+Parámetros!H18)</f>
        <v>-8.90499999999999936</v>
      </c>
      <c r="E26" s="42">
        <f>E24+D26</f>
        <v>-18.8000000000000007</v>
      </c>
      <c r="F26" s="56">
        <f>Parámetros!C22</f>
        <v>-18.0199999999999996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44"/>
    </row>
    <row r="27" spans="1:17" ht="13.45">
      <c r="A27" s="37" t="s">
        <v>110</v>
      </c>
      <c r="B27" s="30"/>
      <c r="C27" s="30"/>
      <c r="D27" s="38">
        <f>Parámetros!C20</f>
        <v>21</v>
      </c>
      <c r="E27" s="38">
        <f>D27+E26</f>
        <v>2.20000000000000018</v>
      </c>
      <c r="F27" s="31"/>
      <c r="G27" s="38">
        <f>Parámetros!C23</f>
        <v>5.5</v>
      </c>
      <c r="H27" s="57">
        <f>E26+158.9-10*LOG10(Parámetros!C13*10^9)-G27</f>
        <v>33.6308998699189985</v>
      </c>
      <c r="I27" s="57">
        <f>10^(H27/10)</f>
        <v>2307.22520250104981</v>
      </c>
      <c r="J27" s="57">
        <f>10*LOG10(K27)</f>
        <v>25.6216199843841004</v>
      </c>
      <c r="K27" s="57">
        <f>1/(1/I27+1/K22)</f>
        <v>364.890031067344978</v>
      </c>
      <c r="L27" s="40" t="s">
        <v>103</v>
      </c>
      <c r="M27" s="40" t="s">
        <v>103</v>
      </c>
      <c r="N27" s="40" t="s">
        <v>103</v>
      </c>
      <c r="O27" s="40" t="s">
        <v>103</v>
      </c>
      <c r="P27" s="40" t="s">
        <v>103</v>
      </c>
      <c r="Q27" s="44">
        <f>10*LOG10(HARMEAN(K27,P22)/2)</f>
        <v>25.4407484200394016</v>
      </c>
    </row>
    <row r="28" spans="1:17" ht="13.45">
      <c r="A28" s="37" t="s">
        <v>111</v>
      </c>
      <c r="B28" s="30"/>
      <c r="C28" s="30"/>
      <c r="D28" s="38">
        <f>-Parámetros!C16</f>
        <v>-10</v>
      </c>
      <c r="E28" s="38">
        <f>D28+E27</f>
        <v>-7.79999999999999982</v>
      </c>
      <c r="F28" s="3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44"/>
    </row>
    <row r="29" spans="1:17" ht="13.45">
      <c r="A29" s="37" t="s">
        <v>112</v>
      </c>
      <c r="B29" s="30"/>
      <c r="C29" s="30"/>
      <c r="D29" s="38">
        <f>-Parámetros!C16</f>
        <v>-10</v>
      </c>
      <c r="E29" s="42">
        <f>D29+E28</f>
        <v>-17.8000000000000007</v>
      </c>
      <c r="F29" s="43">
        <f>Parámetros!C29</f>
        <v>-17.5199999999999996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44"/>
    </row>
    <row r="30" spans="1:17" ht="13.45">
      <c r="A30" s="37" t="s">
        <v>105</v>
      </c>
      <c r="B30" s="30"/>
      <c r="C30" s="30"/>
      <c r="D30" s="38">
        <f>Parámetros!C27</f>
        <v>21.5</v>
      </c>
      <c r="E30" s="38">
        <f>D30+E29</f>
        <v>3.70000000000000018</v>
      </c>
      <c r="F30" s="37"/>
      <c r="G30" s="30">
        <f>Parámetros!C30</f>
        <v>6</v>
      </c>
      <c r="H30" s="45">
        <f>E29+158.9-10*LOG10(Parámetros!C13*10^9)-G30</f>
        <v>34.1308998699189985</v>
      </c>
      <c r="I30" s="45">
        <f>10^(H30/10)</f>
        <v>2588.74925543677</v>
      </c>
      <c r="J30" s="60">
        <f>10*LOG10(K30)</f>
        <v>25.0489452947345015</v>
      </c>
      <c r="K30" s="45">
        <f>1/(1/I30+1/K27)</f>
        <v>319.811833678576022</v>
      </c>
      <c r="L30" s="47">
        <f>(2/3)^3*Parámetros!C56*(Parámetros!C57)^2*'No linealidades'!D6*(10^(E31/10)*0.001)^2*LOG10(PI()^2*ABS(Parámetros!C58*10^(-24))*'No linealidades'!D6*(Parámetros!C59)^2*Parámetros!C60^2)/(PI()*ABS(Parámetros!C58*10^(-24))*Parámetros!C60^3)*Parámetros!C13*10^9</f>
        <v>0.0000379165975159999924</v>
      </c>
      <c r="M30" s="58">
        <f>10*LOG10(N30)</f>
        <v>44.2117064143747029</v>
      </c>
      <c r="N30" s="58">
        <f>1/L30</f>
        <v>26373.6744727166006</v>
      </c>
      <c r="O30" s="58">
        <f>10*LOG10(P30)</f>
        <v>38.1117547635124012</v>
      </c>
      <c r="P30" s="59">
        <f>HARMEAN(N6,N14,N22,N30)/4</f>
        <v>6474.04146056530044</v>
      </c>
      <c r="Q30" s="51">
        <f>10*LOG10(HARMEAN(K30,P30)/2)</f>
        <v>24.8395384129897003</v>
      </c>
    </row>
    <row r="31" spans="1:17" ht="13.45">
      <c r="A31" s="37" t="s">
        <v>106</v>
      </c>
      <c r="B31" s="30"/>
      <c r="C31" s="30"/>
      <c r="D31" s="38">
        <f>-(E30-Parámetros!I30)</f>
        <v>-1.19999999999999996</v>
      </c>
      <c r="E31" s="38">
        <f>D31+E30</f>
        <v>2.5</v>
      </c>
      <c r="F31" s="31"/>
      <c r="G31" s="38"/>
      <c r="H31" s="38"/>
      <c r="I31" s="38"/>
      <c r="J31" s="38"/>
      <c r="K31" s="38"/>
      <c r="L31" s="52"/>
      <c r="M31" s="38"/>
      <c r="N31" s="38"/>
      <c r="O31" s="38"/>
      <c r="P31" s="38"/>
      <c r="Q31" s="44"/>
    </row>
    <row r="32" spans="1:17" ht="13.45">
      <c r="A32" s="53" t="s">
        <v>107</v>
      </c>
      <c r="B32" s="54" t="n">
        <v>34</v>
      </c>
      <c r="C32" s="54">
        <f>Parámetros!C41</f>
        <v>0.185</v>
      </c>
      <c r="D32" s="54">
        <f>-B32*C32</f>
        <v>-6.29000000000000004</v>
      </c>
      <c r="E32" s="54">
        <f>D32+E31</f>
        <v>-3.79000000000000004</v>
      </c>
      <c r="F32" s="53" t="str">
        <f>IF(E32&gt;=Parámetros!C18,"V","F")</f>
        <v>V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4"/>
    </row>
    <row r="33" spans="1:17" ht="13.45">
      <c r="A33" s="86" t="s">
        <v>145</v>
      </c>
      <c r="B33" s="87"/>
      <c r="C33" s="87"/>
      <c r="D33" s="87"/>
      <c r="E33" s="87"/>
      <c r="F33" s="88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44"/>
    </row>
    <row r="34" spans="1:17" ht="13.45">
      <c r="A34" s="37" t="s">
        <v>109</v>
      </c>
      <c r="B34" s="30"/>
      <c r="C34" s="30"/>
      <c r="D34" s="38">
        <f>-(E32+Parámetros!H18)</f>
        <v>-15.0099999999999998</v>
      </c>
      <c r="E34" s="42">
        <f>D34+E32</f>
        <v>-18.8000000000000007</v>
      </c>
      <c r="F34" s="56">
        <f>Parámetros!C22</f>
        <v>-18.0199999999999996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44"/>
    </row>
    <row r="35" spans="1:17" ht="13.45">
      <c r="A35" s="37" t="s">
        <v>110</v>
      </c>
      <c r="B35" s="30"/>
      <c r="C35" s="30"/>
      <c r="D35" s="38">
        <f>Parámetros!C20</f>
        <v>21</v>
      </c>
      <c r="E35" s="38">
        <f>D35+E34</f>
        <v>2.20000000000000018</v>
      </c>
      <c r="F35" s="31"/>
      <c r="G35" s="38">
        <f>Parámetros!C23</f>
        <v>5.5</v>
      </c>
      <c r="H35" s="57">
        <f>E34+158.9-10*LOG10(Parámetros!C13*10^9)-G35</f>
        <v>33.6308998699189985</v>
      </c>
      <c r="I35" s="57">
        <f>10^(H35/10)</f>
        <v>2307.22520250104981</v>
      </c>
      <c r="J35" s="57">
        <f>10*LOG10(K35)</f>
        <v>24.4851832091752009</v>
      </c>
      <c r="K35" s="57">
        <f>1/(1/I35+1/K30)</f>
        <v>280.878386014033993</v>
      </c>
      <c r="L35" s="40" t="s">
        <v>103</v>
      </c>
      <c r="M35" s="40" t="s">
        <v>103</v>
      </c>
      <c r="N35" s="40" t="s">
        <v>103</v>
      </c>
      <c r="O35" s="40" t="s">
        <v>103</v>
      </c>
      <c r="P35" s="40" t="s">
        <v>103</v>
      </c>
      <c r="Q35" s="44">
        <f>10*LOG10(HARMEAN(K35,P30)/2)</f>
        <v>24.3007359718899991</v>
      </c>
    </row>
    <row r="36" spans="1:17" ht="13.45">
      <c r="A36" s="37" t="s">
        <v>119</v>
      </c>
      <c r="B36" s="30"/>
      <c r="C36" s="30"/>
      <c r="D36" s="38">
        <f>-Parámetros!C16</f>
        <v>-10</v>
      </c>
      <c r="E36" s="38">
        <f>D36+E35</f>
        <v>-7.79999999999999982</v>
      </c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44"/>
    </row>
    <row r="37" spans="1:17" ht="13.45">
      <c r="A37" s="37" t="s">
        <v>146</v>
      </c>
      <c r="B37" s="30"/>
      <c r="C37" s="30"/>
      <c r="D37" s="38"/>
      <c r="E37" s="38">
        <f>E36</f>
        <v>-7.79999999999999982</v>
      </c>
      <c r="F37" s="31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44"/>
    </row>
    <row r="38" spans="1:17" ht="13.45">
      <c r="A38" s="89" t="s">
        <v>147</v>
      </c>
      <c r="B38" s="90"/>
      <c r="C38" s="90"/>
      <c r="D38" s="91"/>
      <c r="E38" s="91">
        <f>Parámetros!C5</f>
        <v>-9</v>
      </c>
      <c r="F38" s="89"/>
      <c r="G38" s="90"/>
      <c r="H38" s="92">
        <f>Parámetros!C9</f>
        <v>38</v>
      </c>
      <c r="I38" s="93">
        <f>10^(H38/10)</f>
        <v>6309.57344480193024</v>
      </c>
      <c r="J38" s="94">
        <f>H38</f>
        <v>38</v>
      </c>
      <c r="K38" s="93">
        <f>10^(J38/10)</f>
        <v>6309.57344480193024</v>
      </c>
      <c r="L38" s="95" t="s">
        <v>103</v>
      </c>
      <c r="M38" s="95" t="s">
        <v>103</v>
      </c>
      <c r="N38" s="95" t="s">
        <v>103</v>
      </c>
      <c r="O38" s="95" t="s">
        <v>103</v>
      </c>
      <c r="P38" s="96" t="s">
        <v>103</v>
      </c>
      <c r="Q38" s="51"/>
    </row>
    <row r="39" spans="1:17" ht="13.45">
      <c r="A39" s="37" t="s">
        <v>104</v>
      </c>
      <c r="B39" s="30"/>
      <c r="C39" s="30"/>
      <c r="D39" s="38">
        <f>-Parámetros!C16</f>
        <v>-10</v>
      </c>
      <c r="E39" s="42">
        <f>D39+E38</f>
        <v>-19</v>
      </c>
      <c r="F39" s="56">
        <f>Parámetros!C29</f>
        <v>-17.5199999999999996</v>
      </c>
      <c r="G39" s="38"/>
      <c r="H39" s="38"/>
      <c r="I39" s="38"/>
      <c r="J39" s="38"/>
      <c r="K39" s="38"/>
      <c r="L39" s="52"/>
      <c r="M39" s="38"/>
      <c r="N39" s="38"/>
      <c r="O39" s="38"/>
      <c r="P39" s="38"/>
      <c r="Q39" s="44"/>
    </row>
    <row r="40" spans="1:17" ht="13.45">
      <c r="A40" s="37" t="s">
        <v>105</v>
      </c>
      <c r="B40" s="30"/>
      <c r="C40" s="30"/>
      <c r="D40" s="38">
        <f>Parámetros!C27</f>
        <v>21.5</v>
      </c>
      <c r="E40" s="38">
        <f>D40+E39</f>
        <v>2.5</v>
      </c>
      <c r="F40" s="31"/>
      <c r="G40" s="38">
        <f>Parámetros!C30</f>
        <v>6</v>
      </c>
      <c r="H40" s="45">
        <f>E39+158.9-10*LOG10(Parámetros!C13*10^9)-G40</f>
        <v>32.9308998699190028</v>
      </c>
      <c r="I40" s="46">
        <f>10^(H40/10)</f>
        <v>1963.76713254782999</v>
      </c>
      <c r="J40" s="46">
        <f>10*LOG10(K40)</f>
        <v>31.7540908428696014</v>
      </c>
      <c r="K40" s="46">
        <f>1/((1/K38)+(1/I40))</f>
        <v>1497.64570132966992</v>
      </c>
      <c r="L40" s="47">
        <f>(2/3)^3*Parámetros!C56*(Parámetros!C57)^2*'No linealidades'!D7*(10^(E41/10)*0.001)^2*LOG10(PI()^2*ABS(Parámetros!C58*10^(-24))*'No linealidades'!D7*(Parámetros!C59)^2*Parámetros!C60^2)/(PI()*ABS(Parámetros!C58*10^(-24))*Parámetros!C60^3)*Parámetros!C13*10^9</f>
        <v>0.0000486830359330000029</v>
      </c>
      <c r="M40" s="58">
        <f>10*LOG10(N40)</f>
        <v>43.1262234646832994</v>
      </c>
      <c r="N40" s="58">
        <f>1/L40</f>
        <v>20541.0361296334995</v>
      </c>
      <c r="O40" s="58">
        <f>10*LOG10(P40)</f>
        <v>43.1262234646832994</v>
      </c>
      <c r="P40" s="59">
        <f>N40</f>
        <v>20541.0361296334995</v>
      </c>
      <c r="Q40" s="97">
        <f>10*LOG10(HARMEAN(K40,P40)/2)</f>
        <v>31.4484581565079999</v>
      </c>
    </row>
    <row r="41" spans="1:17" ht="13.45">
      <c r="A41" s="37" t="s">
        <v>106</v>
      </c>
      <c r="B41" s="30"/>
      <c r="C41" s="30"/>
      <c r="D41" s="38" t="n">
        <v>0</v>
      </c>
      <c r="E41" s="38">
        <f>E40</f>
        <v>2.5</v>
      </c>
      <c r="F41" s="31"/>
      <c r="G41" s="38"/>
      <c r="H41" s="38"/>
      <c r="I41" s="38"/>
      <c r="J41" s="38"/>
      <c r="K41" s="38"/>
      <c r="L41" s="52"/>
      <c r="M41" s="38"/>
      <c r="N41" s="38"/>
      <c r="O41" s="38"/>
      <c r="P41" s="38"/>
      <c r="Q41" s="44"/>
    </row>
    <row r="42" spans="1:17" ht="13.45">
      <c r="A42" s="53" t="s">
        <v>107</v>
      </c>
      <c r="B42" s="54" t="n">
        <v>76</v>
      </c>
      <c r="C42" s="54">
        <f>Parámetros!C41</f>
        <v>0.185</v>
      </c>
      <c r="D42" s="54">
        <f>-B42*C42</f>
        <v>-14.0600000000000005</v>
      </c>
      <c r="E42" s="54">
        <f>D42+E41</f>
        <v>-11.5600000000000005</v>
      </c>
      <c r="F42" s="53" t="str">
        <f>IF(E42&gt;=Parámetros!C18,"V","F")</f>
        <v>V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44"/>
    </row>
    <row r="43" spans="1:17" ht="13.45">
      <c r="A43" s="33" t="s">
        <v>116</v>
      </c>
      <c r="B43" s="34"/>
      <c r="C43" s="34"/>
      <c r="D43" s="34"/>
      <c r="E43" s="34"/>
      <c r="F43" s="35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44"/>
    </row>
    <row r="44" spans="1:17" ht="13.45">
      <c r="A44" s="37" t="s">
        <v>109</v>
      </c>
      <c r="B44" s="30"/>
      <c r="C44" s="30"/>
      <c r="D44" s="38">
        <f>-(E42+Parámetros!H18)</f>
        <v>-7.24000000000000021</v>
      </c>
      <c r="E44" s="42">
        <f>E42+D44</f>
        <v>-18.8000000000000007</v>
      </c>
      <c r="F44" s="56">
        <f>Parámetros!C22</f>
        <v>-18.0199999999999996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44"/>
    </row>
    <row r="45" spans="1:17" ht="13.45">
      <c r="A45" s="37" t="s">
        <v>110</v>
      </c>
      <c r="B45" s="30"/>
      <c r="C45" s="30"/>
      <c r="D45" s="38">
        <f>Parámetros!C20</f>
        <v>21</v>
      </c>
      <c r="E45" s="38">
        <f>D45+E44</f>
        <v>2.20000000000000018</v>
      </c>
      <c r="F45" s="31"/>
      <c r="G45" s="38">
        <f>Parámetros!C23</f>
        <v>5.5</v>
      </c>
      <c r="H45" s="57">
        <f>E44+158.9-10*LOG10(Parámetros!C13*10^9)-G45</f>
        <v>33.6308998699189985</v>
      </c>
      <c r="I45" s="57">
        <f>10^(H45/10)</f>
        <v>2307.22520250104981</v>
      </c>
      <c r="J45" s="57">
        <f>10*LOG10(K45)</f>
        <v>29.5815914518005982</v>
      </c>
      <c r="K45" s="57">
        <f>1/(1/I45+1/K40)</f>
        <v>908.153257721671025</v>
      </c>
      <c r="L45" s="40" t="s">
        <v>103</v>
      </c>
      <c r="M45" s="40" t="s">
        <v>103</v>
      </c>
      <c r="N45" s="40" t="s">
        <v>103</v>
      </c>
      <c r="O45" s="40" t="s">
        <v>103</v>
      </c>
      <c r="P45" s="40" t="s">
        <v>103</v>
      </c>
      <c r="Q45" s="44">
        <f>10*LOG10(HARMEAN(K45,P40)/2)</f>
        <v>29.3937060777337003</v>
      </c>
    </row>
    <row r="46" spans="1:17" ht="13.45">
      <c r="A46" s="37" t="s">
        <v>111</v>
      </c>
      <c r="B46" s="30"/>
      <c r="C46" s="30"/>
      <c r="D46" s="38">
        <f>-Parámetros!C16</f>
        <v>-10</v>
      </c>
      <c r="E46" s="38">
        <f>D46+E45</f>
        <v>-7.79999999999999982</v>
      </c>
      <c r="F46" s="31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44"/>
    </row>
    <row r="47" spans="1:17" ht="13.45">
      <c r="A47" s="37" t="s">
        <v>112</v>
      </c>
      <c r="B47" s="30"/>
      <c r="C47" s="30"/>
      <c r="D47" s="38">
        <f>-Parámetros!C16</f>
        <v>-10</v>
      </c>
      <c r="E47" s="42">
        <f>D47+E46</f>
        <v>-17.8000000000000007</v>
      </c>
      <c r="F47" s="43">
        <f>Parámetros!C29</f>
        <v>-17.5199999999999996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44"/>
    </row>
    <row r="48" spans="1:17" ht="13.45">
      <c r="A48" s="37" t="s">
        <v>105</v>
      </c>
      <c r="B48" s="30"/>
      <c r="C48" s="30"/>
      <c r="D48" s="38">
        <f>Parámetros!C27</f>
        <v>21.5</v>
      </c>
      <c r="E48" s="38">
        <f>D48+E47</f>
        <v>3.70000000000000018</v>
      </c>
      <c r="F48" s="37"/>
      <c r="G48" s="30">
        <f>Parámetros!C30</f>
        <v>6</v>
      </c>
      <c r="H48" s="45">
        <f>E47+158.9-10*LOG10(Parámetros!C13*10^9)-G48</f>
        <v>34.1308998699189985</v>
      </c>
      <c r="I48" s="45">
        <f>10^(H48/10)</f>
        <v>2588.74925543677</v>
      </c>
      <c r="J48" s="45">
        <f>10*LOG10(K48)</f>
        <v>28.2756560697959998</v>
      </c>
      <c r="K48" s="45">
        <f>1/(1/I48+1/K45)</f>
        <v>672.303863462980985</v>
      </c>
      <c r="L48" s="47">
        <f>(2/3)^3*Parámetros!C56*(Parámetros!C57)^2*'No linealidades'!D8*(10^(E49/10)*0.001)^2*LOG10(PI()^2*ABS(Parámetros!C58*10^(-24))*'No linealidades'!D8*(Parámetros!C59)^2*Parámetros!C60^2)/(PI()*ABS(Parámetros!C58*10^(-24))*Parámetros!C60^3)*Parámetros!C13*10^9</f>
        <v>0.0000491015971309999966</v>
      </c>
      <c r="M48" s="58">
        <f>10*LOG10(N48)</f>
        <v>43.0890438132104023</v>
      </c>
      <c r="N48" s="58">
        <f>1/L48</f>
        <v>20365.9363122559989</v>
      </c>
      <c r="O48" s="58">
        <f>10*LOG10(P48)</f>
        <v>40.0972938958741025</v>
      </c>
      <c r="P48" s="59">
        <f>HARMEAN(N40,N48)/2</f>
        <v>10226.5557344322006</v>
      </c>
      <c r="Q48" s="51">
        <f>10*LOG10(HARMEAN(K48,P48)/2)</f>
        <v>27.9991393864947007</v>
      </c>
    </row>
    <row r="49" spans="1:17" ht="13.45">
      <c r="A49" s="37" t="s">
        <v>106</v>
      </c>
      <c r="B49" s="30"/>
      <c r="C49" s="30"/>
      <c r="D49" s="38">
        <f>-(E48-Parámetros!I30)</f>
        <v>-1.19999999999999996</v>
      </c>
      <c r="E49" s="38">
        <f>D49+E48</f>
        <v>2.5</v>
      </c>
      <c r="F49" s="31"/>
      <c r="G49" s="38"/>
      <c r="H49" s="38"/>
      <c r="I49" s="38"/>
      <c r="J49" s="38"/>
      <c r="K49" s="38"/>
      <c r="L49" s="52"/>
      <c r="M49" s="38"/>
      <c r="N49" s="38"/>
      <c r="O49" s="38"/>
      <c r="P49" s="38"/>
      <c r="Q49" s="44"/>
    </row>
    <row r="50" spans="1:17" ht="13.45">
      <c r="A50" s="53" t="s">
        <v>107</v>
      </c>
      <c r="B50" s="54" t="n">
        <v>81</v>
      </c>
      <c r="C50" s="54">
        <f>Parámetros!C41</f>
        <v>0.185</v>
      </c>
      <c r="D50" s="54">
        <f>-B50*C50</f>
        <v>-14.9849999999999994</v>
      </c>
      <c r="E50" s="54">
        <f>D50+E49</f>
        <v>-12.4849999999999994</v>
      </c>
      <c r="F50" s="53" t="str">
        <f>IF(E50&gt;=Parámetros!C18,"V","F")</f>
        <v>V</v>
      </c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44"/>
    </row>
    <row r="51" spans="1:17" ht="13.45">
      <c r="A51" s="33" t="s">
        <v>118</v>
      </c>
      <c r="B51" s="34"/>
      <c r="C51" s="34"/>
      <c r="D51" s="34"/>
      <c r="E51" s="34"/>
      <c r="F51" s="35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44"/>
    </row>
    <row r="52" spans="1:17" ht="13.45">
      <c r="A52" s="37" t="s">
        <v>109</v>
      </c>
      <c r="B52" s="30"/>
      <c r="C52" s="30"/>
      <c r="D52" s="38">
        <f>-(E50+Parámetros!H18)</f>
        <v>-6.31500000000000039</v>
      </c>
      <c r="E52" s="42">
        <f>E50+D52</f>
        <v>-18.8000000000000007</v>
      </c>
      <c r="F52" s="56">
        <f>Parámetros!C22</f>
        <v>-18.0199999999999996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64"/>
    </row>
    <row r="53" spans="1:17" ht="13.45">
      <c r="A53" s="37" t="s">
        <v>110</v>
      </c>
      <c r="B53" s="30"/>
      <c r="C53" s="30"/>
      <c r="D53" s="38">
        <f>Parámetros!C20</f>
        <v>21</v>
      </c>
      <c r="E53" s="38">
        <f>D53+E52</f>
        <v>2.20000000000000018</v>
      </c>
      <c r="F53" s="31"/>
      <c r="G53" s="38">
        <f>Parámetros!C23</f>
        <v>5.5</v>
      </c>
      <c r="H53" s="38">
        <f>E52+158.9-10*LOG10(Parámetros!C13*10^9)-G53</f>
        <v>33.6308998699189985</v>
      </c>
      <c r="I53" s="38">
        <f>10^(H53/10)</f>
        <v>2307.22520250104981</v>
      </c>
      <c r="J53" s="38">
        <f>10*LOG10(K53)</f>
        <v>27.1650796755138018</v>
      </c>
      <c r="K53" s="117">
        <f>1/(1/I53+1/K48)</f>
        <v>520.604559706988994</v>
      </c>
      <c r="L53" s="40" t="s">
        <v>103</v>
      </c>
      <c r="M53" s="40" t="s">
        <v>103</v>
      </c>
      <c r="N53" s="40" t="s">
        <v>103</v>
      </c>
      <c r="O53" s="40" t="s">
        <v>103</v>
      </c>
      <c r="P53" s="40" t="s">
        <v>103</v>
      </c>
      <c r="Q53" s="44">
        <f>10*LOG10(HARMEAN(K53,P48)/2)</f>
        <v>26.9494363070145013</v>
      </c>
    </row>
    <row r="54" spans="1:17" ht="13.45">
      <c r="A54" s="37" t="s">
        <v>119</v>
      </c>
      <c r="B54" s="30"/>
      <c r="C54" s="30"/>
      <c r="D54" s="38">
        <f>-Parámetros!C16</f>
        <v>-10</v>
      </c>
      <c r="E54" s="38">
        <f>D54+E53</f>
        <v>-7.79999999999999982</v>
      </c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64"/>
    </row>
    <row r="55" spans="1:17" ht="13.45">
      <c r="A55" s="37" t="s">
        <v>102</v>
      </c>
      <c r="B55" s="30"/>
      <c r="C55" s="30"/>
      <c r="D55" s="30"/>
      <c r="E55" s="38">
        <f>E54</f>
        <v>-7.79999999999999982</v>
      </c>
      <c r="F55" s="37" t="str">
        <f>IF(E55&gt;=Parámetros!C7,"V","F")</f>
        <v>V</v>
      </c>
      <c r="G55" s="30"/>
      <c r="H55" s="30"/>
      <c r="I55" s="30"/>
      <c r="J55" s="38"/>
      <c r="K55" s="38"/>
      <c r="L55" s="30"/>
      <c r="M55" s="30"/>
      <c r="N55" s="30"/>
      <c r="O55" s="38"/>
      <c r="P55" s="38"/>
      <c r="Q55" s="65"/>
    </row>
    <row r="56" spans="1:18" ht="13.45">
      <c r="A56" s="31"/>
      <c r="B56" s="30"/>
      <c r="C56" s="30"/>
      <c r="D56" s="30"/>
      <c r="E56" s="30"/>
      <c r="F56" s="66" t="s">
        <v>120</v>
      </c>
      <c r="G56" s="67"/>
      <c r="H56" s="67"/>
      <c r="I56" s="67"/>
      <c r="J56" s="68">
        <f>J53</f>
        <v>27.1650796755138018</v>
      </c>
      <c r="K56" s="69">
        <f>K53</f>
        <v>520.604559706988994</v>
      </c>
      <c r="L56" s="67"/>
      <c r="M56" s="67"/>
      <c r="N56" s="67"/>
      <c r="O56" s="68">
        <f>O48</f>
        <v>40.0972938958741025</v>
      </c>
      <c r="P56" s="68">
        <f>P48</f>
        <v>10226.5557344322006</v>
      </c>
      <c r="Q56" s="70">
        <f>10*LOG10(HARMEAN(K56,P56)/2)</f>
        <v>26.9494363070145013</v>
      </c>
      <c r="R56" s="98" t="s">
        <v>148</v>
      </c>
    </row>
    <row r="57" spans="1:17" ht="13.45">
      <c r="A57" s="31"/>
      <c r="B57" s="30"/>
      <c r="C57" s="30"/>
      <c r="D57" s="30"/>
      <c r="E57" s="30"/>
      <c r="F57" s="66" t="s">
        <v>122</v>
      </c>
      <c r="H57" s="67"/>
      <c r="I57" s="67"/>
      <c r="J57" s="68">
        <f>Parámetros!C10</f>
        <v>23.5</v>
      </c>
      <c r="K57" s="72">
        <f>10^(J57/10)</f>
        <v>223.872113856834005</v>
      </c>
      <c r="L57" s="67"/>
      <c r="M57" s="67"/>
      <c r="N57" s="67"/>
      <c r="O57" s="68"/>
      <c r="P57" s="67"/>
      <c r="Q57" s="73">
        <f>Parámetros!C12</f>
        <v>23.5</v>
      </c>
    </row>
    <row r="59" spans="1:9" ht="13.45">
      <c r="A59" s="74" t="s">
        <v>123</v>
      </c>
      <c r="B59" s="74" t="s">
        <v>124</v>
      </c>
      <c r="C59" s="74" t="s">
        <v>125</v>
      </c>
      <c r="D59" s="74" t="s">
        <v>126</v>
      </c>
      <c r="E59" s="30"/>
      <c r="F59" s="30"/>
      <c r="G59" s="75"/>
      <c r="H59" s="74" t="s">
        <v>123</v>
      </c>
      <c r="I59" s="74" t="s">
        <v>124</v>
      </c>
    </row>
    <row r="60" spans="1:9" ht="13.45">
      <c r="A60" s="76" t="s">
        <v>127</v>
      </c>
      <c r="B60" s="77" t="n">
        <v>18</v>
      </c>
      <c r="C60" s="76" t="n">
        <v>-17</v>
      </c>
      <c r="D60" s="77" t="n">
        <v>12000</v>
      </c>
      <c r="E60" s="30"/>
      <c r="F60" s="30"/>
      <c r="G60" s="75"/>
      <c r="H60" s="77" t="s">
        <v>128</v>
      </c>
      <c r="I60" s="77" t="n">
        <v>17.0899999999999999</v>
      </c>
    </row>
    <row r="61" spans="1:9" ht="13.45">
      <c r="A61" s="78" t="s">
        <v>129</v>
      </c>
      <c r="B61" s="78" t="s">
        <v>85</v>
      </c>
      <c r="C61" s="78" t="s">
        <v>130</v>
      </c>
      <c r="D61" s="78" t="s">
        <v>131</v>
      </c>
      <c r="E61" s="30"/>
      <c r="F61" s="30"/>
      <c r="G61" s="78" t="s">
        <v>85</v>
      </c>
      <c r="H61" s="78" t="s">
        <v>130</v>
      </c>
      <c r="I61" s="78" t="s">
        <v>131</v>
      </c>
    </row>
    <row r="62" spans="1:9" ht="13.45">
      <c r="A62" s="79" t="s">
        <v>132</v>
      </c>
      <c r="B62" s="80" t="n">
        <v>80</v>
      </c>
      <c r="C62" s="79">
        <f>B62*B$60</f>
        <v>1440</v>
      </c>
      <c r="D62" s="80">
        <f>C62</f>
        <v>1440</v>
      </c>
      <c r="E62" s="30"/>
      <c r="F62" s="30"/>
      <c r="G62" s="80" t="n">
        <v>80</v>
      </c>
      <c r="H62" s="80">
        <f>G62*I$60</f>
        <v>1367.20000000000005</v>
      </c>
      <c r="I62" s="80">
        <f>H62</f>
        <v>1367.20000000000005</v>
      </c>
    </row>
    <row r="63" spans="1:9" ht="13.45">
      <c r="A63" s="79" t="s">
        <v>133</v>
      </c>
      <c r="B63" s="80" t="n">
        <v>13</v>
      </c>
      <c r="C63" s="79">
        <f>B63*B$60</f>
        <v>234</v>
      </c>
      <c r="D63" s="80">
        <f>C63+D62</f>
        <v>1674</v>
      </c>
      <c r="E63" s="30"/>
      <c r="F63" s="30"/>
      <c r="G63" s="80" t="n">
        <v>13</v>
      </c>
      <c r="H63" s="80">
        <f>G63*I$60</f>
        <v>222.169999999999987</v>
      </c>
      <c r="I63" s="80">
        <f>H63+I62</f>
        <v>1589.36999999999989</v>
      </c>
    </row>
    <row r="64" spans="1:9" ht="13.45">
      <c r="A64" s="79" t="s">
        <v>134</v>
      </c>
      <c r="B64" s="80" t="n">
        <v>67</v>
      </c>
      <c r="C64" s="79">
        <f>B64*B$60</f>
        <v>1206</v>
      </c>
      <c r="D64" s="80">
        <f>C64+D63</f>
        <v>2880</v>
      </c>
      <c r="E64" s="30"/>
      <c r="F64" s="30"/>
      <c r="G64" s="80" t="n">
        <v>67</v>
      </c>
      <c r="H64" s="80">
        <f>G64*I$60</f>
        <v>1145.02999999999997</v>
      </c>
      <c r="I64" s="80">
        <f>H64+I63</f>
        <v>2734.40000000000009</v>
      </c>
    </row>
    <row r="65" spans="1:9" ht="13.45">
      <c r="A65" s="79" t="s">
        <v>135</v>
      </c>
      <c r="B65" s="80" t="n">
        <v>34</v>
      </c>
      <c r="C65" s="79">
        <f>B65*B$60</f>
        <v>612</v>
      </c>
      <c r="D65" s="80">
        <f>C65+D64</f>
        <v>3492</v>
      </c>
      <c r="E65" s="30"/>
      <c r="F65" s="30"/>
      <c r="G65" s="80" t="n">
        <v>34</v>
      </c>
      <c r="H65" s="80">
        <f>G65*I$60</f>
        <v>581.059999999999945</v>
      </c>
      <c r="I65" s="80">
        <f>H65+I64</f>
        <v>3315.46000000000004</v>
      </c>
    </row>
    <row r="66" spans="1:9" ht="13.45">
      <c r="A66" s="99" t="s">
        <v>136</v>
      </c>
      <c r="B66" s="100" t="n">
        <v>76</v>
      </c>
      <c r="C66" s="99">
        <f>B66*B$60</f>
        <v>1368</v>
      </c>
      <c r="D66" s="100">
        <f>C66</f>
        <v>1368</v>
      </c>
      <c r="E66" s="30"/>
      <c r="F66" s="30"/>
      <c r="G66" s="100" t="n">
        <v>76</v>
      </c>
      <c r="H66" s="100">
        <f>G66*I$60</f>
        <v>1298.83999999999992</v>
      </c>
      <c r="I66" s="100">
        <f>H66</f>
        <v>1298.83999999999992</v>
      </c>
    </row>
    <row r="67" spans="1:9" ht="13.45">
      <c r="A67" s="79" t="s">
        <v>137</v>
      </c>
      <c r="B67" s="80" t="n">
        <v>81</v>
      </c>
      <c r="C67" s="79">
        <f>B67*B$60</f>
        <v>1458</v>
      </c>
      <c r="D67" s="80">
        <f>C67+D66</f>
        <v>2826</v>
      </c>
      <c r="E67" s="30"/>
      <c r="F67" s="30"/>
      <c r="G67" s="80" t="n">
        <v>81</v>
      </c>
      <c r="H67" s="80">
        <f>G67*I$60</f>
        <v>1384.28999999999996</v>
      </c>
      <c r="I67" s="80">
        <f>H67+I66</f>
        <v>2683.13000000000011</v>
      </c>
    </row>
    <row r="68" spans="1:9" ht="13.45">
      <c r="A68" s="30"/>
      <c r="B68" s="30"/>
      <c r="C68" s="30"/>
      <c r="D68" s="30"/>
      <c r="E68" s="30"/>
      <c r="F68" s="30"/>
      <c r="G68" s="30"/>
      <c r="H68" s="30"/>
      <c r="I68" s="30"/>
    </row>
    <row r="69" spans="1:9" ht="13.45">
      <c r="A69" s="30"/>
      <c r="B69" s="30"/>
      <c r="C69" s="30"/>
      <c r="D69" s="30"/>
      <c r="E69" s="30"/>
      <c r="F69" s="30"/>
      <c r="G69" s="30"/>
      <c r="H69" s="30"/>
      <c r="I69" s="30"/>
    </row>
    <row r="70" spans="1:9" ht="13.45">
      <c r="A70" s="31"/>
      <c r="B70" s="30"/>
      <c r="C70" s="31"/>
      <c r="D70" s="30"/>
      <c r="E70" s="30"/>
      <c r="F70" s="30"/>
      <c r="G70" s="75"/>
      <c r="H70" s="74" t="s">
        <v>123</v>
      </c>
      <c r="I70" s="74" t="s">
        <v>124</v>
      </c>
    </row>
    <row r="71" spans="1:9" ht="13.45">
      <c r="A71" s="74" t="s">
        <v>138</v>
      </c>
      <c r="B71" s="77">
        <f>Parámetros!C43</f>
        <v>0.1</v>
      </c>
      <c r="C71" s="81" t="s">
        <v>139</v>
      </c>
      <c r="D71" s="30"/>
      <c r="E71" s="30"/>
      <c r="F71" s="30"/>
      <c r="G71" s="75"/>
      <c r="H71" s="77" t="s">
        <v>140</v>
      </c>
      <c r="I71" s="77" t="n">
        <v>18.8500000000000014</v>
      </c>
    </row>
    <row r="72" spans="1:9" ht="13.45">
      <c r="A72" s="78" t="s">
        <v>129</v>
      </c>
      <c r="B72" s="78" t="s">
        <v>85</v>
      </c>
      <c r="C72" s="78" t="s">
        <v>141</v>
      </c>
      <c r="D72" s="30"/>
      <c r="E72" s="30"/>
      <c r="F72" s="30"/>
      <c r="G72" s="78" t="s">
        <v>85</v>
      </c>
      <c r="H72" s="78" t="s">
        <v>130</v>
      </c>
      <c r="I72" s="78" t="s">
        <v>131</v>
      </c>
    </row>
    <row r="73" spans="1:9" ht="13.45">
      <c r="A73" s="79" t="s">
        <v>132</v>
      </c>
      <c r="B73" s="80" t="n">
        <v>80</v>
      </c>
      <c r="C73" s="80">
        <f>B$71*SQRT(B73)</f>
        <v>0.894427190999915922</v>
      </c>
      <c r="D73" s="30"/>
      <c r="E73" s="30"/>
      <c r="F73" s="30"/>
      <c r="G73" s="80" t="n">
        <v>80</v>
      </c>
      <c r="H73" s="80">
        <f>G73*I$71</f>
        <v>1508</v>
      </c>
      <c r="I73" s="80">
        <f>H73</f>
        <v>1508</v>
      </c>
    </row>
    <row r="74" spans="1:9" ht="13.45">
      <c r="A74" s="79" t="s">
        <v>133</v>
      </c>
      <c r="B74" s="80" t="n">
        <v>13</v>
      </c>
      <c r="C74" s="80">
        <f>B$71*SQRT(B74)</f>
        <v>0.360555127546399001</v>
      </c>
      <c r="D74" s="30"/>
      <c r="E74" s="30"/>
      <c r="F74" s="30"/>
      <c r="G74" s="80" t="n">
        <v>13</v>
      </c>
      <c r="H74" s="80">
        <f>G74*I$71</f>
        <v>245.050000000000011</v>
      </c>
      <c r="I74" s="80">
        <f>H74+I73</f>
        <v>1753.04999999999995</v>
      </c>
    </row>
    <row r="75" spans="1:9" ht="13.45">
      <c r="A75" s="79" t="s">
        <v>134</v>
      </c>
      <c r="B75" s="80" t="n">
        <v>67</v>
      </c>
      <c r="C75" s="80">
        <f>B$71*SQRT(B75)</f>
        <v>0.818535277187244859</v>
      </c>
      <c r="D75" s="84" t="s">
        <v>149</v>
      </c>
      <c r="E75" s="30"/>
      <c r="F75" s="30"/>
      <c r="G75" s="80" t="n">
        <v>67</v>
      </c>
      <c r="H75" s="80">
        <f>G75*I$71</f>
        <v>1262.95000000000005</v>
      </c>
      <c r="I75" s="80">
        <f>H75+I74</f>
        <v>3016</v>
      </c>
    </row>
    <row r="76" spans="1:9" ht="13.45">
      <c r="A76" s="79" t="s">
        <v>135</v>
      </c>
      <c r="B76" s="80" t="n">
        <v>34</v>
      </c>
      <c r="C76" s="80">
        <f>B$71*SQRT(B76)</f>
        <v>0.583095189484529985</v>
      </c>
      <c r="D76" s="84">
        <f>SUM(C73:C76)</f>
        <v>2.65661278521809008</v>
      </c>
      <c r="E76" s="30"/>
      <c r="F76" s="30"/>
      <c r="G76" s="80" t="n">
        <v>34</v>
      </c>
      <c r="H76" s="80">
        <f>G76*I$71</f>
        <v>640.899999999999977</v>
      </c>
      <c r="I76" s="80">
        <f>H76+I75</f>
        <v>3656.90000000000009</v>
      </c>
    </row>
    <row r="77" spans="1:9" ht="13.45">
      <c r="A77" s="99" t="s">
        <v>136</v>
      </c>
      <c r="B77" s="100" t="n">
        <v>76</v>
      </c>
      <c r="C77" s="100">
        <f>B$71*SQRT(B77)</f>
        <v>0.871779788708134973</v>
      </c>
      <c r="D77" s="30"/>
      <c r="E77" s="30"/>
      <c r="F77" s="30"/>
      <c r="G77" s="100" t="n">
        <v>76</v>
      </c>
      <c r="H77" s="100">
        <f>G77*I$71</f>
        <v>1432.59999999999991</v>
      </c>
      <c r="I77" s="100">
        <f>H77</f>
        <v>1432.59999999999991</v>
      </c>
    </row>
    <row r="78" spans="1:9" ht="13.45">
      <c r="A78" s="79" t="s">
        <v>137</v>
      </c>
      <c r="B78" s="80" t="n">
        <v>81</v>
      </c>
      <c r="C78" s="80">
        <f>B$71*SQRT(B78)</f>
        <v>0.9</v>
      </c>
      <c r="D78" s="30"/>
      <c r="E78" s="30"/>
      <c r="F78" s="30"/>
      <c r="G78" s="80" t="n">
        <v>81</v>
      </c>
      <c r="H78" s="80">
        <f>G78*I$71</f>
        <v>1526.84999999999991</v>
      </c>
      <c r="I78" s="80">
        <f>H78+I77</f>
        <v>2959.44999999999982</v>
      </c>
    </row>
    <row r="79" spans="1:9" ht="13.45">
      <c r="A79" s="84" t="s">
        <v>142</v>
      </c>
      <c r="B79" s="82"/>
      <c r="C79" s="84">
        <f>SUM(C77:C78)</f>
        <v>1.77177978870813995</v>
      </c>
      <c r="D79" s="30"/>
      <c r="E79" s="30"/>
      <c r="F79" s="30"/>
      <c r="G79" s="30"/>
      <c r="H79" s="30"/>
      <c r="I79" s="30"/>
    </row>
    <row r="80" spans="2:9" ht="13.45">
      <c r="B80" s="9" t="s">
        <v>143</v>
      </c>
      <c r="C80" s="3"/>
      <c r="D80" s="30"/>
      <c r="E80" s="30"/>
      <c r="F80" s="30"/>
      <c r="G80" s="85"/>
      <c r="H80" s="30"/>
      <c r="I80" s="85"/>
    </row>
  </sheetData>
  <mergeCells count="4">
    <mergeCell ref="A1:C1"/>
    <mergeCell ref="R56:R57"/>
    <mergeCell ref="F57:G57"/>
    <mergeCell ref="B80:C80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H20"/>
  <sheetViews>
    <sheetView view="normal" workbookViewId="0">
      <selection activeCell="E3" sqref="E3"/>
    </sheetView>
  </sheetViews>
  <sheetFormatPr baseColWidth="11" defaultColWidth="12.630631" defaultRowHeight="15.75" customHeight="1"/>
  <cols>
    <col min="1" max="1" width="26.873874" customWidth="1"/>
    <col min="2" max="2" width="11.594595" customWidth="1"/>
    <col min="3" max="3" width="26.981982" customWidth="1"/>
    <col min="4" max="4" width="17.855856" customWidth="1"/>
    <col min="5" max="5" width="19.099099" customWidth="1"/>
  </cols>
  <sheetData>
    <row r="1" spans="1:5" ht="13.45">
      <c r="A1" s="101" t="s">
        <v>150</v>
      </c>
      <c r="B1" s="2"/>
      <c r="C1" s="2"/>
      <c r="D1" s="2"/>
      <c r="E1" s="3"/>
    </row>
    <row r="2" spans="1:5" ht="13.45">
      <c r="A2" s="102" t="s">
        <v>129</v>
      </c>
      <c r="B2" s="102" t="s">
        <v>85</v>
      </c>
      <c r="C2" s="102" t="s">
        <v>151</v>
      </c>
      <c r="D2" s="102" t="s">
        <v>152</v>
      </c>
      <c r="E2" s="102" t="s">
        <v>153</v>
      </c>
    </row>
    <row r="3" spans="1:8" ht="13.45">
      <c r="A3" s="103" t="s">
        <v>132</v>
      </c>
      <c r="B3" s="103" t="n">
        <v>80</v>
      </c>
      <c r="C3" s="103">
        <f>'Enlace Comprometido'!E7</f>
        <v>2.5</v>
      </c>
      <c r="D3" s="116">
        <f>(1-EXP(-$H$3*B3))/$H$3</f>
        <v>22.6980345956010012</v>
      </c>
      <c r="E3" s="103">
        <f>(1.55*Parámetros!$C$46)/(2*PI()*Parámetros!$C$47*10^(C3/10)*0.001)*10^-9</f>
        <v>655.085897887302053</v>
      </c>
      <c r="G3" s="104" t="s">
        <v>154</v>
      </c>
      <c r="H3" s="105">
        <f>Parámetros!$C$41*LN(10)/10</f>
        <v>0.0425978242203899971</v>
      </c>
    </row>
    <row r="4" spans="1:5" ht="13.45">
      <c r="A4" s="103" t="s">
        <v>133</v>
      </c>
      <c r="B4" s="103" t="n">
        <v>13</v>
      </c>
      <c r="C4" s="103">
        <f>'Enlace Comprometido'!E15</f>
        <v>2.5</v>
      </c>
      <c r="D4" s="116">
        <f>(1-EXP(-$H$3*B4))/$H$3</f>
        <v>9.98225118152729962</v>
      </c>
      <c r="E4" s="103">
        <f>(1.55*Parámetros!$C$46)/(2*PI()*Parámetros!$C$47*10^(C4/10)*0.001)*10^-9</f>
        <v>655.085897887302053</v>
      </c>
    </row>
    <row r="5" spans="1:5" ht="13.45">
      <c r="A5" s="103" t="s">
        <v>134</v>
      </c>
      <c r="B5" s="103" t="n">
        <v>67</v>
      </c>
      <c r="C5" s="103">
        <f>'Enlace Comprometido'!E23</f>
        <v>2.5</v>
      </c>
      <c r="D5" s="116">
        <f>(1-EXP(-$H$3*B5))/$H$3</f>
        <v>22.1229542914759989</v>
      </c>
      <c r="E5" s="103">
        <f>(1.55*Parámetros!$C$46)/(2*PI()*Parámetros!$C$47*10^(C5/10)*0.001)*10^-9</f>
        <v>655.085897887302053</v>
      </c>
    </row>
    <row r="6" spans="1:5" ht="13.45">
      <c r="A6" s="103" t="s">
        <v>135</v>
      </c>
      <c r="B6" s="103" t="n">
        <v>34</v>
      </c>
      <c r="C6" s="103">
        <f>'Enlace Comprometido'!E31</f>
        <v>2.5</v>
      </c>
      <c r="D6" s="116">
        <f>(1-EXP(-$H$3*B6))/$H$3</f>
        <v>17.9595256780504009</v>
      </c>
      <c r="E6" s="103">
        <f>(1.55*Parámetros!$C$46)/(2*PI()*Parámetros!$C$47*10^(C6/10)*0.001)*10^-9</f>
        <v>655.085897887302053</v>
      </c>
    </row>
    <row r="7" spans="1:5" ht="13.45">
      <c r="A7" s="103" t="s">
        <v>155</v>
      </c>
      <c r="B7" s="103" t="n">
        <v>76</v>
      </c>
      <c r="C7" s="103">
        <f>'Enlace Comprometido'!E39</f>
        <v>2.5</v>
      </c>
      <c r="D7" s="116">
        <f>(1-EXP(-$H$3*B7))/$H$3</f>
        <v>22.5536285958983989</v>
      </c>
      <c r="E7" s="103">
        <f>(1.55*Parámetros!$C$46)/(2*PI()*Parámetros!$C$47*10^(C7/10)*0.001)*10^-9</f>
        <v>655.085897887302053</v>
      </c>
    </row>
    <row r="8" spans="1:5" ht="13.45">
      <c r="A8" s="103" t="s">
        <v>156</v>
      </c>
      <c r="B8" s="103" t="n">
        <v>81</v>
      </c>
      <c r="C8" s="103">
        <f>'Enlace Comprometido'!E47</f>
        <v>2.5</v>
      </c>
      <c r="D8" s="116">
        <f>(1-EXP(-$H$3*B8))/$H$3</f>
        <v>22.7304523431074017</v>
      </c>
      <c r="E8" s="103">
        <f>(1.55*Parámetros!$C$46)/(2*PI()*Parámetros!$C$47*10^(C8/10)*0.001)*10^-9</f>
        <v>655.085897887302053</v>
      </c>
    </row>
    <row r="9" spans="1:2" ht="13.45">
      <c r="A9" s="103" t="s">
        <v>120</v>
      </c>
      <c r="B9" s="103">
        <f>SUM(B3:B8)</f>
        <v>351</v>
      </c>
    </row>
    <row r="11" spans="1:5" ht="13.45">
      <c r="A11" s="101" t="s">
        <v>157</v>
      </c>
      <c r="B11" s="2"/>
      <c r="C11" s="2"/>
      <c r="D11" s="2"/>
      <c r="E11" s="3"/>
    </row>
    <row r="12" spans="1:5" ht="13.45">
      <c r="A12" s="102" t="s">
        <v>129</v>
      </c>
      <c r="B12" s="102" t="s">
        <v>85</v>
      </c>
      <c r="C12" s="102" t="s">
        <v>151</v>
      </c>
      <c r="D12" s="102" t="s">
        <v>152</v>
      </c>
      <c r="E12" s="102" t="s">
        <v>153</v>
      </c>
    </row>
    <row r="13" spans="1:5" ht="13.45">
      <c r="A13" s="103" t="s">
        <v>158</v>
      </c>
      <c r="B13" s="103" t="n">
        <v>107</v>
      </c>
      <c r="C13" s="103">
        <f>'Enlace Largo 100Gbps'!E7</f>
        <v>2.5</v>
      </c>
      <c r="D13" s="116">
        <f>(1-EXP(-$H$3*B13))/$H$3</f>
        <v>23.2292768509651992</v>
      </c>
      <c r="E13" s="103">
        <f>(1.55*Parámetros!$C$46)/(2*PI()*Parámetros!$C$47*10^(C13/10)*0.001)*10^-9</f>
        <v>655.085897887302053</v>
      </c>
    </row>
    <row r="14" spans="1:5" ht="13.45">
      <c r="A14" s="103" t="s">
        <v>159</v>
      </c>
      <c r="B14" s="103" t="n">
        <v>95</v>
      </c>
      <c r="C14" s="103">
        <f>'Enlace Largo 100Gbps'!E11</f>
        <v>5.48000000000000043</v>
      </c>
      <c r="D14" s="116">
        <f>(1-EXP(-$H$3*B14))/$H$3</f>
        <v>23.0650669454972004</v>
      </c>
      <c r="E14" s="103">
        <f>(1.55*Parámetros!$C$46)/(2*PI()*Parámetros!$C$47*10^(C14/10)*0.001)*10^-9</f>
        <v>329.836148394627003</v>
      </c>
    </row>
    <row r="15" spans="1:5" ht="13.45">
      <c r="A15" s="103" t="s">
        <v>160</v>
      </c>
      <c r="B15" s="103" t="n">
        <v>77</v>
      </c>
      <c r="C15" s="103">
        <f>'Enlace Largo 100Gbps'!E15</f>
        <v>5.48000000000000043</v>
      </c>
      <c r="D15" s="116">
        <f>(1-EXP(-$H$3*B15))/$H$3</f>
        <v>22.5920685477774015</v>
      </c>
      <c r="E15" s="103">
        <f>(1.55*Parámetros!$C$46)/(2*PI()*Parámetros!$C$47*10^(C15/10)*0.001)*10^-9</f>
        <v>329.836148394627003</v>
      </c>
    </row>
    <row r="16" spans="1:5" ht="13.45">
      <c r="A16" s="103" t="s">
        <v>161</v>
      </c>
      <c r="B16" s="103" t="n">
        <v>74</v>
      </c>
      <c r="C16" s="103">
        <f>'Enlace Largo 100Gbps'!E19</f>
        <v>5.48000000000000043</v>
      </c>
      <c r="D16" s="116">
        <f>(1-EXP(-$H$3*B16))/$H$3</f>
        <v>22.4716573887039992</v>
      </c>
      <c r="E16" s="103">
        <f>(1.55*Parámetros!$C$46)/(2*PI()*Parámetros!$C$47*10^(C16/10)*0.001)*10^-9</f>
        <v>329.836148394627003</v>
      </c>
    </row>
    <row r="17" spans="1:5" ht="13.45">
      <c r="A17" s="103" t="s">
        <v>162</v>
      </c>
      <c r="B17" s="103" t="n">
        <v>96</v>
      </c>
      <c r="C17" s="103">
        <f>'Enlace Largo 100Gbps'!E23</f>
        <v>5.48000000000000043</v>
      </c>
      <c r="D17" s="116">
        <f>(1-EXP(-$H$3*B17))/$H$3</f>
        <v>23.0821782387911014</v>
      </c>
      <c r="E17" s="103">
        <f>(1.55*Parámetros!$C$46)/(2*PI()*Parámetros!$C$47*10^(C17/10)*0.001)*10^-9</f>
        <v>329.836148394627003</v>
      </c>
    </row>
    <row r="18" spans="1:5" ht="13.45">
      <c r="A18" s="103" t="s">
        <v>163</v>
      </c>
      <c r="B18" s="103" t="n">
        <v>64</v>
      </c>
      <c r="C18" s="103">
        <f>'Enlace Largo 100Gbps'!E27</f>
        <v>5.48000000000000043</v>
      </c>
      <c r="D18" s="116">
        <f>(1-EXP(-$H$3*B18))/$H$3</f>
        <v>21.9385942755721004</v>
      </c>
      <c r="E18" s="103">
        <f>(1.55*Parámetros!$C$46)/(2*PI()*Parámetros!$C$47*10^(C18/10)*0.001)*10^-9</f>
        <v>329.836148394627003</v>
      </c>
    </row>
    <row r="19" spans="1:5" ht="13.45">
      <c r="A19" s="103" t="s">
        <v>164</v>
      </c>
      <c r="B19" s="103" t="n">
        <v>79</v>
      </c>
      <c r="C19" s="103">
        <f>'Enlace Largo 100Gbps'!E31</f>
        <v>5.48000000000000043</v>
      </c>
      <c r="D19" s="116">
        <f>(1-EXP(-$H$3*B19))/$H$3</f>
        <v>22.6642060882558987</v>
      </c>
      <c r="E19" s="103">
        <f>(1.55*Parámetros!$C$46)/(2*PI()*Parámetros!$C$47*10^(C19/10)*0.001)*10^-9</f>
        <v>329.836148394627003</v>
      </c>
    </row>
    <row r="20" spans="1:2" ht="13.45">
      <c r="A20" s="103" t="s">
        <v>120</v>
      </c>
      <c r="B20" s="103">
        <f>SUM(B13:B19)</f>
        <v>592</v>
      </c>
    </row>
  </sheetData>
  <mergeCells count="2">
    <mergeCell ref="A1:E1"/>
    <mergeCell ref="A11:E11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U64"/>
  <sheetViews>
    <sheetView view="normal" workbookViewId="0">
      <selection activeCell="D1" sqref="D1"/>
    </sheetView>
  </sheetViews>
  <sheetFormatPr baseColWidth="11" defaultColWidth="12.630631" defaultRowHeight="15.75" customHeight="1"/>
  <cols>
    <col min="1" max="1" width="30.000000" customWidth="1"/>
    <col min="2" max="2" width="23.747748" customWidth="1"/>
    <col min="3" max="3" width="26.495495" customWidth="1"/>
    <col min="4" max="4" width="26.747748" customWidth="1"/>
    <col min="5" max="5" width="24.126126" customWidth="1"/>
    <col min="6" max="6" width="18.000000" customWidth="1"/>
    <col min="7" max="7" width="14.252252" customWidth="1"/>
    <col min="8" max="8" width="22.495495" customWidth="1"/>
    <col min="9" max="9" width="26.378378" customWidth="1"/>
    <col min="10" max="10" width="21.378378" customWidth="1"/>
    <col min="11" max="11" width="26.000000" customWidth="1"/>
    <col min="12" max="13" width="15.126126" customWidth="1"/>
    <col min="14" max="14" width="15.000000" customWidth="1"/>
    <col min="15" max="15" width="21.747748" customWidth="1"/>
    <col min="16" max="16" width="26.252252" customWidth="1"/>
    <col min="17" max="17" width="19.630631" customWidth="1"/>
    <col min="18" max="18" width="13.252252" customWidth="1"/>
  </cols>
  <sheetData>
    <row r="1" spans="1:21" ht="13.45">
      <c r="A1" s="29" t="s">
        <v>165</v>
      </c>
      <c r="B1" s="29"/>
      <c r="C1" s="29"/>
      <c r="D1" s="131" t="s">
        <v>83</v>
      </c>
      <c r="E1" s="30"/>
      <c r="F1" s="31"/>
      <c r="G1" s="30"/>
      <c r="H1" s="30"/>
      <c r="I1" s="30"/>
      <c r="J1" s="30"/>
      <c r="K1" s="30"/>
      <c r="L1" s="31"/>
      <c r="M1" s="30"/>
      <c r="N1" s="30"/>
      <c r="O1" s="30"/>
      <c r="P1" s="30"/>
      <c r="Q1" s="30"/>
      <c r="R1" s="30"/>
      <c r="S1" s="30"/>
      <c r="T1" s="30"/>
      <c r="U1" s="30"/>
    </row>
    <row r="2" spans="1:21" ht="13.4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166</v>
      </c>
      <c r="G2" s="32" t="s">
        <v>90</v>
      </c>
      <c r="H2" s="32" t="s">
        <v>91</v>
      </c>
      <c r="I2" s="32" t="s">
        <v>92</v>
      </c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2" t="s">
        <v>99</v>
      </c>
      <c r="Q2" s="32" t="s">
        <v>100</v>
      </c>
      <c r="R2" s="106"/>
      <c r="S2" s="30"/>
      <c r="T2" s="30"/>
      <c r="U2" s="30"/>
    </row>
    <row r="3" spans="1:21" ht="13.45">
      <c r="A3" s="33" t="s">
        <v>167</v>
      </c>
      <c r="B3" s="34"/>
      <c r="C3" s="34"/>
      <c r="D3" s="34"/>
      <c r="E3" s="34"/>
      <c r="F3" s="35" t="n">
        <v>100</v>
      </c>
      <c r="G3" s="34"/>
      <c r="H3" s="34"/>
      <c r="I3" s="34"/>
      <c r="J3" s="34"/>
      <c r="K3" s="34"/>
      <c r="L3" s="35"/>
      <c r="M3" s="34"/>
      <c r="N3" s="34"/>
      <c r="O3" s="34"/>
      <c r="P3" s="34"/>
      <c r="Q3" s="107"/>
      <c r="R3" s="30"/>
      <c r="S3" s="30"/>
      <c r="T3" s="30"/>
      <c r="U3" s="30"/>
    </row>
    <row r="4" spans="1:21" ht="13.45">
      <c r="A4" s="37" t="s">
        <v>102</v>
      </c>
      <c r="B4" s="30"/>
      <c r="C4" s="30"/>
      <c r="D4" s="30"/>
      <c r="E4" s="38">
        <f>Parámetros!C65</f>
        <v>-9</v>
      </c>
      <c r="F4" s="37"/>
      <c r="G4" s="30"/>
      <c r="H4" s="38">
        <f>Parámetros!C9</f>
        <v>38</v>
      </c>
      <c r="I4" s="38">
        <f>10^(H4/10)</f>
        <v>6309.57344480193024</v>
      </c>
      <c r="J4" s="38">
        <f>H4</f>
        <v>38</v>
      </c>
      <c r="K4" s="38">
        <f>I4</f>
        <v>6309.57344480193024</v>
      </c>
      <c r="L4" s="40" t="s">
        <v>103</v>
      </c>
      <c r="M4" s="40" t="s">
        <v>103</v>
      </c>
      <c r="N4" s="40" t="s">
        <v>103</v>
      </c>
      <c r="O4" s="40" t="s">
        <v>103</v>
      </c>
      <c r="P4" s="40" t="s">
        <v>103</v>
      </c>
      <c r="Q4" s="108"/>
      <c r="R4" s="30"/>
      <c r="S4" s="30"/>
      <c r="T4" s="30"/>
      <c r="U4" s="30"/>
    </row>
    <row r="5" spans="1:21" ht="13.45">
      <c r="A5" s="37" t="s">
        <v>104</v>
      </c>
      <c r="B5" s="30"/>
      <c r="C5" s="30"/>
      <c r="D5" s="38">
        <f>-Parámetros!C16</f>
        <v>-10</v>
      </c>
      <c r="E5" s="42">
        <f>D5+E4</f>
        <v>-19</v>
      </c>
      <c r="F5" s="43">
        <f>Parámetros!C$29</f>
        <v>-17.5199999999999996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64"/>
      <c r="R5" s="30"/>
      <c r="S5" s="30"/>
      <c r="T5" s="30"/>
      <c r="U5" s="30"/>
    </row>
    <row r="6" spans="1:21" ht="13.45">
      <c r="A6" s="37" t="s">
        <v>105</v>
      </c>
      <c r="B6" s="30"/>
      <c r="C6" s="30"/>
      <c r="D6" s="38">
        <f>Parámetros!C27</f>
        <v>21.5</v>
      </c>
      <c r="E6" s="38">
        <f>D6+E5</f>
        <v>2.5</v>
      </c>
      <c r="F6" s="31"/>
      <c r="G6" s="30">
        <f>Parámetros!C30</f>
        <v>6</v>
      </c>
      <c r="H6" s="45">
        <f>E5+158.9-10*LOG10(Parámetros!C13*10^9)-G6</f>
        <v>32.9308998699190028</v>
      </c>
      <c r="I6" s="46">
        <f>10^(H6/10)</f>
        <v>1963.76713254782999</v>
      </c>
      <c r="J6" s="46">
        <f>10*LOG10(K6)</f>
        <v>31.7540908428696014</v>
      </c>
      <c r="K6" s="46">
        <f>1/((1/K4)+(1/I6))</f>
        <v>1497.64570132966992</v>
      </c>
      <c r="L6" s="47">
        <f>(2/3)^3*Parámetros!C56*(Parámetros!C57)^2*'No linealidades'!D13*(10^(E7/10)*0.001)^2*LOG10(PI()^2*ABS(Parámetros!C58*10^(-24))*'No linealidades'!D13*(Parámetros!C59)^2*Parámetros!C74^2)/(PI()*ABS(Parámetros!C58*10^(-24))*Parámetros!C74^3)*Parámetros!C73*10^9</f>
        <v>0.000347218869708</v>
      </c>
      <c r="M6" s="48">
        <f>10*LOG10(N6)</f>
        <v>34.5939668099734021</v>
      </c>
      <c r="N6" s="49">
        <f>1/L6</f>
        <v>2880.02780736244995</v>
      </c>
      <c r="O6" s="48">
        <f>M6</f>
        <v>34.5939668099734021</v>
      </c>
      <c r="P6" s="50">
        <f>N6</f>
        <v>2880.02780736244995</v>
      </c>
      <c r="Q6" s="64">
        <f>10*LOG10(HARMEAN(K6,P6)/2)</f>
        <v>29.9356239696532995</v>
      </c>
      <c r="R6" s="30"/>
      <c r="S6" s="30"/>
      <c r="T6" s="30"/>
      <c r="U6" s="30"/>
    </row>
    <row r="7" spans="1:21" ht="13.45">
      <c r="A7" s="37" t="s">
        <v>168</v>
      </c>
      <c r="B7" s="30"/>
      <c r="C7" s="30"/>
      <c r="D7" s="38" t="n">
        <v>0</v>
      </c>
      <c r="E7" s="38">
        <f>E6</f>
        <v>2.5</v>
      </c>
      <c r="F7" s="37"/>
      <c r="G7" s="30"/>
      <c r="H7" s="30"/>
      <c r="I7" s="30"/>
      <c r="J7" s="30"/>
      <c r="K7" s="30"/>
      <c r="L7" s="30"/>
      <c r="M7" s="30"/>
      <c r="N7" s="30"/>
      <c r="O7" s="30"/>
      <c r="P7" s="30"/>
      <c r="Q7" s="64"/>
      <c r="R7" s="30"/>
      <c r="S7" s="30"/>
      <c r="T7" s="30"/>
      <c r="U7" s="30"/>
    </row>
    <row r="8" spans="1:21" ht="13.45">
      <c r="A8" s="53" t="s">
        <v>107</v>
      </c>
      <c r="B8" s="54" t="n">
        <v>107</v>
      </c>
      <c r="C8" s="54">
        <f>Parámetros!C41</f>
        <v>0.185</v>
      </c>
      <c r="D8" s="54">
        <f>-B8*C8</f>
        <v>-19.7950000000000017</v>
      </c>
      <c r="E8" s="54">
        <f>D8+E7</f>
        <v>-17.2950000000000017</v>
      </c>
      <c r="F8" s="53" t="str">
        <f>IF(E8&gt;=Parámetros!C$33,"V","F")</f>
        <v>V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64"/>
      <c r="R8" s="30"/>
      <c r="S8" s="30"/>
      <c r="T8" s="30"/>
      <c r="U8" s="30"/>
    </row>
    <row r="9" spans="1:21" ht="13.45">
      <c r="A9" s="109" t="s">
        <v>169</v>
      </c>
      <c r="B9" s="110"/>
      <c r="C9" s="110"/>
      <c r="D9" s="110"/>
      <c r="E9" s="110"/>
      <c r="F9" s="111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64"/>
      <c r="R9" s="30"/>
      <c r="S9" s="30"/>
      <c r="T9" s="30"/>
      <c r="U9" s="30"/>
    </row>
    <row r="10" spans="1:21" ht="13.45">
      <c r="A10" s="37" t="s">
        <v>170</v>
      </c>
      <c r="B10" s="30"/>
      <c r="C10" s="30"/>
      <c r="D10" s="38">
        <f>-(E8-Parámetros!C$37)</f>
        <v>-2.22500000000000009</v>
      </c>
      <c r="E10" s="42">
        <f>E8+D10</f>
        <v>-19.5199999999999996</v>
      </c>
      <c r="F10" s="43">
        <f>Parámetros!C$37</f>
        <v>-19.5199999999999996</v>
      </c>
      <c r="G10" s="30"/>
      <c r="H10" s="30"/>
      <c r="I10" s="30"/>
      <c r="J10" s="30"/>
      <c r="K10" s="30"/>
      <c r="L10" s="30"/>
      <c r="M10" s="46"/>
      <c r="N10" s="46"/>
      <c r="O10" s="46"/>
      <c r="P10" s="46"/>
      <c r="Q10" s="64"/>
      <c r="R10" s="30"/>
      <c r="S10" s="30"/>
      <c r="T10" s="30"/>
      <c r="U10" s="30"/>
    </row>
    <row r="11" spans="1:21" ht="13.45">
      <c r="A11" s="37" t="s">
        <v>171</v>
      </c>
      <c r="B11" s="30"/>
      <c r="C11" s="30"/>
      <c r="D11" s="38">
        <f>Parámetros!C$35</f>
        <v>25</v>
      </c>
      <c r="E11" s="38">
        <f>E10+D11</f>
        <v>5.48000000000000043</v>
      </c>
      <c r="F11" s="31"/>
      <c r="G11" s="38">
        <f>Parámetros!C$38</f>
        <v>5.5</v>
      </c>
      <c r="H11" s="38">
        <f>E10+158.9-10*LOG10(Parámetros!C$13*10^9)-G11</f>
        <v>32.9108998699189996</v>
      </c>
      <c r="I11" s="46">
        <f>10^(H11/10)</f>
        <v>1954.74444215498011</v>
      </c>
      <c r="J11" s="46">
        <f>10*LOG10(K11)</f>
        <v>29.2837920324237011</v>
      </c>
      <c r="K11" s="46">
        <f>1/((1/K6)+(1/I11))</f>
        <v>847.967491888250038</v>
      </c>
      <c r="L11" s="47">
        <f>(2/3)^3*Parámetros!C56*(Parámetros!C57)^2*'No linealidades'!D14*(10^(E11/10)*0.001)^2*LOG10(PI()^2*ABS(Parámetros!C58*10^(-24))*'No linealidades'!D14*(Parámetros!C59)^2*Parámetros!C74^2)/(PI()*ABS(Parámetros!C58*10^(-24))*Parámetros!C74^3)*Parámetros!C73*10^9</f>
        <v>0.00135888049185600002</v>
      </c>
      <c r="M11" s="48">
        <f>10*LOG10(N11)</f>
        <v>28.6681873606345015</v>
      </c>
      <c r="N11" s="49">
        <f>1/L11</f>
        <v>735.899886703185985</v>
      </c>
      <c r="O11" s="48">
        <f>10*LOG10(P11)</f>
        <v>27.6799567954459995</v>
      </c>
      <c r="P11" s="50">
        <f>HARMEAN(N11,N6)/2</f>
        <v>586.132333513849971</v>
      </c>
      <c r="Q11" s="64">
        <f>10*LOG10(HARMEAN(K11,P11)/2)</f>
        <v>25.3979549985660995</v>
      </c>
      <c r="R11" s="30"/>
      <c r="S11" s="30"/>
      <c r="T11" s="30"/>
      <c r="U11" s="30"/>
    </row>
    <row r="12" spans="1:21" ht="13.45">
      <c r="A12" s="53" t="s">
        <v>107</v>
      </c>
      <c r="B12" s="54" t="n">
        <v>95</v>
      </c>
      <c r="C12" s="54">
        <f>Parámetros!C41</f>
        <v>0.185</v>
      </c>
      <c r="D12" s="54">
        <f>-B12*C12</f>
        <v>-17.5749999999999993</v>
      </c>
      <c r="E12" s="54">
        <f>D12+E11</f>
        <v>-12.0950000000000006</v>
      </c>
      <c r="F12" s="53" t="str">
        <f>IF(E12&gt;=Parámetros!C$33,"V","F")</f>
        <v>V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64"/>
      <c r="R12" s="30"/>
      <c r="S12" s="30"/>
      <c r="T12" s="30"/>
      <c r="U12" s="30"/>
    </row>
    <row r="13" spans="1:21" ht="13.45">
      <c r="A13" s="109" t="s">
        <v>172</v>
      </c>
      <c r="B13" s="110"/>
      <c r="C13" s="110"/>
      <c r="D13" s="110"/>
      <c r="E13" s="110"/>
      <c r="F13" s="111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64"/>
      <c r="R13" s="30"/>
      <c r="S13" s="30"/>
      <c r="T13" s="30"/>
      <c r="U13" s="30"/>
    </row>
    <row r="14" spans="1:21" ht="13.45">
      <c r="A14" s="37" t="s">
        <v>170</v>
      </c>
      <c r="B14" s="30"/>
      <c r="C14" s="30"/>
      <c r="D14" s="38">
        <f>-(E12-Parámetros!C$37)</f>
        <v>-7.42499999999999982</v>
      </c>
      <c r="E14" s="42">
        <f>D14+E12</f>
        <v>-19.5199999999999996</v>
      </c>
      <c r="F14" s="43">
        <f>Parámetros!C$37</f>
        <v>-19.5199999999999996</v>
      </c>
      <c r="G14" s="30"/>
      <c r="H14" s="30"/>
      <c r="I14" s="30"/>
      <c r="J14" s="30"/>
      <c r="K14" s="30"/>
      <c r="L14" s="30"/>
      <c r="M14" s="46"/>
      <c r="N14" s="46"/>
      <c r="O14" s="46"/>
      <c r="P14" s="46"/>
      <c r="Q14" s="64"/>
      <c r="R14" s="30"/>
      <c r="S14" s="30"/>
      <c r="T14" s="30"/>
      <c r="U14" s="30"/>
    </row>
    <row r="15" spans="1:21" ht="13.45">
      <c r="A15" s="37" t="s">
        <v>173</v>
      </c>
      <c r="B15" s="30"/>
      <c r="C15" s="30"/>
      <c r="D15" s="38">
        <f>Parámetros!C$35</f>
        <v>25</v>
      </c>
      <c r="E15" s="38">
        <f>D15+E14</f>
        <v>5.48000000000000043</v>
      </c>
      <c r="F15" s="31"/>
      <c r="G15" s="38">
        <f>Parámetros!C$38</f>
        <v>5.5</v>
      </c>
      <c r="H15" s="38">
        <f>E14+158.9-10*LOG10(Parámetros!C$13*10^9)-G15</f>
        <v>32.9108998699189996</v>
      </c>
      <c r="I15" s="46">
        <f>10^(H15/10)</f>
        <v>1954.74444215498011</v>
      </c>
      <c r="J15" s="46">
        <f>10*LOG10(K15)</f>
        <v>27.7189072746655008</v>
      </c>
      <c r="K15" s="46">
        <f>1/((1/K11)+(1/I15))</f>
        <v>591.412810486382</v>
      </c>
      <c r="L15" s="47">
        <f>(2/3)^3*Parámetros!C56*(Parámetros!C57)^2*'No linealidades'!D15*(10^(E15/10)*0.001)^2*LOG10(PI()^2*ABS(Parámetros!C58*10^(-24))*'No linealidades'!D15*(Parámetros!C59)^2*Parámetros!C74^2)/(PI()*ABS(Parámetros!C58*10^(-24))*Parámetros!C74^3)*Parámetros!C73*10^9</f>
        <v>0.00132795936155299987</v>
      </c>
      <c r="M15" s="48">
        <f>10*LOG10(N15)</f>
        <v>28.7681521512111011</v>
      </c>
      <c r="N15" s="49">
        <f>1/L15</f>
        <v>753.035092000509053</v>
      </c>
      <c r="O15" s="48">
        <f>10*LOG10(P15)</f>
        <v>25.1797601785421001</v>
      </c>
      <c r="P15" s="50">
        <f>HARMEAN(N11,N6,N15)/3</f>
        <v>329.591511324692988</v>
      </c>
      <c r="Q15" s="64">
        <f>10*LOG10(HARMEAN(K15,P15)/2)</f>
        <v>23.256050771930699</v>
      </c>
      <c r="R15" s="30"/>
      <c r="S15" s="30"/>
      <c r="T15" s="30"/>
      <c r="U15" s="30"/>
    </row>
    <row r="16" spans="1:21" ht="13.45">
      <c r="A16" s="53" t="s">
        <v>107</v>
      </c>
      <c r="B16" s="54" t="n">
        <v>77</v>
      </c>
      <c r="C16" s="54">
        <f>Parámetros!C41</f>
        <v>0.185</v>
      </c>
      <c r="D16" s="54">
        <f>-B16*C16</f>
        <v>-14.2449999999999992</v>
      </c>
      <c r="E16" s="54">
        <f>D16+E15</f>
        <v>-8.76500000000000057</v>
      </c>
      <c r="F16" s="53" t="str">
        <f>IF(E16&gt;=Parámetros!C$33,"V","F")</f>
        <v>V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64"/>
      <c r="R16" s="30"/>
      <c r="S16" s="30"/>
      <c r="T16" s="30"/>
      <c r="U16" s="30"/>
    </row>
    <row r="17" spans="1:21" ht="13.45">
      <c r="A17" s="109" t="s">
        <v>174</v>
      </c>
      <c r="B17" s="110"/>
      <c r="C17" s="110"/>
      <c r="D17" s="110"/>
      <c r="E17" s="110"/>
      <c r="F17" s="111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64"/>
      <c r="R17" s="30"/>
      <c r="S17" s="30"/>
      <c r="T17" s="30"/>
      <c r="U17" s="30"/>
    </row>
    <row r="18" spans="1:21" ht="13.45">
      <c r="A18" s="37" t="s">
        <v>170</v>
      </c>
      <c r="B18" s="30"/>
      <c r="C18" s="30"/>
      <c r="D18" s="38">
        <f>-(E16-Parámetros!C$37)</f>
        <v>-10.7550000000000008</v>
      </c>
      <c r="E18" s="42">
        <f>D18+E16</f>
        <v>-19.5199999999999996</v>
      </c>
      <c r="F18" s="43">
        <f>Parámetros!C$37</f>
        <v>-19.5199999999999996</v>
      </c>
      <c r="G18" s="30"/>
      <c r="H18" s="30"/>
      <c r="I18" s="30"/>
      <c r="J18" s="30"/>
      <c r="K18" s="30"/>
      <c r="L18" s="30"/>
      <c r="M18" s="46"/>
      <c r="N18" s="46"/>
      <c r="O18" s="46"/>
      <c r="P18" s="46"/>
      <c r="Q18" s="64"/>
      <c r="R18" s="30"/>
      <c r="S18" s="30"/>
      <c r="T18" s="30"/>
      <c r="U18" s="30"/>
    </row>
    <row r="19" spans="1:21" ht="13.45">
      <c r="A19" s="37" t="s">
        <v>175</v>
      </c>
      <c r="B19" s="30"/>
      <c r="C19" s="30"/>
      <c r="D19" s="38">
        <f>Parámetros!C$35</f>
        <v>25</v>
      </c>
      <c r="E19" s="38">
        <f>D19+E18</f>
        <v>5.48000000000000043</v>
      </c>
      <c r="F19" s="31"/>
      <c r="G19" s="38">
        <f>Parámetros!C$38</f>
        <v>5.5</v>
      </c>
      <c r="H19" s="38">
        <f>E18+158.9-10*LOG10(Parámetros!C$13*10^9)-G19</f>
        <v>32.9108998699189996</v>
      </c>
      <c r="I19" s="46">
        <f>10^(H19/10)</f>
        <v>1954.74444215498011</v>
      </c>
      <c r="J19" s="46">
        <f>10*LOG10(K19)</f>
        <v>26.5709549194927988</v>
      </c>
      <c r="K19" s="46">
        <f>1/((1/K15)+(1/I19))</f>
        <v>454.041439552877023</v>
      </c>
      <c r="L19" s="47">
        <f>(2/3)^3*Parámetros!C56*(Parámetros!C57)^2*'No linealidades'!D16*(10^(E19/10)*0.001)^2*LOG10(PI()^2*ABS(Parámetros!C58*10^(-24))*'No linealidades'!D16*(Parámetros!C59)^2*Parámetros!C74^2)/(PI()*ABS(Parámetros!C58*10^(-24))*Parámetros!C74^3)*Parámetros!C73*10^9</f>
        <v>0.00132009803740999998</v>
      </c>
      <c r="M19" s="48">
        <f>10*LOG10(N19)</f>
        <v>28.7939381460844004</v>
      </c>
      <c r="N19" s="49">
        <f>1/L19</f>
        <v>757.519496023170973</v>
      </c>
      <c r="O19" s="48">
        <f>10*LOG10(P19)</f>
        <v>23.6109593932654995</v>
      </c>
      <c r="P19" s="50">
        <f>HARMEAN(N11,N6,N15,N19)/4</f>
        <v>229.665594281213998</v>
      </c>
      <c r="Q19" s="64">
        <f>10*LOG10(HARMEAN(K19,P19)/2)</f>
        <v>21.8332138342255995</v>
      </c>
      <c r="R19" s="30"/>
      <c r="S19" s="30"/>
      <c r="T19" s="30"/>
      <c r="U19" s="30"/>
    </row>
    <row r="20" spans="1:21" ht="13.45">
      <c r="A20" s="53" t="s">
        <v>107</v>
      </c>
      <c r="B20" s="54" t="n">
        <v>74</v>
      </c>
      <c r="C20" s="54">
        <f>Parámetros!C41</f>
        <v>0.185</v>
      </c>
      <c r="D20" s="54">
        <f>-B20*C20</f>
        <v>-13.6899999999999995</v>
      </c>
      <c r="E20" s="54">
        <f>D20+E19</f>
        <v>-8.21000000000000085</v>
      </c>
      <c r="F20" s="53" t="str">
        <f>IF(E20&gt;=Parámetros!C$33,"V","F")</f>
        <v>V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64"/>
      <c r="R20" s="30"/>
      <c r="S20" s="30"/>
      <c r="T20" s="30"/>
      <c r="U20" s="30"/>
    </row>
    <row r="21" spans="1:21" ht="13.45">
      <c r="A21" s="109" t="s">
        <v>176</v>
      </c>
      <c r="B21" s="110"/>
      <c r="C21" s="110"/>
      <c r="D21" s="110"/>
      <c r="E21" s="110"/>
      <c r="F21" s="111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64"/>
      <c r="R21" s="30"/>
      <c r="S21" s="30"/>
      <c r="T21" s="30"/>
      <c r="U21" s="30"/>
    </row>
    <row r="22" spans="1:21" ht="13.45">
      <c r="A22" s="37" t="s">
        <v>170</v>
      </c>
      <c r="B22" s="30"/>
      <c r="C22" s="30"/>
      <c r="D22" s="38">
        <f>-(E20-Parámetros!C$37)</f>
        <v>-11.3100000000000005</v>
      </c>
      <c r="E22" s="42">
        <f>D22+E20</f>
        <v>-19.5199999999999996</v>
      </c>
      <c r="F22" s="43">
        <f>Parámetros!C$37</f>
        <v>-19.5199999999999996</v>
      </c>
      <c r="G22" s="30"/>
      <c r="H22" s="30"/>
      <c r="I22" s="30"/>
      <c r="J22" s="30"/>
      <c r="K22" s="30"/>
      <c r="L22" s="30"/>
      <c r="M22" s="46"/>
      <c r="N22" s="46"/>
      <c r="O22" s="46"/>
      <c r="P22" s="46"/>
      <c r="Q22" s="64"/>
      <c r="R22" s="30"/>
      <c r="S22" s="30"/>
      <c r="T22" s="30"/>
      <c r="U22" s="30"/>
    </row>
    <row r="23" spans="1:21" ht="13.45">
      <c r="A23" s="37" t="s">
        <v>177</v>
      </c>
      <c r="B23" s="30"/>
      <c r="C23" s="30"/>
      <c r="D23" s="38">
        <f>Parámetros!C$35</f>
        <v>25</v>
      </c>
      <c r="E23" s="38">
        <f>D23+E22</f>
        <v>5.48000000000000043</v>
      </c>
      <c r="F23" s="31"/>
      <c r="G23" s="38">
        <f>Parámetros!C$38</f>
        <v>5.5</v>
      </c>
      <c r="H23" s="38">
        <f>E22+158.9-10*LOG10(Parámetros!C$13*10^9)-G23</f>
        <v>32.9108998699189996</v>
      </c>
      <c r="I23" s="46">
        <f>10^(H23/10)</f>
        <v>1954.74444215498011</v>
      </c>
      <c r="J23" s="46">
        <f>10*LOG10(K23)</f>
        <v>25.6638728190068015</v>
      </c>
      <c r="K23" s="46">
        <f>1/((1/K19)+(1/I23))</f>
        <v>368.457398896998995</v>
      </c>
      <c r="L23" s="47">
        <f>(2/3)^3*Parámetros!C56*(Parámetros!C57)^2*'No linealidades'!D17*(10^(E23/10)*0.001)^2*LOG10(PI()^2*ABS(Parámetros!C58*10^(-24))*'No linealidades'!D17*(Parámetros!C59)^2*Parámetros!C74^2)/(PI()*ABS(Parámetros!C58*10^(-24))*Parámetros!C74^3)*Parámetros!C73*10^9</f>
        <v>0.00136000029552599999</v>
      </c>
      <c r="M23" s="48">
        <f>10*LOG10(N23)</f>
        <v>28.6646099725824008</v>
      </c>
      <c r="N23" s="49">
        <f>1/L23</f>
        <v>735.293957868762959</v>
      </c>
      <c r="O23" s="48">
        <f>10*LOG10(P23)</f>
        <v>22.4304782701947012</v>
      </c>
      <c r="P23" s="50">
        <f>HARMEAN(N11,N6,N15,N19,N23)/5</f>
        <v>175.003940247092004</v>
      </c>
      <c r="Q23" s="64">
        <f>10*LOG10(HARMEAN(K23,P23)/2)</f>
        <v>20.7426645432226984</v>
      </c>
      <c r="R23" s="30"/>
      <c r="S23" s="30"/>
      <c r="T23" s="30"/>
      <c r="U23" s="30"/>
    </row>
    <row r="24" spans="1:21" ht="13.45">
      <c r="A24" s="53" t="s">
        <v>107</v>
      </c>
      <c r="B24" s="54" t="n">
        <v>96</v>
      </c>
      <c r="C24" s="54">
        <f>Parámetros!C41</f>
        <v>0.185</v>
      </c>
      <c r="D24" s="54">
        <f>-B24*C24</f>
        <v>-17.7600000000000016</v>
      </c>
      <c r="E24" s="54">
        <f>D24+E23</f>
        <v>-12.2799999999999994</v>
      </c>
      <c r="F24" s="53" t="str">
        <f>IF(E24&gt;=Parámetros!C$33,"V","F")</f>
        <v>V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64"/>
      <c r="R24" s="30"/>
      <c r="S24" s="30"/>
      <c r="T24" s="30"/>
      <c r="U24" s="30"/>
    </row>
    <row r="25" spans="1:21" ht="13.45">
      <c r="A25" s="109" t="s">
        <v>178</v>
      </c>
      <c r="B25" s="110"/>
      <c r="C25" s="110"/>
      <c r="D25" s="110"/>
      <c r="E25" s="110"/>
      <c r="F25" s="111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64"/>
      <c r="R25" s="30"/>
      <c r="S25" s="30"/>
      <c r="T25" s="30"/>
      <c r="U25" s="30"/>
    </row>
    <row r="26" spans="1:21" ht="13.45">
      <c r="A26" s="37" t="s">
        <v>170</v>
      </c>
      <c r="B26" s="30"/>
      <c r="C26" s="30"/>
      <c r="D26" s="38">
        <f>-(E24-Parámetros!C$37)</f>
        <v>-7.24000000000000021</v>
      </c>
      <c r="E26" s="42">
        <f>D26+E24</f>
        <v>-19.5199999999999996</v>
      </c>
      <c r="F26" s="43">
        <f>Parámetros!C$37</f>
        <v>-19.5199999999999996</v>
      </c>
      <c r="G26" s="30"/>
      <c r="H26" s="30"/>
      <c r="I26" s="30"/>
      <c r="J26" s="30"/>
      <c r="K26" s="30"/>
      <c r="L26" s="30"/>
      <c r="M26" s="46"/>
      <c r="N26" s="46"/>
      <c r="O26" s="46"/>
      <c r="P26" s="46"/>
      <c r="Q26" s="64"/>
      <c r="R26" s="30"/>
      <c r="S26" s="30"/>
      <c r="T26" s="30"/>
      <c r="U26" s="30"/>
    </row>
    <row r="27" spans="1:21" ht="13.45">
      <c r="A27" s="37" t="s">
        <v>179</v>
      </c>
      <c r="C27" s="30"/>
      <c r="D27" s="38">
        <f>Parámetros!C$35</f>
        <v>25</v>
      </c>
      <c r="E27" s="38">
        <f>D27+E26</f>
        <v>5.48000000000000043</v>
      </c>
      <c r="F27" s="31"/>
      <c r="G27" s="38">
        <f>Parámetros!C$38</f>
        <v>5.5</v>
      </c>
      <c r="H27" s="38">
        <f>E26+158.9-10*LOG10(Parámetros!C$13*10^9)-G27</f>
        <v>32.9108998699189996</v>
      </c>
      <c r="I27" s="46">
        <f>10^(H27/10)</f>
        <v>1954.74444215498011</v>
      </c>
      <c r="J27" s="46">
        <f>10*LOG10(K27)</f>
        <v>24.9139032570998005</v>
      </c>
      <c r="K27" s="46">
        <f>1/((1/K23)+(1/I27))</f>
        <v>310.020438146069978</v>
      </c>
      <c r="L27" s="47">
        <f>(2/3)^3*Parámetros!C56*(Parámetros!C57)^2*'No linealidades'!D18*(10^(E27/10)*0.001)^2*LOG10(PI()^2*ABS(Parámetros!C58*10^(-24))*'No linealidades'!D18*(Parámetros!C59)^2*Parámetros!C74^2)/(PI()*ABS(Parámetros!C58*10^(-24))*Parámetros!C74^3)*Parámetros!C73*10^9</f>
        <v>0.00128534665129500025</v>
      </c>
      <c r="M27" s="48">
        <f>10*LOG10(N27)</f>
        <v>28.9097972957655003</v>
      </c>
      <c r="N27" s="49">
        <f>1/L27</f>
        <v>778.000237517630012</v>
      </c>
      <c r="O27" s="48">
        <f>10*LOG10(P27)</f>
        <v>21.5493275210019988</v>
      </c>
      <c r="P27" s="50">
        <f>HARMEAN(N11,N6,N15,N19,N23,N27)/6</f>
        <v>142.867271996758006</v>
      </c>
      <c r="Q27" s="64">
        <f>10*LOG10(HARMEAN(K27,P27)/2)</f>
        <v>19.9033254226648992</v>
      </c>
      <c r="R27" s="30"/>
      <c r="S27" s="30"/>
      <c r="T27" s="30"/>
      <c r="U27" s="30"/>
    </row>
    <row r="28" spans="1:21" ht="13.45">
      <c r="A28" s="53" t="s">
        <v>107</v>
      </c>
      <c r="B28" s="54" t="n">
        <v>64</v>
      </c>
      <c r="C28" s="54">
        <f>Parámetros!C41</f>
        <v>0.185</v>
      </c>
      <c r="D28" s="54">
        <f>-B28*C28</f>
        <v>-11.8399999999999999</v>
      </c>
      <c r="E28" s="54">
        <f>D28+E27</f>
        <v>-6.36000000000000032</v>
      </c>
      <c r="F28" s="53" t="str">
        <f>IF(E28&gt;=Parámetros!C$33,"V","F")</f>
        <v>V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64"/>
      <c r="R28" s="30"/>
      <c r="S28" s="30"/>
      <c r="T28" s="30"/>
      <c r="U28" s="30"/>
    </row>
    <row r="29" spans="1:21" ht="13.45">
      <c r="A29" s="109" t="s">
        <v>180</v>
      </c>
      <c r="B29" s="110"/>
      <c r="C29" s="110"/>
      <c r="D29" s="110"/>
      <c r="E29" s="110"/>
      <c r="F29" s="111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64"/>
      <c r="R29" s="30"/>
      <c r="S29" s="30"/>
      <c r="T29" s="30"/>
      <c r="U29" s="30"/>
    </row>
    <row r="30" spans="1:21" ht="13.45">
      <c r="A30" s="37" t="s">
        <v>170</v>
      </c>
      <c r="B30" s="30"/>
      <c r="C30" s="30"/>
      <c r="D30" s="38">
        <f>-(E28-Parámetros!C$37)</f>
        <v>-13.1600000000000001</v>
      </c>
      <c r="E30" s="42">
        <f>D30+E28</f>
        <v>-19.5199999999999996</v>
      </c>
      <c r="F30" s="43">
        <f>Parámetros!C$37</f>
        <v>-19.5199999999999996</v>
      </c>
      <c r="G30" s="30"/>
      <c r="H30" s="30"/>
      <c r="I30" s="30"/>
      <c r="J30" s="30"/>
      <c r="K30" s="30"/>
      <c r="L30" s="30"/>
      <c r="M30" s="46"/>
      <c r="N30" s="46"/>
      <c r="O30" s="46"/>
      <c r="P30" s="46"/>
      <c r="Q30" s="64"/>
      <c r="R30" s="30"/>
      <c r="S30" s="30"/>
      <c r="T30" s="30"/>
      <c r="U30" s="30"/>
    </row>
    <row r="31" spans="1:21" ht="13.45">
      <c r="A31" s="37" t="s">
        <v>181</v>
      </c>
      <c r="B31" s="30"/>
      <c r="C31" s="30"/>
      <c r="D31" s="38">
        <f>Parámetros!C$35</f>
        <v>25</v>
      </c>
      <c r="E31" s="38">
        <f>D31+E30</f>
        <v>5.48000000000000043</v>
      </c>
      <c r="F31" s="31"/>
      <c r="G31" s="38">
        <f>Parámetros!C$38</f>
        <v>5.5</v>
      </c>
      <c r="H31" s="38">
        <f>E30+158.9-10*LOG10(Parámetros!C$13*10^9)-G31</f>
        <v>32.9108998699189996</v>
      </c>
      <c r="I31" s="46">
        <f>10^(H31/10)</f>
        <v>1954.74444215498011</v>
      </c>
      <c r="J31" s="46">
        <f>10*LOG10(K31)</f>
        <v>24.2745719089516996</v>
      </c>
      <c r="K31" s="46">
        <f>1/((1/K27)+(1/I31))</f>
        <v>267.582182014344994</v>
      </c>
      <c r="L31" s="47">
        <f>(2/3)^3*Parámetros!C56*(Parámetros!C57)^2*'No linealidades'!D19*(10^(E31/10)*0.001)^2*LOG10(PI()^2*ABS(Parámetros!C58*10^(-24))*'No linealidades'!D19*(Parámetros!C59)^2*Parámetros!C74^2)/(PI()*ABS(Parámetros!C58*10^(-24))*Parámetros!C74^3)*Parámetros!C73*10^9</f>
        <v>0.00133267103681900001</v>
      </c>
      <c r="M31" s="48">
        <f>10*LOG10(N31)</f>
        <v>28.7527704077803996</v>
      </c>
      <c r="N31" s="49">
        <f>1/L31</f>
        <v>750.372726931122997</v>
      </c>
      <c r="O31" s="48">
        <f>10*LOG10(P31)</f>
        <v>20.7924163051118001</v>
      </c>
      <c r="P31" s="50">
        <f>HARMEAN(N11,N6,N15,N19,N23,N27,N31)/7</f>
        <v>120.016686003862006</v>
      </c>
      <c r="Q31" s="64">
        <f>10*LOG10(HARMEAN(K31,P31)/2)</f>
        <v>19.1831632138202011</v>
      </c>
      <c r="R31" s="30"/>
      <c r="S31" s="30"/>
      <c r="T31" s="30"/>
      <c r="U31" s="30"/>
    </row>
    <row r="32" spans="1:21" ht="13.45">
      <c r="A32" s="53" t="s">
        <v>107</v>
      </c>
      <c r="B32" s="54" t="n">
        <v>79</v>
      </c>
      <c r="C32" s="54">
        <f>Parámetros!C41</f>
        <v>0.185</v>
      </c>
      <c r="D32" s="54">
        <f>-B32*C32</f>
        <v>-14.6150000000000002</v>
      </c>
      <c r="E32" s="54">
        <f>D32+E31</f>
        <v>-9.13499999999999979</v>
      </c>
      <c r="F32" s="53" t="str">
        <f>IF(E32&gt;=Parámetros!C$33,"V","F")</f>
        <v>V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64"/>
      <c r="R32" s="30"/>
      <c r="S32" s="30"/>
      <c r="T32" s="30"/>
      <c r="U32" s="30"/>
    </row>
    <row r="33" spans="1:21" ht="13.45">
      <c r="A33" s="33" t="s">
        <v>182</v>
      </c>
      <c r="B33" s="34"/>
      <c r="C33" s="34"/>
      <c r="D33" s="34"/>
      <c r="E33" s="34"/>
      <c r="F33" s="35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64"/>
      <c r="R33" s="30"/>
      <c r="S33" s="30"/>
      <c r="T33" s="30"/>
      <c r="U33" s="30"/>
    </row>
    <row r="34" spans="1:21" ht="13.45">
      <c r="A34" s="37" t="s">
        <v>109</v>
      </c>
      <c r="B34" s="30"/>
      <c r="C34" s="30"/>
      <c r="D34" s="38">
        <f>-(E32+Parámetros!H18)</f>
        <v>-9.66499999999999915</v>
      </c>
      <c r="E34" s="42">
        <f>D34+E32</f>
        <v>-18.8000000000000007</v>
      </c>
      <c r="F34" s="43">
        <f>Parámetros!C22</f>
        <v>-18.0199999999999996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64"/>
      <c r="R34" s="30"/>
      <c r="S34" s="30"/>
      <c r="T34" s="30"/>
      <c r="U34" s="30"/>
    </row>
    <row r="35" spans="1:21" ht="13.45">
      <c r="A35" s="37" t="s">
        <v>110</v>
      </c>
      <c r="B35" s="30"/>
      <c r="C35" s="30"/>
      <c r="D35" s="38">
        <f>Parámetros!C20</f>
        <v>21</v>
      </c>
      <c r="E35" s="38">
        <f>D35+E34</f>
        <v>2.20000000000000018</v>
      </c>
      <c r="F35" s="31"/>
      <c r="G35" s="38">
        <f>Parámetros!C23</f>
        <v>5.5</v>
      </c>
      <c r="H35" s="38">
        <f>E34+158.9-10*LOG10(Parámetros!C$13*10^9)-G35</f>
        <v>33.6308998699189985</v>
      </c>
      <c r="I35" s="46">
        <f>10^(H35/10)</f>
        <v>2307.22520250104981</v>
      </c>
      <c r="J35" s="46">
        <f>10*LOG10(K35)</f>
        <v>23.7980243187718017</v>
      </c>
      <c r="K35" s="46">
        <f>1/((1/K31)+(1/I35))</f>
        <v>239.774189633168987</v>
      </c>
      <c r="L35" s="40" t="s">
        <v>103</v>
      </c>
      <c r="M35" s="40" t="s">
        <v>103</v>
      </c>
      <c r="N35" s="40" t="s">
        <v>103</v>
      </c>
      <c r="O35" s="40" t="s">
        <v>103</v>
      </c>
      <c r="P35" s="40" t="s">
        <v>103</v>
      </c>
      <c r="Q35" s="64">
        <f>10*LOG10(HARMEAN(K35,P31)/2)</f>
        <v>19.0299391702734013</v>
      </c>
      <c r="R35" s="30"/>
      <c r="S35" s="30"/>
      <c r="T35" s="30"/>
      <c r="U35" s="30"/>
    </row>
    <row r="36" spans="1:21" ht="13.45">
      <c r="A36" s="37" t="s">
        <v>119</v>
      </c>
      <c r="B36" s="30"/>
      <c r="C36" s="30"/>
      <c r="D36" s="38">
        <f>-Parámetros!C16</f>
        <v>-10</v>
      </c>
      <c r="E36" s="38">
        <f>D36+E35</f>
        <v>-7.79999999999999982</v>
      </c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64"/>
      <c r="R36" s="30"/>
      <c r="S36" s="30"/>
      <c r="T36" s="30"/>
      <c r="U36" s="30"/>
    </row>
    <row r="37" spans="1:21" ht="13.45">
      <c r="A37" s="37" t="s">
        <v>102</v>
      </c>
      <c r="B37" s="30"/>
      <c r="C37" s="30"/>
      <c r="D37" s="38"/>
      <c r="E37" s="38">
        <f>E36</f>
        <v>-7.79999999999999982</v>
      </c>
      <c r="F37" s="37" t="str">
        <f>IF(E37&gt;=Parámetros!C67,"V","F")</f>
        <v>V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64"/>
      <c r="R37" s="30"/>
      <c r="S37" s="30"/>
      <c r="T37" s="30"/>
      <c r="U37" s="30"/>
    </row>
    <row r="38" spans="1:21" ht="13.45">
      <c r="A38" s="31"/>
      <c r="B38" s="30"/>
      <c r="C38" s="30"/>
      <c r="D38" s="30"/>
      <c r="E38" s="30"/>
      <c r="F38" s="66" t="s">
        <v>120</v>
      </c>
      <c r="G38" s="67"/>
      <c r="H38" s="67"/>
      <c r="I38" s="67"/>
      <c r="J38" s="112">
        <f>J35</f>
        <v>23.7980243187718017</v>
      </c>
      <c r="K38" s="69">
        <f>K35</f>
        <v>239.774189633168987</v>
      </c>
      <c r="L38" s="67"/>
      <c r="M38" s="67"/>
      <c r="N38" s="67"/>
      <c r="O38" s="113">
        <f>O31</f>
        <v>20.7924163051118001</v>
      </c>
      <c r="P38" s="112">
        <f>P31</f>
        <v>120.016686003862006</v>
      </c>
      <c r="Q38" s="70">
        <f>10*LOG10(HARMEAN(K38,P38)/2)</f>
        <v>19.0299391702734013</v>
      </c>
      <c r="R38" s="98" t="s">
        <v>148</v>
      </c>
      <c r="S38" s="30"/>
      <c r="T38" s="30"/>
      <c r="U38" s="30"/>
    </row>
    <row r="39" spans="1:21" ht="13.45">
      <c r="A39" s="31"/>
      <c r="B39" s="30"/>
      <c r="C39" s="30"/>
      <c r="D39" s="30"/>
      <c r="E39" s="30"/>
      <c r="F39" s="66" t="s">
        <v>183</v>
      </c>
      <c r="H39" s="67"/>
      <c r="I39" s="67"/>
      <c r="J39" s="68">
        <f>Parámetros!C70</f>
        <v>11.8000000000000007</v>
      </c>
      <c r="K39" s="72">
        <f>10^(J39/10)</f>
        <v>15.1356124843621007</v>
      </c>
      <c r="L39" s="67"/>
      <c r="M39" s="67"/>
      <c r="N39" s="67"/>
      <c r="O39" s="68"/>
      <c r="P39" s="72"/>
      <c r="Q39" s="73">
        <f>Parámetros!C70</f>
        <v>11.8000000000000007</v>
      </c>
      <c r="S39" s="30"/>
      <c r="T39" s="30"/>
      <c r="U39" s="30"/>
    </row>
    <row r="40" spans="1:21" ht="13.45">
      <c r="A40" s="31"/>
      <c r="B40" s="31"/>
      <c r="C40" s="31"/>
      <c r="D40" s="31"/>
      <c r="E40" s="31"/>
      <c r="F40" s="31"/>
      <c r="G40" s="30"/>
      <c r="H40" s="30"/>
      <c r="I40" s="30"/>
      <c r="J40" s="85"/>
      <c r="K40" s="30"/>
      <c r="L40" s="30"/>
      <c r="M40" s="30"/>
      <c r="N40" s="30"/>
      <c r="O40" s="85"/>
      <c r="P40" s="30"/>
      <c r="Q40" s="30"/>
      <c r="R40" s="30"/>
      <c r="S40" s="85"/>
      <c r="T40" s="30"/>
      <c r="U40" s="85"/>
    </row>
    <row r="41" spans="1:9" ht="13.45">
      <c r="A41" s="74" t="s">
        <v>123</v>
      </c>
      <c r="B41" s="74" t="s">
        <v>124</v>
      </c>
      <c r="C41" s="74" t="s">
        <v>125</v>
      </c>
      <c r="D41" s="74" t="s">
        <v>126</v>
      </c>
      <c r="G41" s="75"/>
      <c r="H41" s="74" t="s">
        <v>123</v>
      </c>
      <c r="I41" s="74" t="s">
        <v>124</v>
      </c>
    </row>
    <row r="42" spans="1:9" ht="13.45">
      <c r="A42" s="76" t="s">
        <v>127</v>
      </c>
      <c r="B42" s="77" t="n">
        <v>18</v>
      </c>
      <c r="C42" s="76" t="n">
        <v>-17</v>
      </c>
      <c r="D42" s="77" t="n">
        <v>77000</v>
      </c>
      <c r="G42" s="75"/>
      <c r="H42" s="77" t="s">
        <v>128</v>
      </c>
      <c r="I42" s="77" t="n">
        <v>17.0899999999999999</v>
      </c>
    </row>
    <row r="43" spans="1:9" ht="13.45">
      <c r="A43" s="78" t="s">
        <v>129</v>
      </c>
      <c r="B43" s="78" t="s">
        <v>85</v>
      </c>
      <c r="C43" s="78" t="s">
        <v>130</v>
      </c>
      <c r="D43" s="78" t="s">
        <v>131</v>
      </c>
      <c r="G43" s="78" t="s">
        <v>85</v>
      </c>
      <c r="H43" s="78" t="s">
        <v>130</v>
      </c>
      <c r="I43" s="78" t="s">
        <v>131</v>
      </c>
    </row>
    <row r="44" spans="1:9" ht="13.45">
      <c r="A44" s="103" t="s">
        <v>158</v>
      </c>
      <c r="B44" s="103" t="n">
        <v>107</v>
      </c>
      <c r="C44" s="114">
        <f>B$42*B44</f>
        <v>1926</v>
      </c>
      <c r="D44" s="114">
        <f>C44</f>
        <v>1926</v>
      </c>
      <c r="G44" s="103" t="n">
        <v>107</v>
      </c>
      <c r="H44" s="114">
        <f>I$42*G44</f>
        <v>1828.63000000000011</v>
      </c>
      <c r="I44" s="114">
        <f>H44</f>
        <v>1828.63000000000011</v>
      </c>
    </row>
    <row r="45" spans="1:9" ht="13.45">
      <c r="A45" s="103" t="s">
        <v>159</v>
      </c>
      <c r="B45" s="103" t="n">
        <v>95</v>
      </c>
      <c r="C45" s="114">
        <f>B$42*B45</f>
        <v>1710</v>
      </c>
      <c r="D45" s="114">
        <f>C45+D44</f>
        <v>3636</v>
      </c>
      <c r="G45" s="103" t="n">
        <v>95</v>
      </c>
      <c r="H45" s="114">
        <f>I$42*G45</f>
        <v>1623.54999999999995</v>
      </c>
      <c r="I45" s="114">
        <f>H45+I44</f>
        <v>3452.17999999999984</v>
      </c>
    </row>
    <row r="46" spans="1:9" ht="13.45">
      <c r="A46" s="103" t="s">
        <v>160</v>
      </c>
      <c r="B46" s="103" t="n">
        <v>77</v>
      </c>
      <c r="C46" s="114">
        <f>B$42*B46</f>
        <v>1386</v>
      </c>
      <c r="D46" s="114">
        <f>C46+D45</f>
        <v>5022</v>
      </c>
      <c r="G46" s="103" t="n">
        <v>77</v>
      </c>
      <c r="H46" s="114">
        <f>I$42*G46</f>
        <v>1315.93000000000006</v>
      </c>
      <c r="I46" s="114">
        <f>H46+I45</f>
        <v>4768.10999999999967</v>
      </c>
    </row>
    <row r="47" spans="1:9" ht="13.45">
      <c r="A47" s="103" t="s">
        <v>161</v>
      </c>
      <c r="B47" s="103" t="n">
        <v>74</v>
      </c>
      <c r="C47" s="114">
        <f>B$42*B47</f>
        <v>1332</v>
      </c>
      <c r="D47" s="114">
        <f>C47+D46</f>
        <v>6354</v>
      </c>
      <c r="G47" s="103" t="n">
        <v>74</v>
      </c>
      <c r="H47" s="114">
        <f>I$42*G47</f>
        <v>1264.66000000000008</v>
      </c>
      <c r="I47" s="114">
        <f>H47+I46</f>
        <v>6032.77000000000044</v>
      </c>
    </row>
    <row r="48" spans="1:9" ht="13.45">
      <c r="A48" s="103" t="s">
        <v>162</v>
      </c>
      <c r="B48" s="103" t="n">
        <v>96</v>
      </c>
      <c r="C48" s="114">
        <f>B$42*B48</f>
        <v>1728</v>
      </c>
      <c r="D48" s="114">
        <f>C48+D47</f>
        <v>8082</v>
      </c>
      <c r="G48" s="103" t="n">
        <v>96</v>
      </c>
      <c r="H48" s="114">
        <f>I$42*G48</f>
        <v>1640.6400000000001</v>
      </c>
      <c r="I48" s="114">
        <f>H48+I47</f>
        <v>7673.40999999999985</v>
      </c>
    </row>
    <row r="49" spans="1:9" ht="13.45">
      <c r="A49" s="103" t="s">
        <v>163</v>
      </c>
      <c r="B49" s="103" t="n">
        <v>64</v>
      </c>
      <c r="C49" s="114">
        <f>B$42*B49</f>
        <v>1152</v>
      </c>
      <c r="D49" s="114">
        <f>C49+D48</f>
        <v>9234</v>
      </c>
      <c r="G49" s="103" t="n">
        <v>64</v>
      </c>
      <c r="H49" s="114">
        <f>I$42*G49</f>
        <v>1093.75999999999999</v>
      </c>
      <c r="I49" s="114">
        <f>H49+I48</f>
        <v>8767.17000000000007</v>
      </c>
    </row>
    <row r="50" spans="1:9" ht="13.45">
      <c r="A50" s="103" t="s">
        <v>164</v>
      </c>
      <c r="B50" s="103" t="n">
        <v>79</v>
      </c>
      <c r="C50" s="114">
        <f>B$42*B50</f>
        <v>1422</v>
      </c>
      <c r="D50" s="114">
        <f>C50+D49</f>
        <v>10656</v>
      </c>
      <c r="G50" s="103" t="n">
        <v>79</v>
      </c>
      <c r="H50" s="114">
        <f>I$42*G50</f>
        <v>1350.1099999999999</v>
      </c>
      <c r="I50" s="114">
        <f>H50+I49</f>
        <v>10117.2800000000007</v>
      </c>
    </row>
    <row r="53" spans="7:9" ht="13.45">
      <c r="G53" s="75"/>
      <c r="H53" s="74" t="s">
        <v>123</v>
      </c>
      <c r="I53" s="74" t="s">
        <v>124</v>
      </c>
    </row>
    <row r="54" spans="1:9" ht="13.45">
      <c r="A54" s="74" t="s">
        <v>138</v>
      </c>
      <c r="B54" s="77">
        <f>Parámetros!C43</f>
        <v>0.1</v>
      </c>
      <c r="C54" s="81" t="s">
        <v>139</v>
      </c>
      <c r="G54" s="75"/>
      <c r="H54" s="77" t="s">
        <v>140</v>
      </c>
      <c r="I54" s="77" t="n">
        <v>18.8500000000000014</v>
      </c>
    </row>
    <row r="55" spans="1:9" ht="13.45">
      <c r="A55" s="78" t="s">
        <v>129</v>
      </c>
      <c r="B55" s="78" t="s">
        <v>85</v>
      </c>
      <c r="C55" s="78" t="s">
        <v>141</v>
      </c>
      <c r="G55" s="78" t="s">
        <v>85</v>
      </c>
      <c r="H55" s="78" t="s">
        <v>130</v>
      </c>
      <c r="I55" s="78" t="s">
        <v>131</v>
      </c>
    </row>
    <row r="56" spans="1:9" ht="13.45">
      <c r="A56" s="103" t="s">
        <v>158</v>
      </c>
      <c r="B56" s="103" t="n">
        <v>107</v>
      </c>
      <c r="C56" s="114">
        <f>B$54*SQRT(B56)</f>
        <v>1.03440804327886005</v>
      </c>
      <c r="G56" s="103" t="n">
        <v>107</v>
      </c>
      <c r="H56" s="114">
        <f>I$54*G56</f>
        <v>2016.95000000000005</v>
      </c>
      <c r="I56" s="114">
        <f>H56</f>
        <v>2016.95000000000005</v>
      </c>
    </row>
    <row r="57" spans="1:9" ht="13.45">
      <c r="A57" s="103" t="s">
        <v>159</v>
      </c>
      <c r="B57" s="103" t="n">
        <v>95</v>
      </c>
      <c r="C57" s="114">
        <f>B$54*SQRT(B57)</f>
        <v>0.974679434480895956</v>
      </c>
      <c r="G57" s="103" t="n">
        <v>95</v>
      </c>
      <c r="H57" s="114">
        <f>I$54*G57</f>
        <v>1790.75</v>
      </c>
      <c r="I57" s="114">
        <f>H57+I56</f>
        <v>3807.69999999999982</v>
      </c>
    </row>
    <row r="58" spans="1:9" ht="13.45">
      <c r="A58" s="103" t="s">
        <v>160</v>
      </c>
      <c r="B58" s="103" t="n">
        <v>77</v>
      </c>
      <c r="C58" s="114">
        <f>B$54*SQRT(B58)</f>
        <v>0.877496438739212081</v>
      </c>
      <c r="G58" s="103" t="n">
        <v>77</v>
      </c>
      <c r="H58" s="114">
        <f>I$54*G58</f>
        <v>1451.45000000000005</v>
      </c>
      <c r="I58" s="114">
        <f>H58+I57</f>
        <v>5259.14999999999964</v>
      </c>
    </row>
    <row r="59" spans="1:9" ht="13.45">
      <c r="A59" s="103" t="s">
        <v>161</v>
      </c>
      <c r="B59" s="103" t="n">
        <v>74</v>
      </c>
      <c r="C59" s="114">
        <f>B$54*SQRT(B59)</f>
        <v>0.860232526704263023</v>
      </c>
      <c r="G59" s="103" t="n">
        <v>74</v>
      </c>
      <c r="H59" s="114">
        <f>I$54*G59</f>
        <v>1394.90000000000009</v>
      </c>
      <c r="I59" s="114">
        <f>H59+I58</f>
        <v>6654.05000000000018</v>
      </c>
    </row>
    <row r="60" spans="1:9" ht="13.45">
      <c r="A60" s="103" t="s">
        <v>162</v>
      </c>
      <c r="B60" s="103" t="n">
        <v>96</v>
      </c>
      <c r="C60" s="114">
        <f>B$54*SQRT(B60)</f>
        <v>0.979795897113270975</v>
      </c>
      <c r="G60" s="103" t="n">
        <v>96</v>
      </c>
      <c r="H60" s="114">
        <f>I$54*G60</f>
        <v>1809.59999999999991</v>
      </c>
      <c r="I60" s="114">
        <f>H60+I59</f>
        <v>8463.64999999999964</v>
      </c>
    </row>
    <row r="61" spans="1:9" ht="13.45">
      <c r="A61" s="103" t="s">
        <v>163</v>
      </c>
      <c r="B61" s="103" t="n">
        <v>64</v>
      </c>
      <c r="C61" s="114">
        <f>B$54*SQRT(B61)</f>
        <v>0.8</v>
      </c>
      <c r="G61" s="103" t="n">
        <v>64</v>
      </c>
      <c r="H61" s="114">
        <f>I$54*G61</f>
        <v>1206.40000000000009</v>
      </c>
      <c r="I61" s="114">
        <f>H61+I60</f>
        <v>9670.04999999999927</v>
      </c>
    </row>
    <row r="62" spans="1:9" ht="13.45">
      <c r="A62" s="103" t="s">
        <v>164</v>
      </c>
      <c r="B62" s="103" t="n">
        <v>79</v>
      </c>
      <c r="C62" s="114">
        <f>B$54*SQRT(B62)</f>
        <v>0.888819441731559046</v>
      </c>
      <c r="G62" s="103" t="n">
        <v>79</v>
      </c>
      <c r="H62" s="114">
        <f>I$54*G62</f>
        <v>1489.15000000000009</v>
      </c>
      <c r="I62" s="114">
        <f>H62+I61</f>
        <v>11159.2000000000007</v>
      </c>
    </row>
    <row r="63" spans="1:3" ht="13.45">
      <c r="A63" s="115" t="s">
        <v>142</v>
      </c>
      <c r="B63" s="114"/>
      <c r="C63" s="115">
        <f>SUM(C56:C62)</f>
        <v>6.41543178204805997</v>
      </c>
    </row>
    <row r="64" spans="2:3" ht="13.45">
      <c r="B64" s="9" t="s">
        <v>184</v>
      </c>
      <c r="C64" s="3"/>
    </row>
  </sheetData>
  <mergeCells count="4">
    <mergeCell ref="A27:B27"/>
    <mergeCell ref="R38:R39"/>
    <mergeCell ref="F39:G39"/>
    <mergeCell ref="B64:C64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U64"/>
  <sheetViews>
    <sheetView view="normal" workbookViewId="0">
      <selection activeCell="D1" sqref="D1"/>
    </sheetView>
  </sheetViews>
  <sheetFormatPr baseColWidth="11" defaultColWidth="12.630631" defaultRowHeight="15.75" customHeight="1"/>
  <cols>
    <col min="1" max="1" width="30.000000" customWidth="1"/>
    <col min="2" max="2" width="23.747748" customWidth="1"/>
    <col min="3" max="3" width="26.495495" customWidth="1"/>
    <col min="4" max="4" width="26.747748" customWidth="1"/>
    <col min="5" max="5" width="24.126126" customWidth="1"/>
    <col min="6" max="6" width="18.000000" customWidth="1"/>
    <col min="7" max="7" width="14.252252" customWidth="1"/>
    <col min="8" max="8" width="22.495495" customWidth="1"/>
    <col min="9" max="9" width="26.378378" customWidth="1"/>
    <col min="10" max="10" width="21.378378" customWidth="1"/>
    <col min="11" max="11" width="26.000000" customWidth="1"/>
    <col min="12" max="13" width="15.126126" customWidth="1"/>
    <col min="14" max="14" width="15.000000" customWidth="1"/>
    <col min="15" max="15" width="21.747748" customWidth="1"/>
    <col min="16" max="16" width="26.252252" customWidth="1"/>
    <col min="17" max="17" width="19.630631" customWidth="1"/>
    <col min="18" max="18" width="13.252252" customWidth="1"/>
  </cols>
  <sheetData>
    <row r="1" spans="1:21" ht="13.45">
      <c r="A1" s="29" t="s">
        <v>165</v>
      </c>
      <c r="B1" s="29"/>
      <c r="C1" s="29"/>
      <c r="D1" s="131" t="s">
        <v>83</v>
      </c>
      <c r="E1" s="30"/>
      <c r="F1" s="31"/>
      <c r="G1" s="30"/>
      <c r="H1" s="30"/>
      <c r="I1" s="30"/>
      <c r="J1" s="30"/>
      <c r="K1" s="30"/>
      <c r="L1" s="31"/>
      <c r="M1" s="30"/>
      <c r="N1" s="30"/>
      <c r="O1" s="30"/>
      <c r="P1" s="30"/>
      <c r="Q1" s="30"/>
      <c r="R1" s="30"/>
      <c r="S1" s="30"/>
      <c r="T1" s="30"/>
      <c r="U1" s="30"/>
    </row>
    <row r="2" spans="1:21" ht="13.4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185</v>
      </c>
      <c r="G2" s="32" t="s">
        <v>90</v>
      </c>
      <c r="H2" s="32" t="s">
        <v>91</v>
      </c>
      <c r="I2" s="32" t="s">
        <v>92</v>
      </c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2" t="s">
        <v>99</v>
      </c>
      <c r="Q2" s="32" t="s">
        <v>100</v>
      </c>
      <c r="R2" s="106"/>
      <c r="S2" s="30"/>
      <c r="T2" s="30"/>
      <c r="U2" s="30"/>
    </row>
    <row r="3" spans="1:21" ht="13.45">
      <c r="A3" s="33" t="s">
        <v>167</v>
      </c>
      <c r="B3" s="34"/>
      <c r="C3" s="34"/>
      <c r="D3" s="34"/>
      <c r="E3" s="34"/>
      <c r="F3" s="35" t="n">
        <v>200</v>
      </c>
      <c r="G3" s="34"/>
      <c r="H3" s="34"/>
      <c r="I3" s="34"/>
      <c r="J3" s="34"/>
      <c r="K3" s="34"/>
      <c r="L3" s="35"/>
      <c r="M3" s="34"/>
      <c r="N3" s="34"/>
      <c r="O3" s="34"/>
      <c r="P3" s="34"/>
      <c r="Q3" s="107"/>
      <c r="R3" s="30"/>
      <c r="S3" s="30"/>
      <c r="T3" s="30"/>
      <c r="U3" s="30"/>
    </row>
    <row r="4" spans="1:21" ht="13.45">
      <c r="A4" s="37" t="s">
        <v>102</v>
      </c>
      <c r="B4" s="30"/>
      <c r="C4" s="30"/>
      <c r="D4" s="30"/>
      <c r="E4" s="38">
        <f>Parámetros!C78</f>
        <v>-9</v>
      </c>
      <c r="F4" s="37"/>
      <c r="G4" s="30"/>
      <c r="H4" s="38">
        <f>Parámetros!C82</f>
        <v>38</v>
      </c>
      <c r="I4" s="38">
        <f>10^(H4/10)</f>
        <v>6309.57344480193024</v>
      </c>
      <c r="J4" s="38">
        <f>H4</f>
        <v>38</v>
      </c>
      <c r="K4" s="38">
        <f>I4</f>
        <v>6309.57344480193024</v>
      </c>
      <c r="L4" s="40" t="s">
        <v>103</v>
      </c>
      <c r="M4" s="40" t="s">
        <v>103</v>
      </c>
      <c r="N4" s="40" t="s">
        <v>103</v>
      </c>
      <c r="O4" s="40" t="s">
        <v>103</v>
      </c>
      <c r="P4" s="40" t="s">
        <v>103</v>
      </c>
      <c r="Q4" s="108"/>
      <c r="R4" s="30"/>
      <c r="S4" s="30"/>
      <c r="T4" s="30"/>
      <c r="U4" s="30"/>
    </row>
    <row r="5" spans="1:21" ht="13.45">
      <c r="A5" s="37" t="s">
        <v>104</v>
      </c>
      <c r="B5" s="30"/>
      <c r="C5" s="30"/>
      <c r="D5" s="38">
        <f>-Parámetros!C16</f>
        <v>-10</v>
      </c>
      <c r="E5" s="42">
        <f>D5+E4</f>
        <v>-19</v>
      </c>
      <c r="F5" s="43">
        <f>Parámetros!C$29</f>
        <v>-17.5199999999999996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64"/>
      <c r="R5" s="30"/>
      <c r="S5" s="30"/>
      <c r="T5" s="30"/>
      <c r="U5" s="30"/>
    </row>
    <row r="6" spans="1:21" ht="13.45">
      <c r="A6" s="37" t="s">
        <v>105</v>
      </c>
      <c r="B6" s="30"/>
      <c r="C6" s="30"/>
      <c r="D6" s="38">
        <f>Parámetros!C27</f>
        <v>21.5</v>
      </c>
      <c r="E6" s="38">
        <f>D6+E5</f>
        <v>2.5</v>
      </c>
      <c r="F6" s="31"/>
      <c r="G6" s="30">
        <f>Parámetros!C30</f>
        <v>6</v>
      </c>
      <c r="H6" s="45">
        <f>E5+158.9-10*LOG10(Parámetros!C13*10^9)-G6</f>
        <v>32.9308998699190028</v>
      </c>
      <c r="I6" s="46">
        <f>10^(H6/10)</f>
        <v>1963.76713254782999</v>
      </c>
      <c r="J6" s="46">
        <f>10*LOG10(K6)</f>
        <v>31.7540908428696014</v>
      </c>
      <c r="K6" s="46">
        <f>1/((1/K4)+(1/I6))</f>
        <v>1497.64570132966992</v>
      </c>
      <c r="L6" s="47">
        <f>(2/3)^3*Parámetros!C56*(Parámetros!C57)^2*'No linealidades'!D13*(10^(E7/10)*0.001)^2*LOG10(PI()^2*ABS(Parámetros!C58*10^(-24))*'No linealidades'!D13*(Parámetros!C59)^2*Parámetros!C74^2)/(PI()*ABS(Parámetros!C58*10^(-24))*Parámetros!C74^3)*Parámetros!C73*10^9</f>
        <v>0.000347218869708</v>
      </c>
      <c r="M6" s="48">
        <f>10*LOG10(N6)</f>
        <v>34.5939668099734021</v>
      </c>
      <c r="N6" s="49">
        <f>1/L6</f>
        <v>2880.02780736244995</v>
      </c>
      <c r="O6" s="48">
        <f>M6</f>
        <v>34.5939668099734021</v>
      </c>
      <c r="P6" s="50">
        <f>N6</f>
        <v>2880.02780736244995</v>
      </c>
      <c r="Q6" s="64">
        <f>10*LOG10(HARMEAN(K6,P6)/2)</f>
        <v>29.9356239696532995</v>
      </c>
      <c r="R6" s="30"/>
      <c r="S6" s="30"/>
      <c r="T6" s="30"/>
      <c r="U6" s="30"/>
    </row>
    <row r="7" spans="1:21" ht="13.45">
      <c r="A7" s="37" t="s">
        <v>168</v>
      </c>
      <c r="B7" s="30"/>
      <c r="C7" s="30"/>
      <c r="D7" s="38" t="n">
        <v>0</v>
      </c>
      <c r="E7" s="38">
        <f>E6</f>
        <v>2.5</v>
      </c>
      <c r="F7" s="37"/>
      <c r="G7" s="30"/>
      <c r="H7" s="30"/>
      <c r="I7" s="30"/>
      <c r="J7" s="30"/>
      <c r="K7" s="30"/>
      <c r="L7" s="30"/>
      <c r="M7" s="30"/>
      <c r="N7" s="30"/>
      <c r="O7" s="30"/>
      <c r="P7" s="30"/>
      <c r="Q7" s="64"/>
      <c r="R7" s="30"/>
      <c r="S7" s="30"/>
      <c r="T7" s="30"/>
      <c r="U7" s="30"/>
    </row>
    <row r="8" spans="1:21" ht="13.45">
      <c r="A8" s="53" t="s">
        <v>107</v>
      </c>
      <c r="B8" s="54" t="n">
        <v>107</v>
      </c>
      <c r="C8" s="54">
        <f>Parámetros!C41</f>
        <v>0.185</v>
      </c>
      <c r="D8" s="54">
        <f>-B8*C8</f>
        <v>-19.7950000000000017</v>
      </c>
      <c r="E8" s="54">
        <f>D8+E7</f>
        <v>-17.2950000000000017</v>
      </c>
      <c r="F8" s="53" t="str">
        <f>IF(E8&gt;=Parámetros!C$33,"V","F")</f>
        <v>V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64"/>
      <c r="R8" s="30"/>
      <c r="S8" s="30"/>
      <c r="T8" s="30"/>
      <c r="U8" s="30"/>
    </row>
    <row r="9" spans="1:21" ht="13.45">
      <c r="A9" s="109" t="s">
        <v>169</v>
      </c>
      <c r="B9" s="110"/>
      <c r="C9" s="110"/>
      <c r="D9" s="110"/>
      <c r="E9" s="110"/>
      <c r="F9" s="111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64"/>
      <c r="R9" s="30"/>
      <c r="S9" s="30"/>
      <c r="T9" s="30"/>
      <c r="U9" s="30"/>
    </row>
    <row r="10" spans="1:21" ht="13.45">
      <c r="A10" s="37" t="s">
        <v>170</v>
      </c>
      <c r="B10" s="30"/>
      <c r="C10" s="30"/>
      <c r="D10" s="38">
        <f>-(E8-Parámetros!C$37)</f>
        <v>-2.22500000000000009</v>
      </c>
      <c r="E10" s="42">
        <f>E8+D10</f>
        <v>-19.5199999999999996</v>
      </c>
      <c r="F10" s="43">
        <f>Parámetros!C$37</f>
        <v>-19.5199999999999996</v>
      </c>
      <c r="G10" s="30"/>
      <c r="H10" s="30"/>
      <c r="I10" s="30"/>
      <c r="J10" s="30"/>
      <c r="K10" s="30"/>
      <c r="L10" s="30"/>
      <c r="M10" s="46"/>
      <c r="N10" s="46"/>
      <c r="O10" s="46"/>
      <c r="P10" s="46"/>
      <c r="Q10" s="64"/>
      <c r="R10" s="30"/>
      <c r="S10" s="30"/>
      <c r="T10" s="30"/>
      <c r="U10" s="30"/>
    </row>
    <row r="11" spans="1:21" ht="13.45">
      <c r="A11" s="37" t="s">
        <v>171</v>
      </c>
      <c r="B11" s="30"/>
      <c r="C11" s="30"/>
      <c r="D11" s="38">
        <f>Parámetros!C$35</f>
        <v>25</v>
      </c>
      <c r="E11" s="38">
        <f>E10+D11</f>
        <v>5.48000000000000043</v>
      </c>
      <c r="F11" s="31"/>
      <c r="G11" s="38">
        <f>Parámetros!C$38</f>
        <v>5.5</v>
      </c>
      <c r="H11" s="38">
        <f>E10+158.9-10*LOG10(Parámetros!C$13*10^9)-G11</f>
        <v>32.9108998699189996</v>
      </c>
      <c r="I11" s="46">
        <f>10^(H11/10)</f>
        <v>1954.74444215498011</v>
      </c>
      <c r="J11" s="46">
        <f>10*LOG10(K11)</f>
        <v>29.2837920324237011</v>
      </c>
      <c r="K11" s="46">
        <f>1/((1/K6)+(1/I11))</f>
        <v>847.967491888250038</v>
      </c>
      <c r="L11" s="47">
        <f>(2/3)^3*Parámetros!C56*(Parámetros!C57)^2*'No linealidades'!D14*(10^(E11/10)*0.001)^2*LOG10(PI()^2*ABS(Parámetros!C58*10^(-24))*'No linealidades'!D14*(Parámetros!C59)^2*Parámetros!C74^2)/(PI()*ABS(Parámetros!C58*10^(-24))*Parámetros!C74^3)*Parámetros!C73*10^9</f>
        <v>0.00135888049185600002</v>
      </c>
      <c r="M11" s="48">
        <f>10*LOG10(N11)</f>
        <v>28.6681873606345015</v>
      </c>
      <c r="N11" s="49">
        <f>1/L11</f>
        <v>735.899886703185985</v>
      </c>
      <c r="O11" s="48">
        <f>10*LOG10(P11)</f>
        <v>27.6799567954459995</v>
      </c>
      <c r="P11" s="50">
        <f>HARMEAN(N11,N6)/2</f>
        <v>586.132333513849971</v>
      </c>
      <c r="Q11" s="64">
        <f>10*LOG10(HARMEAN(K11,P11)/2)</f>
        <v>25.3979549985660995</v>
      </c>
      <c r="R11" s="30"/>
      <c r="S11" s="30"/>
      <c r="T11" s="30"/>
      <c r="U11" s="30"/>
    </row>
    <row r="12" spans="1:21" ht="13.45">
      <c r="A12" s="53" t="s">
        <v>107</v>
      </c>
      <c r="B12" s="54" t="n">
        <v>95</v>
      </c>
      <c r="C12" s="54">
        <f>Parámetros!C41</f>
        <v>0.185</v>
      </c>
      <c r="D12" s="54">
        <f>-B12*C12</f>
        <v>-17.5749999999999993</v>
      </c>
      <c r="E12" s="54">
        <f>D12+E11</f>
        <v>-12.0950000000000006</v>
      </c>
      <c r="F12" s="53" t="str">
        <f>IF(E12&gt;=Parámetros!C$33,"V","F")</f>
        <v>V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64"/>
      <c r="R12" s="30"/>
      <c r="S12" s="30"/>
      <c r="T12" s="30"/>
      <c r="U12" s="30"/>
    </row>
    <row r="13" spans="1:21" ht="13.45">
      <c r="A13" s="109" t="s">
        <v>172</v>
      </c>
      <c r="B13" s="110"/>
      <c r="C13" s="110"/>
      <c r="D13" s="110"/>
      <c r="E13" s="110"/>
      <c r="F13" s="111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64"/>
      <c r="R13" s="30"/>
      <c r="S13" s="30"/>
      <c r="T13" s="30"/>
      <c r="U13" s="30"/>
    </row>
    <row r="14" spans="1:21" ht="13.45">
      <c r="A14" s="37" t="s">
        <v>170</v>
      </c>
      <c r="B14" s="30"/>
      <c r="C14" s="30"/>
      <c r="D14" s="38">
        <f>-(E12-Parámetros!C$37)</f>
        <v>-7.42499999999999982</v>
      </c>
      <c r="E14" s="42">
        <f>D14+E12</f>
        <v>-19.5199999999999996</v>
      </c>
      <c r="F14" s="43">
        <f>Parámetros!C$37</f>
        <v>-19.5199999999999996</v>
      </c>
      <c r="G14" s="30"/>
      <c r="H14" s="30"/>
      <c r="I14" s="30"/>
      <c r="J14" s="30"/>
      <c r="K14" s="30"/>
      <c r="L14" s="30"/>
      <c r="M14" s="46"/>
      <c r="N14" s="46"/>
      <c r="O14" s="46"/>
      <c r="P14" s="46"/>
      <c r="Q14" s="64"/>
      <c r="R14" s="30"/>
      <c r="S14" s="30"/>
      <c r="T14" s="30"/>
      <c r="U14" s="30"/>
    </row>
    <row r="15" spans="1:21" ht="13.45">
      <c r="A15" s="37" t="s">
        <v>173</v>
      </c>
      <c r="B15" s="30"/>
      <c r="C15" s="30"/>
      <c r="D15" s="38">
        <f>Parámetros!C$35</f>
        <v>25</v>
      </c>
      <c r="E15" s="38">
        <f>D15+E14</f>
        <v>5.48000000000000043</v>
      </c>
      <c r="F15" s="31"/>
      <c r="G15" s="38">
        <f>Parámetros!C$38</f>
        <v>5.5</v>
      </c>
      <c r="H15" s="38">
        <f>E14+158.9-10*LOG10(Parámetros!C$13*10^9)-G15</f>
        <v>32.9108998699189996</v>
      </c>
      <c r="I15" s="46">
        <f>10^(H15/10)</f>
        <v>1954.74444215498011</v>
      </c>
      <c r="J15" s="46">
        <f>10*LOG10(K15)</f>
        <v>27.7189072746655008</v>
      </c>
      <c r="K15" s="46">
        <f>1/((1/K11)+(1/I15))</f>
        <v>591.412810486382</v>
      </c>
      <c r="L15" s="47">
        <f>(2/3)^3*Parámetros!C56*(Parámetros!C57)^2*'No linealidades'!D15*(10^(E15/10)*0.001)^2*LOG10(PI()^2*ABS(Parámetros!C58*10^(-24))*'No linealidades'!D15*(Parámetros!C59)^2*Parámetros!C74^2)/(PI()*ABS(Parámetros!C58*10^(-24))*Parámetros!C74^3)*Parámetros!C73*10^9</f>
        <v>0.00132795936155299987</v>
      </c>
      <c r="M15" s="48">
        <f>10*LOG10(N15)</f>
        <v>28.7681521512111011</v>
      </c>
      <c r="N15" s="49">
        <f>1/L15</f>
        <v>753.035092000509053</v>
      </c>
      <c r="O15" s="48">
        <f>10*LOG10(P15)</f>
        <v>25.1797601785421001</v>
      </c>
      <c r="P15" s="50">
        <f>HARMEAN(N11,N6,N15)/3</f>
        <v>329.591511324692988</v>
      </c>
      <c r="Q15" s="64">
        <f>10*LOG10(HARMEAN(K15,P15)/2)</f>
        <v>23.256050771930699</v>
      </c>
      <c r="R15" s="30"/>
      <c r="S15" s="30"/>
      <c r="T15" s="30"/>
      <c r="U15" s="30"/>
    </row>
    <row r="16" spans="1:21" ht="13.45">
      <c r="A16" s="53" t="s">
        <v>107</v>
      </c>
      <c r="B16" s="54" t="n">
        <v>77</v>
      </c>
      <c r="C16" s="54">
        <f>Parámetros!C41</f>
        <v>0.185</v>
      </c>
      <c r="D16" s="54">
        <f>-B16*C16</f>
        <v>-14.2449999999999992</v>
      </c>
      <c r="E16" s="54">
        <f>D16+E15</f>
        <v>-8.76500000000000057</v>
      </c>
      <c r="F16" s="53" t="str">
        <f>IF(E16&gt;=Parámetros!C$33,"V","F")</f>
        <v>V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64"/>
      <c r="R16" s="30"/>
      <c r="S16" s="30"/>
      <c r="T16" s="30"/>
      <c r="U16" s="30"/>
    </row>
    <row r="17" spans="1:21" ht="13.45">
      <c r="A17" s="109" t="s">
        <v>174</v>
      </c>
      <c r="B17" s="110"/>
      <c r="C17" s="110"/>
      <c r="D17" s="110"/>
      <c r="E17" s="110"/>
      <c r="F17" s="111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64"/>
      <c r="R17" s="30"/>
      <c r="S17" s="30"/>
      <c r="T17" s="30"/>
      <c r="U17" s="30"/>
    </row>
    <row r="18" spans="1:21" ht="13.45">
      <c r="A18" s="37" t="s">
        <v>170</v>
      </c>
      <c r="B18" s="30"/>
      <c r="C18" s="30"/>
      <c r="D18" s="38">
        <f>-(E16-Parámetros!C$37)</f>
        <v>-10.7550000000000008</v>
      </c>
      <c r="E18" s="42">
        <f>D18+E16</f>
        <v>-19.5199999999999996</v>
      </c>
      <c r="F18" s="43">
        <f>Parámetros!C$37</f>
        <v>-19.5199999999999996</v>
      </c>
      <c r="G18" s="30"/>
      <c r="H18" s="30"/>
      <c r="I18" s="30"/>
      <c r="J18" s="30"/>
      <c r="K18" s="30"/>
      <c r="L18" s="30"/>
      <c r="M18" s="46"/>
      <c r="N18" s="46"/>
      <c r="O18" s="46"/>
      <c r="P18" s="46"/>
      <c r="Q18" s="64"/>
      <c r="R18" s="30"/>
      <c r="S18" s="30"/>
      <c r="T18" s="30"/>
      <c r="U18" s="30"/>
    </row>
    <row r="19" spans="1:21" ht="13.45">
      <c r="A19" s="37" t="s">
        <v>175</v>
      </c>
      <c r="B19" s="30"/>
      <c r="C19" s="30"/>
      <c r="D19" s="38">
        <f>Parámetros!C$35</f>
        <v>25</v>
      </c>
      <c r="E19" s="38">
        <f>D19+E18</f>
        <v>5.48000000000000043</v>
      </c>
      <c r="F19" s="31"/>
      <c r="G19" s="38">
        <f>Parámetros!C$38</f>
        <v>5.5</v>
      </c>
      <c r="H19" s="38">
        <f>E18+158.9-10*LOG10(Parámetros!C$13*10^9)-G19</f>
        <v>32.9108998699189996</v>
      </c>
      <c r="I19" s="46">
        <f>10^(H19/10)</f>
        <v>1954.74444215498011</v>
      </c>
      <c r="J19" s="46">
        <f>10*LOG10(K19)</f>
        <v>26.5709549194927988</v>
      </c>
      <c r="K19" s="46">
        <f>1/((1/K15)+(1/I19))</f>
        <v>454.041439552877023</v>
      </c>
      <c r="L19" s="47">
        <f>(2/3)^3*Parámetros!C56*(Parámetros!C57)^2*'No linealidades'!D16*(10^(E19/10)*0.001)^2*LOG10(PI()^2*ABS(Parámetros!C58*10^(-24))*'No linealidades'!D16*(Parámetros!C59)^2*Parámetros!C74^2)/(PI()*ABS(Parámetros!C58*10^(-24))*Parámetros!C74^3)*Parámetros!C73*10^9</f>
        <v>0.00132009803740999998</v>
      </c>
      <c r="M19" s="48">
        <f>10*LOG10(N19)</f>
        <v>28.7939381460844004</v>
      </c>
      <c r="N19" s="49">
        <f>1/L19</f>
        <v>757.519496023170973</v>
      </c>
      <c r="O19" s="48">
        <f>10*LOG10(P19)</f>
        <v>23.6109593932654995</v>
      </c>
      <c r="P19" s="50">
        <f>HARMEAN(N11,N6,N15,N19)/4</f>
        <v>229.665594281213998</v>
      </c>
      <c r="Q19" s="64">
        <f>10*LOG10(HARMEAN(K19,P19)/2)</f>
        <v>21.8332138342255995</v>
      </c>
      <c r="R19" s="30"/>
      <c r="S19" s="30"/>
      <c r="T19" s="30"/>
      <c r="U19" s="30"/>
    </row>
    <row r="20" spans="1:21" ht="13.45">
      <c r="A20" s="53" t="s">
        <v>107</v>
      </c>
      <c r="B20" s="54" t="n">
        <v>74</v>
      </c>
      <c r="C20" s="54">
        <f>Parámetros!C41</f>
        <v>0.185</v>
      </c>
      <c r="D20" s="54">
        <f>-B20*C20</f>
        <v>-13.6899999999999995</v>
      </c>
      <c r="E20" s="54">
        <f>D20+E19</f>
        <v>-8.21000000000000085</v>
      </c>
      <c r="F20" s="53" t="str">
        <f>IF(E20&gt;=Parámetros!C$33,"V","F")</f>
        <v>V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64"/>
      <c r="R20" s="30"/>
      <c r="S20" s="30"/>
      <c r="T20" s="30"/>
      <c r="U20" s="30"/>
    </row>
    <row r="21" spans="1:21" ht="13.45">
      <c r="A21" s="109" t="s">
        <v>176</v>
      </c>
      <c r="B21" s="110"/>
      <c r="C21" s="110"/>
      <c r="D21" s="110"/>
      <c r="E21" s="110"/>
      <c r="F21" s="111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64"/>
      <c r="R21" s="30"/>
      <c r="S21" s="30"/>
      <c r="T21" s="30"/>
      <c r="U21" s="30"/>
    </row>
    <row r="22" spans="1:21" ht="13.45">
      <c r="A22" s="37" t="s">
        <v>170</v>
      </c>
      <c r="B22" s="30"/>
      <c r="C22" s="30"/>
      <c r="D22" s="38">
        <f>-(E20-Parámetros!C$37)</f>
        <v>-11.3100000000000005</v>
      </c>
      <c r="E22" s="42">
        <f>D22+E20</f>
        <v>-19.5199999999999996</v>
      </c>
      <c r="F22" s="43">
        <f>Parámetros!C$37</f>
        <v>-19.5199999999999996</v>
      </c>
      <c r="G22" s="30"/>
      <c r="H22" s="30"/>
      <c r="I22" s="30"/>
      <c r="J22" s="30"/>
      <c r="K22" s="30"/>
      <c r="L22" s="30"/>
      <c r="M22" s="46"/>
      <c r="N22" s="46"/>
      <c r="O22" s="46"/>
      <c r="P22" s="46"/>
      <c r="Q22" s="64"/>
      <c r="R22" s="30"/>
      <c r="S22" s="30"/>
      <c r="T22" s="30"/>
      <c r="U22" s="30"/>
    </row>
    <row r="23" spans="1:21" ht="13.45">
      <c r="A23" s="37" t="s">
        <v>177</v>
      </c>
      <c r="B23" s="30"/>
      <c r="C23" s="30"/>
      <c r="D23" s="38">
        <f>Parámetros!C$35</f>
        <v>25</v>
      </c>
      <c r="E23" s="38">
        <f>D23+E22</f>
        <v>5.48000000000000043</v>
      </c>
      <c r="F23" s="31"/>
      <c r="G23" s="38">
        <f>Parámetros!C$38</f>
        <v>5.5</v>
      </c>
      <c r="H23" s="38">
        <f>E22+158.9-10*LOG10(Parámetros!C$13*10^9)-G23</f>
        <v>32.9108998699189996</v>
      </c>
      <c r="I23" s="46">
        <f>10^(H23/10)</f>
        <v>1954.74444215498011</v>
      </c>
      <c r="J23" s="46">
        <f>10*LOG10(K23)</f>
        <v>25.6638728190068015</v>
      </c>
      <c r="K23" s="46">
        <f>1/((1/K19)+(1/I23))</f>
        <v>368.457398896998995</v>
      </c>
      <c r="L23" s="47">
        <f>(2/3)^3*Parámetros!C56*(Parámetros!C57)^2*'No linealidades'!D17*(10^(E23/10)*0.001)^2*LOG10(PI()^2*ABS(Parámetros!C58*10^(-24))*'No linealidades'!D17*(Parámetros!C59)^2*Parámetros!C74^2)/(PI()*ABS(Parámetros!C58*10^(-24))*Parámetros!C74^3)*Parámetros!C73*10^9</f>
        <v>0.00136000029552599999</v>
      </c>
      <c r="M23" s="48">
        <f>10*LOG10(N23)</f>
        <v>28.6646099725824008</v>
      </c>
      <c r="N23" s="49">
        <f>1/L23</f>
        <v>735.293957868762959</v>
      </c>
      <c r="O23" s="48">
        <f>10*LOG10(P23)</f>
        <v>22.4304782701947012</v>
      </c>
      <c r="P23" s="50">
        <f>HARMEAN(N11,N6,N15,N19,N23)/5</f>
        <v>175.003940247092004</v>
      </c>
      <c r="Q23" s="64">
        <f>10*LOG10(HARMEAN(K23,P23)/2)</f>
        <v>20.7426645432226984</v>
      </c>
      <c r="R23" s="30"/>
      <c r="S23" s="30"/>
      <c r="T23" s="30"/>
      <c r="U23" s="30"/>
    </row>
    <row r="24" spans="1:21" ht="13.45">
      <c r="A24" s="53" t="s">
        <v>107</v>
      </c>
      <c r="B24" s="54" t="n">
        <v>96</v>
      </c>
      <c r="C24" s="54">
        <f>Parámetros!C41</f>
        <v>0.185</v>
      </c>
      <c r="D24" s="54">
        <f>-B24*C24</f>
        <v>-17.7600000000000016</v>
      </c>
      <c r="E24" s="54">
        <f>D24+E23</f>
        <v>-12.2799999999999994</v>
      </c>
      <c r="F24" s="53" t="str">
        <f>IF(E24&gt;=Parámetros!C$33,"V","F")</f>
        <v>V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64"/>
      <c r="R24" s="30"/>
      <c r="S24" s="30"/>
      <c r="T24" s="30"/>
      <c r="U24" s="30"/>
    </row>
    <row r="25" spans="1:21" ht="13.45">
      <c r="A25" s="109" t="s">
        <v>178</v>
      </c>
      <c r="B25" s="110"/>
      <c r="C25" s="110"/>
      <c r="D25" s="110"/>
      <c r="E25" s="110"/>
      <c r="F25" s="111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64"/>
      <c r="R25" s="30"/>
      <c r="S25" s="30"/>
      <c r="T25" s="30"/>
      <c r="U25" s="30"/>
    </row>
    <row r="26" spans="1:21" ht="13.45">
      <c r="A26" s="37" t="s">
        <v>170</v>
      </c>
      <c r="B26" s="30"/>
      <c r="C26" s="30"/>
      <c r="D26" s="38">
        <f>-(E24-Parámetros!C$37)</f>
        <v>-7.24000000000000021</v>
      </c>
      <c r="E26" s="42">
        <f>D26+E24</f>
        <v>-19.5199999999999996</v>
      </c>
      <c r="F26" s="43">
        <f>Parámetros!C$37</f>
        <v>-19.5199999999999996</v>
      </c>
      <c r="G26" s="30"/>
      <c r="H26" s="30"/>
      <c r="I26" s="30"/>
      <c r="J26" s="30"/>
      <c r="K26" s="30"/>
      <c r="L26" s="30"/>
      <c r="M26" s="46"/>
      <c r="N26" s="46"/>
      <c r="O26" s="46"/>
      <c r="P26" s="46"/>
      <c r="Q26" s="64"/>
      <c r="R26" s="30"/>
      <c r="S26" s="30"/>
      <c r="T26" s="30"/>
      <c r="U26" s="30"/>
    </row>
    <row r="27" spans="1:21" ht="13.45">
      <c r="A27" s="37" t="s">
        <v>179</v>
      </c>
      <c r="C27" s="30"/>
      <c r="D27" s="38">
        <f>Parámetros!C$35</f>
        <v>25</v>
      </c>
      <c r="E27" s="38">
        <f>D27+E26</f>
        <v>5.48000000000000043</v>
      </c>
      <c r="F27" s="31"/>
      <c r="G27" s="38">
        <f>Parámetros!C$38</f>
        <v>5.5</v>
      </c>
      <c r="H27" s="38">
        <f>E26+158.9-10*LOG10(Parámetros!C$13*10^9)-G27</f>
        <v>32.9108998699189996</v>
      </c>
      <c r="I27" s="46">
        <f>10^(H27/10)</f>
        <v>1954.74444215498011</v>
      </c>
      <c r="J27" s="46">
        <f>10*LOG10(K27)</f>
        <v>24.9139032570998005</v>
      </c>
      <c r="K27" s="46">
        <f>1/((1/K23)+(1/I27))</f>
        <v>310.020438146069978</v>
      </c>
      <c r="L27" s="47">
        <f>(2/3)^3*Parámetros!C56*(Parámetros!C57)^2*'No linealidades'!D18*(10^(E27/10)*0.001)^2*LOG10(PI()^2*ABS(Parámetros!C58*10^(-24))*'No linealidades'!D18*(Parámetros!C59)^2*Parámetros!C74^2)/(PI()*ABS(Parámetros!C58*10^(-24))*Parámetros!C74^3)*Parámetros!C73*10^9</f>
        <v>0.00128534665129500025</v>
      </c>
      <c r="M27" s="48">
        <f>10*LOG10(N27)</f>
        <v>28.9097972957655003</v>
      </c>
      <c r="N27" s="49">
        <f>1/L27</f>
        <v>778.000237517630012</v>
      </c>
      <c r="O27" s="48">
        <f>10*LOG10(P27)</f>
        <v>21.5493275210019988</v>
      </c>
      <c r="P27" s="50">
        <f>HARMEAN(N11,N6,N15,N19,N23,N27)/6</f>
        <v>142.867271996758006</v>
      </c>
      <c r="Q27" s="120">
        <f>10*LOG10(HARMEAN(K27,P27)/2)</f>
        <v>19.9033254226648992</v>
      </c>
      <c r="R27" s="30"/>
      <c r="S27" s="30"/>
      <c r="T27" s="30"/>
      <c r="U27" s="30"/>
    </row>
    <row r="28" spans="1:21" ht="13.45">
      <c r="A28" s="53" t="s">
        <v>107</v>
      </c>
      <c r="B28" s="54" t="n">
        <v>64</v>
      </c>
      <c r="C28" s="54">
        <f>Parámetros!C41</f>
        <v>0.185</v>
      </c>
      <c r="D28" s="54">
        <f>-B28*C28</f>
        <v>-11.8399999999999999</v>
      </c>
      <c r="E28" s="54">
        <f>D28+E27</f>
        <v>-6.36000000000000032</v>
      </c>
      <c r="F28" s="53" t="str">
        <f>IF(E28&gt;=Parámetros!C$33,"V","F")</f>
        <v>V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64"/>
      <c r="R28" s="30"/>
      <c r="S28" s="30"/>
      <c r="T28" s="30"/>
      <c r="U28" s="30"/>
    </row>
    <row r="29" spans="1:21" ht="13.45">
      <c r="A29" s="109" t="s">
        <v>180</v>
      </c>
      <c r="B29" s="110"/>
      <c r="C29" s="110"/>
      <c r="D29" s="110"/>
      <c r="E29" s="110"/>
      <c r="F29" s="111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64"/>
      <c r="R29" s="30"/>
      <c r="S29" s="30"/>
      <c r="T29" s="30"/>
      <c r="U29" s="30"/>
    </row>
    <row r="30" spans="1:21" ht="13.45">
      <c r="A30" s="37" t="s">
        <v>170</v>
      </c>
      <c r="B30" s="30"/>
      <c r="C30" s="30"/>
      <c r="D30" s="38">
        <f>-(E28-Parámetros!C$37)</f>
        <v>-13.1600000000000001</v>
      </c>
      <c r="E30" s="42">
        <f>D30+E28</f>
        <v>-19.5199999999999996</v>
      </c>
      <c r="F30" s="43">
        <f>Parámetros!C$37</f>
        <v>-19.5199999999999996</v>
      </c>
      <c r="G30" s="30"/>
      <c r="H30" s="30"/>
      <c r="I30" s="30"/>
      <c r="J30" s="30"/>
      <c r="K30" s="30"/>
      <c r="L30" s="30"/>
      <c r="M30" s="46"/>
      <c r="N30" s="46"/>
      <c r="O30" s="46"/>
      <c r="P30" s="46"/>
      <c r="Q30" s="64"/>
      <c r="R30" s="30"/>
      <c r="S30" s="30"/>
      <c r="T30" s="30"/>
      <c r="U30" s="30"/>
    </row>
    <row r="31" spans="1:21" ht="13.45">
      <c r="A31" s="37" t="s">
        <v>181</v>
      </c>
      <c r="B31" s="30"/>
      <c r="C31" s="30"/>
      <c r="D31" s="38">
        <f>Parámetros!C$35</f>
        <v>25</v>
      </c>
      <c r="E31" s="38">
        <f>D31+E30</f>
        <v>5.48000000000000043</v>
      </c>
      <c r="F31" s="31"/>
      <c r="G31" s="38">
        <f>Parámetros!C$38</f>
        <v>5.5</v>
      </c>
      <c r="H31" s="38">
        <f>E30+158.9-10*LOG10(Parámetros!C$13*10^9)-G31</f>
        <v>32.9108998699189996</v>
      </c>
      <c r="I31" s="46">
        <f>10^(H31/10)</f>
        <v>1954.74444215498011</v>
      </c>
      <c r="J31" s="46">
        <f>10*LOG10(K31)</f>
        <v>24.2745719089516996</v>
      </c>
      <c r="K31" s="46">
        <f>1/((1/K27)+(1/I31))</f>
        <v>267.582182014344994</v>
      </c>
      <c r="L31" s="47">
        <f>(2/3)^3*Parámetros!C56*(Parámetros!C57)^2*'No linealidades'!D19*(10^(E31/10)*0.001)^2*LOG10(PI()^2*ABS(Parámetros!C58*10^(-24))*'No linealidades'!D19*(Parámetros!C59)^2*Parámetros!C74^2)/(PI()*ABS(Parámetros!C58*10^(-24))*Parámetros!C74^3)*Parámetros!C73*10^9</f>
        <v>0.00133267103681900001</v>
      </c>
      <c r="M31" s="48">
        <f>10*LOG10(N31)</f>
        <v>28.7527704077803996</v>
      </c>
      <c r="N31" s="49">
        <f>1/L31</f>
        <v>750.372726931122997</v>
      </c>
      <c r="O31" s="48">
        <f>10*LOG10(P31)</f>
        <v>20.7924163051118001</v>
      </c>
      <c r="P31" s="50">
        <f>HARMEAN(N11,N6,N15,N19,N23,N27,N31)/7</f>
        <v>120.016686003862006</v>
      </c>
      <c r="Q31" s="64">
        <f>10*LOG10(HARMEAN(K31,P31)/2)</f>
        <v>19.1831632138202011</v>
      </c>
      <c r="R31" s="30"/>
      <c r="S31" s="30"/>
      <c r="T31" s="30"/>
      <c r="U31" s="30"/>
    </row>
    <row r="32" spans="1:21" ht="13.45">
      <c r="A32" s="53" t="s">
        <v>107</v>
      </c>
      <c r="B32" s="54" t="n">
        <v>79</v>
      </c>
      <c r="C32" s="54">
        <f>Parámetros!C41</f>
        <v>0.185</v>
      </c>
      <c r="D32" s="54">
        <f>-B32*C32</f>
        <v>-14.6150000000000002</v>
      </c>
      <c r="E32" s="54">
        <f>D32+E31</f>
        <v>-9.13499999999999979</v>
      </c>
      <c r="F32" s="53" t="str">
        <f>IF(E32&gt;=Parámetros!C$33,"V","F")</f>
        <v>V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64"/>
      <c r="R32" s="30"/>
      <c r="S32" s="30"/>
      <c r="T32" s="30"/>
      <c r="U32" s="30"/>
    </row>
    <row r="33" spans="1:21" ht="13.45">
      <c r="A33" s="33" t="s">
        <v>182</v>
      </c>
      <c r="B33" s="34"/>
      <c r="C33" s="34"/>
      <c r="D33" s="34"/>
      <c r="E33" s="34"/>
      <c r="F33" s="35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64"/>
      <c r="R33" s="30"/>
      <c r="S33" s="30"/>
      <c r="T33" s="30"/>
      <c r="U33" s="30"/>
    </row>
    <row r="34" spans="1:21" ht="13.45">
      <c r="A34" s="37" t="s">
        <v>109</v>
      </c>
      <c r="B34" s="30"/>
      <c r="C34" s="30"/>
      <c r="D34" s="38">
        <f>-(E32+Parámetros!H18)</f>
        <v>-9.66499999999999915</v>
      </c>
      <c r="E34" s="42">
        <f>D34+E32</f>
        <v>-18.8000000000000007</v>
      </c>
      <c r="F34" s="43">
        <f>Parámetros!C22</f>
        <v>-18.0199999999999996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64"/>
      <c r="R34" s="30"/>
      <c r="S34" s="30"/>
      <c r="T34" s="30"/>
      <c r="U34" s="30"/>
    </row>
    <row r="35" spans="1:21" ht="13.45">
      <c r="A35" s="37" t="s">
        <v>110</v>
      </c>
      <c r="B35" s="30"/>
      <c r="C35" s="30"/>
      <c r="D35" s="38">
        <f>Parámetros!C20</f>
        <v>21</v>
      </c>
      <c r="E35" s="38">
        <f>D35+E34</f>
        <v>2.20000000000000018</v>
      </c>
      <c r="F35" s="31"/>
      <c r="G35" s="38">
        <f>Parámetros!C23</f>
        <v>5.5</v>
      </c>
      <c r="H35" s="38">
        <f>E34+158.9-10*LOG10(Parámetros!C$13*10^9)-G35</f>
        <v>33.6308998699189985</v>
      </c>
      <c r="I35" s="46">
        <f>10^(H35/10)</f>
        <v>2307.22520250104981</v>
      </c>
      <c r="J35" s="46">
        <f>10*LOG10(K35)</f>
        <v>23.7980243187718017</v>
      </c>
      <c r="K35" s="46">
        <f>1/((1/K31)+(1/I35))</f>
        <v>239.774189633168987</v>
      </c>
      <c r="L35" s="40" t="s">
        <v>103</v>
      </c>
      <c r="M35" s="40" t="s">
        <v>103</v>
      </c>
      <c r="N35" s="40" t="s">
        <v>103</v>
      </c>
      <c r="O35" s="40" t="s">
        <v>103</v>
      </c>
      <c r="P35" s="40" t="s">
        <v>103</v>
      </c>
      <c r="Q35" s="64">
        <f>10*LOG10(HARMEAN(K35,P31)/2)</f>
        <v>19.0299391702734013</v>
      </c>
      <c r="R35" s="30"/>
      <c r="S35" s="30"/>
      <c r="T35" s="30"/>
      <c r="U35" s="30"/>
    </row>
    <row r="36" spans="1:21" ht="13.45">
      <c r="A36" s="37" t="s">
        <v>119</v>
      </c>
      <c r="B36" s="30"/>
      <c r="C36" s="30"/>
      <c r="D36" s="38">
        <f>-Parámetros!C16</f>
        <v>-10</v>
      </c>
      <c r="E36" s="38">
        <f>D36+E35</f>
        <v>-7.79999999999999982</v>
      </c>
      <c r="F36" s="3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64"/>
      <c r="R36" s="30"/>
      <c r="S36" s="30"/>
      <c r="T36" s="30"/>
      <c r="U36" s="30"/>
    </row>
    <row r="37" spans="1:21" ht="13.45">
      <c r="A37" s="37" t="s">
        <v>102</v>
      </c>
      <c r="B37" s="30"/>
      <c r="C37" s="30"/>
      <c r="D37" s="38"/>
      <c r="E37" s="38">
        <f>E36</f>
        <v>-7.79999999999999982</v>
      </c>
      <c r="F37" s="37" t="str">
        <f>IF(E37&gt;=Parámetros!C67,"V","F")</f>
        <v>V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64"/>
      <c r="R37" s="30"/>
      <c r="S37" s="30"/>
      <c r="T37" s="30"/>
      <c r="U37" s="30"/>
    </row>
    <row r="38" spans="1:21" ht="13.45">
      <c r="A38" s="31"/>
      <c r="B38" s="30"/>
      <c r="C38" s="30"/>
      <c r="D38" s="30"/>
      <c r="E38" s="30"/>
      <c r="F38" s="66" t="s">
        <v>120</v>
      </c>
      <c r="G38" s="67"/>
      <c r="H38" s="67"/>
      <c r="I38" s="67"/>
      <c r="J38" s="112">
        <f>J35</f>
        <v>23.7980243187718017</v>
      </c>
      <c r="K38" s="69">
        <f>K35</f>
        <v>239.774189633168987</v>
      </c>
      <c r="L38" s="67"/>
      <c r="M38" s="67"/>
      <c r="N38" s="67"/>
      <c r="O38" s="113">
        <f>O31</f>
        <v>20.7924163051118001</v>
      </c>
      <c r="P38" s="112">
        <f>P31</f>
        <v>120.016686003862006</v>
      </c>
      <c r="Q38" s="70">
        <f>10*LOG10(HARMEAN(K38,P38)/2)</f>
        <v>19.0299391702734013</v>
      </c>
      <c r="R38" s="118" t="s">
        <v>121</v>
      </c>
      <c r="S38" s="30"/>
      <c r="T38" s="30"/>
      <c r="U38" s="30"/>
    </row>
    <row r="39" spans="1:21" ht="13.45">
      <c r="A39" s="31"/>
      <c r="B39" s="30"/>
      <c r="C39" s="30"/>
      <c r="D39" s="30"/>
      <c r="E39" s="30"/>
      <c r="F39" s="66" t="s">
        <v>183</v>
      </c>
      <c r="H39" s="67"/>
      <c r="I39" s="67"/>
      <c r="J39" s="68">
        <f>Parámetros!C83</f>
        <v>20.5</v>
      </c>
      <c r="K39" s="72">
        <f>10^(J39/10)</f>
        <v>112.201845430196002</v>
      </c>
      <c r="L39" s="67"/>
      <c r="M39" s="67"/>
      <c r="N39" s="67"/>
      <c r="O39" s="68"/>
      <c r="P39" s="72"/>
      <c r="Q39" s="73">
        <f>Parámetros!C83</f>
        <v>20.5</v>
      </c>
      <c r="R39" s="119"/>
      <c r="S39" s="30"/>
      <c r="T39" s="30"/>
      <c r="U39" s="30"/>
    </row>
    <row r="40" spans="1:21" ht="13.45">
      <c r="A40" s="31"/>
      <c r="B40" s="31"/>
      <c r="C40" s="31"/>
      <c r="D40" s="31"/>
      <c r="E40" s="31"/>
      <c r="F40" s="31"/>
      <c r="G40" s="30"/>
      <c r="H40" s="30"/>
      <c r="I40" s="30"/>
      <c r="J40" s="85"/>
      <c r="K40" s="30"/>
      <c r="L40" s="30"/>
      <c r="M40" s="30"/>
      <c r="N40" s="30"/>
      <c r="O40" s="85"/>
      <c r="P40" s="30"/>
      <c r="Q40" s="30"/>
      <c r="R40" s="30"/>
      <c r="S40" s="85"/>
      <c r="T40" s="30"/>
      <c r="U40" s="85"/>
    </row>
    <row r="41" spans="1:9" ht="13.45">
      <c r="A41" s="74" t="s">
        <v>123</v>
      </c>
      <c r="B41" s="74" t="s">
        <v>124</v>
      </c>
      <c r="C41" s="74" t="s">
        <v>125</v>
      </c>
      <c r="D41" s="74" t="s">
        <v>126</v>
      </c>
      <c r="G41" s="75"/>
      <c r="H41" s="74" t="s">
        <v>123</v>
      </c>
      <c r="I41" s="74" t="s">
        <v>124</v>
      </c>
    </row>
    <row r="42" spans="1:9" ht="13.45">
      <c r="A42" s="76" t="s">
        <v>127</v>
      </c>
      <c r="B42" s="77" t="n">
        <v>18</v>
      </c>
      <c r="C42" s="76" t="n">
        <v>-17</v>
      </c>
      <c r="D42" s="77">
        <f>Parámetros!C79</f>
        <v>30000</v>
      </c>
      <c r="G42" s="75"/>
      <c r="H42" s="77" t="s">
        <v>128</v>
      </c>
      <c r="I42" s="77" t="n">
        <v>17.0899999999999999</v>
      </c>
    </row>
    <row r="43" spans="1:9" ht="13.45">
      <c r="A43" s="78" t="s">
        <v>129</v>
      </c>
      <c r="B43" s="78" t="s">
        <v>85</v>
      </c>
      <c r="C43" s="78" t="s">
        <v>130</v>
      </c>
      <c r="D43" s="78" t="s">
        <v>131</v>
      </c>
      <c r="G43" s="78" t="s">
        <v>85</v>
      </c>
      <c r="H43" s="78" t="s">
        <v>130</v>
      </c>
      <c r="I43" s="78" t="s">
        <v>131</v>
      </c>
    </row>
    <row r="44" spans="1:9" ht="13.45">
      <c r="A44" s="103" t="s">
        <v>158</v>
      </c>
      <c r="B44" s="103" t="n">
        <v>107</v>
      </c>
      <c r="C44" s="114">
        <f>B$42*B44</f>
        <v>1926</v>
      </c>
      <c r="D44" s="114">
        <f>C44</f>
        <v>1926</v>
      </c>
      <c r="G44" s="103" t="n">
        <v>107</v>
      </c>
      <c r="H44" s="114">
        <f>I$42*G44</f>
        <v>1828.63000000000011</v>
      </c>
      <c r="I44" s="114">
        <f>H44</f>
        <v>1828.63000000000011</v>
      </c>
    </row>
    <row r="45" spans="1:9" ht="13.45">
      <c r="A45" s="103" t="s">
        <v>159</v>
      </c>
      <c r="B45" s="103" t="n">
        <v>95</v>
      </c>
      <c r="C45" s="114">
        <f>B$42*B45</f>
        <v>1710</v>
      </c>
      <c r="D45" s="114">
        <f>C45+D44</f>
        <v>3636</v>
      </c>
      <c r="G45" s="103" t="n">
        <v>95</v>
      </c>
      <c r="H45" s="114">
        <f>I$42*G45</f>
        <v>1623.54999999999995</v>
      </c>
      <c r="I45" s="114">
        <f>H45+I44</f>
        <v>3452.17999999999984</v>
      </c>
    </row>
    <row r="46" spans="1:9" ht="13.45">
      <c r="A46" s="103" t="s">
        <v>160</v>
      </c>
      <c r="B46" s="103" t="n">
        <v>77</v>
      </c>
      <c r="C46" s="114">
        <f>B$42*B46</f>
        <v>1386</v>
      </c>
      <c r="D46" s="114">
        <f>C46+D45</f>
        <v>5022</v>
      </c>
      <c r="G46" s="103" t="n">
        <v>77</v>
      </c>
      <c r="H46" s="114">
        <f>I$42*G46</f>
        <v>1315.93000000000006</v>
      </c>
      <c r="I46" s="114">
        <f>H46+I45</f>
        <v>4768.10999999999967</v>
      </c>
    </row>
    <row r="47" spans="1:9" ht="13.45">
      <c r="A47" s="103" t="s">
        <v>161</v>
      </c>
      <c r="B47" s="103" t="n">
        <v>74</v>
      </c>
      <c r="C47" s="114">
        <f>B$42*B47</f>
        <v>1332</v>
      </c>
      <c r="D47" s="114">
        <f>C47+D46</f>
        <v>6354</v>
      </c>
      <c r="G47" s="103" t="n">
        <v>74</v>
      </c>
      <c r="H47" s="114">
        <f>I$42*G47</f>
        <v>1264.66000000000008</v>
      </c>
      <c r="I47" s="114">
        <f>H47+I46</f>
        <v>6032.77000000000044</v>
      </c>
    </row>
    <row r="48" spans="1:9" ht="13.45">
      <c r="A48" s="103" t="s">
        <v>162</v>
      </c>
      <c r="B48" s="103" t="n">
        <v>96</v>
      </c>
      <c r="C48" s="114">
        <f>B$42*B48</f>
        <v>1728</v>
      </c>
      <c r="D48" s="114">
        <f>C48+D47</f>
        <v>8082</v>
      </c>
      <c r="G48" s="103" t="n">
        <v>96</v>
      </c>
      <c r="H48" s="114">
        <f>I$42*G48</f>
        <v>1640.6400000000001</v>
      </c>
      <c r="I48" s="114">
        <f>H48+I47</f>
        <v>7673.40999999999985</v>
      </c>
    </row>
    <row r="49" spans="1:9" ht="13.45">
      <c r="A49" s="103" t="s">
        <v>163</v>
      </c>
      <c r="B49" s="103" t="n">
        <v>64</v>
      </c>
      <c r="C49" s="114">
        <f>B$42*B49</f>
        <v>1152</v>
      </c>
      <c r="D49" s="114">
        <f>C49+D48</f>
        <v>9234</v>
      </c>
      <c r="G49" s="103" t="n">
        <v>64</v>
      </c>
      <c r="H49" s="114">
        <f>I$42*G49</f>
        <v>1093.75999999999999</v>
      </c>
      <c r="I49" s="114">
        <f>H49+I48</f>
        <v>8767.17000000000007</v>
      </c>
    </row>
    <row r="50" spans="1:9" ht="13.45">
      <c r="A50" s="103" t="s">
        <v>164</v>
      </c>
      <c r="B50" s="103" t="n">
        <v>79</v>
      </c>
      <c r="C50" s="114">
        <f>B$42*B50</f>
        <v>1422</v>
      </c>
      <c r="D50" s="114">
        <f>C50+D49</f>
        <v>10656</v>
      </c>
      <c r="G50" s="103" t="n">
        <v>79</v>
      </c>
      <c r="H50" s="114">
        <f>I$42*G50</f>
        <v>1350.1099999999999</v>
      </c>
      <c r="I50" s="114">
        <f>H50+I49</f>
        <v>10117.2800000000007</v>
      </c>
    </row>
    <row r="53" spans="7:9" ht="13.45">
      <c r="G53" s="75"/>
      <c r="H53" s="74" t="s">
        <v>123</v>
      </c>
      <c r="I53" s="74" t="s">
        <v>124</v>
      </c>
    </row>
    <row r="54" spans="1:9" ht="13.45">
      <c r="A54" s="74" t="s">
        <v>138</v>
      </c>
      <c r="B54" s="77">
        <f>Parámetros!C43</f>
        <v>0.1</v>
      </c>
      <c r="C54" s="81" t="s">
        <v>139</v>
      </c>
      <c r="G54" s="75"/>
      <c r="H54" s="77" t="s">
        <v>140</v>
      </c>
      <c r="I54" s="77" t="n">
        <v>18.8500000000000014</v>
      </c>
    </row>
    <row r="55" spans="1:9" ht="13.45">
      <c r="A55" s="78" t="s">
        <v>129</v>
      </c>
      <c r="B55" s="78" t="s">
        <v>85</v>
      </c>
      <c r="C55" s="78" t="s">
        <v>141</v>
      </c>
      <c r="G55" s="78" t="s">
        <v>85</v>
      </c>
      <c r="H55" s="78" t="s">
        <v>130</v>
      </c>
      <c r="I55" s="78" t="s">
        <v>131</v>
      </c>
    </row>
    <row r="56" spans="1:9" ht="13.45">
      <c r="A56" s="103" t="s">
        <v>158</v>
      </c>
      <c r="B56" s="103" t="n">
        <v>107</v>
      </c>
      <c r="C56" s="114">
        <f>B$54*SQRT(B56)</f>
        <v>1.03440804327886005</v>
      </c>
      <c r="G56" s="103" t="n">
        <v>107</v>
      </c>
      <c r="H56" s="114">
        <f>I$54*G56</f>
        <v>2016.95000000000005</v>
      </c>
      <c r="I56" s="114">
        <f>H56</f>
        <v>2016.95000000000005</v>
      </c>
    </row>
    <row r="57" spans="1:9" ht="13.45">
      <c r="A57" s="103" t="s">
        <v>159</v>
      </c>
      <c r="B57" s="103" t="n">
        <v>95</v>
      </c>
      <c r="C57" s="114">
        <f>B$54*SQRT(B57)</f>
        <v>0.974679434480895956</v>
      </c>
      <c r="G57" s="103" t="n">
        <v>95</v>
      </c>
      <c r="H57" s="114">
        <f>I$54*G57</f>
        <v>1790.75</v>
      </c>
      <c r="I57" s="114">
        <f>H57+I56</f>
        <v>3807.69999999999982</v>
      </c>
    </row>
    <row r="58" spans="1:9" ht="13.45">
      <c r="A58" s="103" t="s">
        <v>160</v>
      </c>
      <c r="B58" s="103" t="n">
        <v>77</v>
      </c>
      <c r="C58" s="114">
        <f>B$54*SQRT(B58)</f>
        <v>0.877496438739212081</v>
      </c>
      <c r="G58" s="103" t="n">
        <v>77</v>
      </c>
      <c r="H58" s="114">
        <f>I$54*G58</f>
        <v>1451.45000000000005</v>
      </c>
      <c r="I58" s="114">
        <f>H58+I57</f>
        <v>5259.14999999999964</v>
      </c>
    </row>
    <row r="59" spans="1:9" ht="13.45">
      <c r="A59" s="103" t="s">
        <v>161</v>
      </c>
      <c r="B59" s="103" t="n">
        <v>74</v>
      </c>
      <c r="C59" s="114">
        <f>B$54*SQRT(B59)</f>
        <v>0.860232526704263023</v>
      </c>
      <c r="G59" s="103" t="n">
        <v>74</v>
      </c>
      <c r="H59" s="114">
        <f>I$54*G59</f>
        <v>1394.90000000000009</v>
      </c>
      <c r="I59" s="114">
        <f>H59+I58</f>
        <v>6654.05000000000018</v>
      </c>
    </row>
    <row r="60" spans="1:9" ht="13.45">
      <c r="A60" s="103" t="s">
        <v>162</v>
      </c>
      <c r="B60" s="103" t="n">
        <v>96</v>
      </c>
      <c r="C60" s="114">
        <f>B$54*SQRT(B60)</f>
        <v>0.979795897113270975</v>
      </c>
      <c r="G60" s="103" t="n">
        <v>96</v>
      </c>
      <c r="H60" s="114">
        <f>I$54*G60</f>
        <v>1809.59999999999991</v>
      </c>
      <c r="I60" s="114">
        <f>H60+I59</f>
        <v>8463.64999999999964</v>
      </c>
    </row>
    <row r="61" spans="1:9" ht="13.45">
      <c r="A61" s="103" t="s">
        <v>163</v>
      </c>
      <c r="B61" s="103" t="n">
        <v>64</v>
      </c>
      <c r="C61" s="114">
        <f>B$54*SQRT(B61)</f>
        <v>0.8</v>
      </c>
      <c r="G61" s="103" t="n">
        <v>64</v>
      </c>
      <c r="H61" s="114">
        <f>I$54*G61</f>
        <v>1206.40000000000009</v>
      </c>
      <c r="I61" s="114">
        <f>H61+I60</f>
        <v>9670.04999999999927</v>
      </c>
    </row>
    <row r="62" spans="1:9" ht="13.45">
      <c r="A62" s="103" t="s">
        <v>164</v>
      </c>
      <c r="B62" s="103" t="n">
        <v>79</v>
      </c>
      <c r="C62" s="114">
        <f>B$54*SQRT(B62)</f>
        <v>0.888819441731559046</v>
      </c>
      <c r="G62" s="103" t="n">
        <v>79</v>
      </c>
      <c r="H62" s="114">
        <f>I$54*G62</f>
        <v>1489.15000000000009</v>
      </c>
      <c r="I62" s="114">
        <f>H62+I61</f>
        <v>11159.2000000000007</v>
      </c>
    </row>
    <row r="63" spans="1:3" ht="13.45">
      <c r="A63" s="115" t="s">
        <v>142</v>
      </c>
      <c r="B63" s="114"/>
      <c r="C63" s="115">
        <f>SUM(C56:C62)</f>
        <v>6.41543178204805997</v>
      </c>
    </row>
    <row r="64" spans="2:3" ht="13.45">
      <c r="B64" s="9" t="s">
        <v>184</v>
      </c>
      <c r="C64" s="3"/>
    </row>
  </sheetData>
  <mergeCells count="4">
    <mergeCell ref="A27:B27"/>
    <mergeCell ref="R38:R39"/>
    <mergeCell ref="F39:G39"/>
    <mergeCell ref="B64:C64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U70"/>
  <sheetViews>
    <sheetView view="normal" topLeftCell="A61" workbookViewId="0">
      <selection activeCell="D1" sqref="D1"/>
    </sheetView>
  </sheetViews>
  <sheetFormatPr baseColWidth="11" defaultColWidth="12.630631" defaultRowHeight="15.75" customHeight="1"/>
  <cols>
    <col min="1" max="1" width="30.000000" customWidth="1"/>
    <col min="2" max="2" width="23.747748" customWidth="1"/>
    <col min="3" max="3" width="26.495495" customWidth="1"/>
    <col min="4" max="4" width="26.747748" customWidth="1"/>
    <col min="5" max="5" width="24.126126" customWidth="1"/>
    <col min="6" max="6" width="18.000000" customWidth="1"/>
    <col min="7" max="7" width="14.252252" customWidth="1"/>
    <col min="8" max="8" width="22.495495" customWidth="1"/>
    <col min="9" max="9" width="26.378378" customWidth="1"/>
    <col min="10" max="10" width="21.378378" customWidth="1"/>
    <col min="11" max="11" width="26.000000" customWidth="1"/>
    <col min="12" max="13" width="15.126126" customWidth="1"/>
    <col min="14" max="14" width="15.000000" customWidth="1"/>
    <col min="15" max="15" width="21.747748" customWidth="1"/>
    <col min="16" max="16" width="26.252252" customWidth="1"/>
    <col min="17" max="17" width="19.630631" customWidth="1"/>
    <col min="18" max="18" width="13.252252" customWidth="1"/>
  </cols>
  <sheetData>
    <row r="1" spans="1:21" ht="13.45">
      <c r="A1" s="29" t="s">
        <v>165</v>
      </c>
      <c r="B1" s="29"/>
      <c r="C1" s="29"/>
      <c r="D1" s="131" t="s">
        <v>83</v>
      </c>
      <c r="E1" s="30"/>
      <c r="F1" s="31"/>
      <c r="G1" s="30"/>
      <c r="H1" s="30"/>
      <c r="I1" s="30"/>
      <c r="J1" s="30"/>
      <c r="K1" s="30"/>
      <c r="L1" s="31"/>
      <c r="M1" s="30"/>
      <c r="N1" s="30"/>
      <c r="O1" s="30"/>
      <c r="P1" s="30"/>
      <c r="Q1" s="30"/>
      <c r="R1" s="30"/>
      <c r="S1" s="30"/>
      <c r="T1" s="30"/>
      <c r="U1" s="30"/>
    </row>
    <row r="2" spans="1:21" ht="13.45">
      <c r="A2" s="32" t="s">
        <v>84</v>
      </c>
      <c r="B2" s="32" t="s">
        <v>85</v>
      </c>
      <c r="C2" s="32" t="s">
        <v>86</v>
      </c>
      <c r="D2" s="32" t="s">
        <v>87</v>
      </c>
      <c r="E2" s="32" t="s">
        <v>88</v>
      </c>
      <c r="F2" s="32" t="s">
        <v>185</v>
      </c>
      <c r="G2" s="32" t="s">
        <v>90</v>
      </c>
      <c r="H2" s="32" t="s">
        <v>91</v>
      </c>
      <c r="I2" s="32" t="s">
        <v>92</v>
      </c>
      <c r="J2" s="32" t="s">
        <v>93</v>
      </c>
      <c r="K2" s="32" t="s">
        <v>94</v>
      </c>
      <c r="L2" s="32" t="s">
        <v>95</v>
      </c>
      <c r="M2" s="32" t="s">
        <v>96</v>
      </c>
      <c r="N2" s="32" t="s">
        <v>97</v>
      </c>
      <c r="O2" s="32" t="s">
        <v>98</v>
      </c>
      <c r="P2" s="32" t="s">
        <v>99</v>
      </c>
      <c r="Q2" s="32" t="s">
        <v>100</v>
      </c>
      <c r="R2" s="106"/>
      <c r="S2" s="30"/>
      <c r="T2" s="30"/>
      <c r="U2" s="30"/>
    </row>
    <row r="3" spans="1:21" ht="13.45">
      <c r="A3" s="33" t="s">
        <v>167</v>
      </c>
      <c r="B3" s="34"/>
      <c r="C3" s="34"/>
      <c r="D3" s="34"/>
      <c r="E3" s="34"/>
      <c r="F3" s="35" t="n">
        <v>200</v>
      </c>
      <c r="G3" s="34"/>
      <c r="H3" s="34"/>
      <c r="I3" s="34"/>
      <c r="J3" s="34"/>
      <c r="K3" s="34"/>
      <c r="L3" s="35"/>
      <c r="M3" s="34"/>
      <c r="N3" s="34"/>
      <c r="O3" s="34"/>
      <c r="P3" s="34"/>
      <c r="Q3" s="107"/>
      <c r="R3" s="30"/>
      <c r="S3" s="30"/>
      <c r="T3" s="30"/>
      <c r="U3" s="30"/>
    </row>
    <row r="4" spans="1:21" ht="13.45">
      <c r="A4" s="37" t="s">
        <v>102</v>
      </c>
      <c r="B4" s="30"/>
      <c r="C4" s="30"/>
      <c r="D4" s="30"/>
      <c r="E4" s="38">
        <f>Parámetros!C78</f>
        <v>-9</v>
      </c>
      <c r="F4" s="37"/>
      <c r="G4" s="30"/>
      <c r="H4" s="38">
        <f>Parámetros!C82</f>
        <v>38</v>
      </c>
      <c r="I4" s="38">
        <f>10^(H4/10)</f>
        <v>6309.57344480193024</v>
      </c>
      <c r="J4" s="38">
        <f>H4</f>
        <v>38</v>
      </c>
      <c r="K4" s="38">
        <f>I4</f>
        <v>6309.57344480193024</v>
      </c>
      <c r="L4" s="40" t="s">
        <v>103</v>
      </c>
      <c r="M4" s="40" t="s">
        <v>103</v>
      </c>
      <c r="N4" s="40" t="s">
        <v>103</v>
      </c>
      <c r="O4" s="40" t="s">
        <v>103</v>
      </c>
      <c r="P4" s="40" t="s">
        <v>103</v>
      </c>
      <c r="Q4" s="108"/>
      <c r="R4" s="30"/>
      <c r="S4" s="30"/>
      <c r="T4" s="30"/>
      <c r="U4" s="30"/>
    </row>
    <row r="5" spans="1:21" ht="13.45">
      <c r="A5" s="37" t="s">
        <v>104</v>
      </c>
      <c r="B5" s="30"/>
      <c r="C5" s="30"/>
      <c r="D5" s="38">
        <f>-Parámetros!C16</f>
        <v>-10</v>
      </c>
      <c r="E5" s="42">
        <f>D5+E4</f>
        <v>-19</v>
      </c>
      <c r="F5" s="43">
        <f>Parámetros!C$29</f>
        <v>-17.5199999999999996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64"/>
      <c r="R5" s="30"/>
      <c r="S5" s="30"/>
      <c r="T5" s="30"/>
      <c r="U5" s="30"/>
    </row>
    <row r="6" spans="1:21" ht="13.45">
      <c r="A6" s="37" t="s">
        <v>105</v>
      </c>
      <c r="B6" s="30"/>
      <c r="C6" s="30"/>
      <c r="D6" s="38">
        <f>Parámetros!C27</f>
        <v>21.5</v>
      </c>
      <c r="E6" s="38">
        <f>D6+E5</f>
        <v>2.5</v>
      </c>
      <c r="F6" s="31"/>
      <c r="G6" s="30">
        <f>Parámetros!C30</f>
        <v>6</v>
      </c>
      <c r="H6" s="45">
        <f>E5+158.9-10*LOG10(Parámetros!C13*10^9)-G6</f>
        <v>32.9308998699190028</v>
      </c>
      <c r="I6" s="46">
        <f>10^(H6/10)</f>
        <v>1963.76713254782999</v>
      </c>
      <c r="J6" s="46">
        <f>10*LOG10(K6)</f>
        <v>31.7540908428696014</v>
      </c>
      <c r="K6" s="46">
        <f>1/((1/K4)+(1/I6))</f>
        <v>1497.64570132966992</v>
      </c>
      <c r="L6" s="47">
        <f>(2/3)^3*Parámetros!C56*(Parámetros!C57)^2*'No linealidades'!D13*(10^(E7/10)*0.001)^2*LOG10(PI()^2*ABS(Parámetros!C58*10^(-24))*'No linealidades'!D13*(Parámetros!C59)^2*Parámetros!C74^2)/(PI()*ABS(Parámetros!C58*10^(-24))*Parámetros!C74^3)*Parámetros!C73*10^9</f>
        <v>0.000347218869708</v>
      </c>
      <c r="M6" s="48">
        <f>10*LOG10(N6)</f>
        <v>34.5939668099734021</v>
      </c>
      <c r="N6" s="49">
        <f>1/L6</f>
        <v>2880.02780736244995</v>
      </c>
      <c r="O6" s="48">
        <f>M6</f>
        <v>34.5939668099734021</v>
      </c>
      <c r="P6" s="50">
        <f>N6</f>
        <v>2880.02780736244995</v>
      </c>
      <c r="Q6" s="64">
        <f>10*LOG10(HARMEAN(K6,P6)/2)</f>
        <v>29.9356239696532995</v>
      </c>
      <c r="R6" s="30"/>
      <c r="S6" s="30"/>
      <c r="T6" s="30"/>
      <c r="U6" s="30"/>
    </row>
    <row r="7" spans="1:21" ht="13.45">
      <c r="A7" s="37" t="s">
        <v>168</v>
      </c>
      <c r="B7" s="30"/>
      <c r="C7" s="30"/>
      <c r="D7" s="38" t="n">
        <v>0</v>
      </c>
      <c r="E7" s="38">
        <f>E6</f>
        <v>2.5</v>
      </c>
      <c r="F7" s="37"/>
      <c r="G7" s="30"/>
      <c r="H7" s="30"/>
      <c r="I7" s="30"/>
      <c r="J7" s="30"/>
      <c r="K7" s="30"/>
      <c r="L7" s="30"/>
      <c r="M7" s="30"/>
      <c r="N7" s="30"/>
      <c r="O7" s="30"/>
      <c r="P7" s="30"/>
      <c r="Q7" s="64"/>
      <c r="R7" s="30"/>
      <c r="S7" s="30"/>
      <c r="T7" s="30"/>
      <c r="U7" s="30"/>
    </row>
    <row r="8" spans="1:21" ht="13.45">
      <c r="A8" s="53" t="s">
        <v>107</v>
      </c>
      <c r="B8" s="54" t="n">
        <v>107</v>
      </c>
      <c r="C8" s="54">
        <f>Parámetros!C41</f>
        <v>0.185</v>
      </c>
      <c r="D8" s="54">
        <f>-B8*C8</f>
        <v>-19.7950000000000017</v>
      </c>
      <c r="E8" s="54">
        <f>D8+E7</f>
        <v>-17.2950000000000017</v>
      </c>
      <c r="F8" s="53" t="str">
        <f>IF(E8&gt;=Parámetros!C$33,"V","F")</f>
        <v>V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64"/>
      <c r="R8" s="30"/>
      <c r="S8" s="30"/>
      <c r="T8" s="30"/>
      <c r="U8" s="30"/>
    </row>
    <row r="9" spans="1:21" ht="13.45">
      <c r="A9" s="109" t="s">
        <v>169</v>
      </c>
      <c r="B9" s="110"/>
      <c r="C9" s="110"/>
      <c r="D9" s="110"/>
      <c r="E9" s="110"/>
      <c r="F9" s="111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64"/>
      <c r="R9" s="30"/>
      <c r="S9" s="30"/>
      <c r="T9" s="30"/>
      <c r="U9" s="30"/>
    </row>
    <row r="10" spans="1:21" ht="13.45">
      <c r="A10" s="37" t="s">
        <v>170</v>
      </c>
      <c r="B10" s="30"/>
      <c r="C10" s="30"/>
      <c r="D10" s="38">
        <f>-(E8-Parámetros!C$37)</f>
        <v>-2.22500000000000009</v>
      </c>
      <c r="E10" s="42">
        <f>E8+D10</f>
        <v>-19.5199999999999996</v>
      </c>
      <c r="F10" s="43">
        <f>Parámetros!C$37</f>
        <v>-19.5199999999999996</v>
      </c>
      <c r="G10" s="30"/>
      <c r="H10" s="30"/>
      <c r="I10" s="30"/>
      <c r="J10" s="30"/>
      <c r="K10" s="30"/>
      <c r="L10" s="30"/>
      <c r="M10" s="46"/>
      <c r="N10" s="46"/>
      <c r="O10" s="46"/>
      <c r="P10" s="46"/>
      <c r="Q10" s="64"/>
      <c r="R10" s="30"/>
      <c r="S10" s="30"/>
      <c r="T10" s="30"/>
      <c r="U10" s="30"/>
    </row>
    <row r="11" spans="1:21" ht="13.45">
      <c r="A11" s="37" t="s">
        <v>171</v>
      </c>
      <c r="B11" s="30"/>
      <c r="C11" s="30"/>
      <c r="D11" s="38">
        <f>Parámetros!C$35</f>
        <v>25</v>
      </c>
      <c r="E11" s="38">
        <f>E10+D11</f>
        <v>5.48000000000000043</v>
      </c>
      <c r="F11" s="31"/>
      <c r="G11" s="38">
        <f>Parámetros!C$38</f>
        <v>5.5</v>
      </c>
      <c r="H11" s="38">
        <f>E10+158.9-10*LOG10(Parámetros!C$13*10^9)-G11</f>
        <v>32.9108998699189996</v>
      </c>
      <c r="I11" s="46">
        <f>10^(H11/10)</f>
        <v>1954.74444215498011</v>
      </c>
      <c r="J11" s="46">
        <f>10*LOG10(K11)</f>
        <v>29.2837920324237011</v>
      </c>
      <c r="K11" s="46">
        <f>1/((1/K6)+(1/I11))</f>
        <v>847.967491888250038</v>
      </c>
      <c r="L11" s="47">
        <f>(2/3)^3*Parámetros!C56*(Parámetros!C57)^2*'No linealidades'!D14*(10^(E11/10)*0.001)^2*LOG10(PI()^2*ABS(Parámetros!C58*10^(-24))*'No linealidades'!D14*(Parámetros!C59)^2*Parámetros!C74^2)/(PI()*ABS(Parámetros!C58*10^(-24))*Parámetros!C74^3)*Parámetros!C73*10^9</f>
        <v>0.00135888049185600002</v>
      </c>
      <c r="M11" s="48">
        <f>10*LOG10(N11)</f>
        <v>28.6681873606345015</v>
      </c>
      <c r="N11" s="49">
        <f>1/L11</f>
        <v>735.899886703185985</v>
      </c>
      <c r="O11" s="48">
        <f>10*LOG10(P11)</f>
        <v>27.6799567954459995</v>
      </c>
      <c r="P11" s="50">
        <f>HARMEAN(N11,N6)/2</f>
        <v>586.132333513849971</v>
      </c>
      <c r="Q11" s="64">
        <f>10*LOG10(HARMEAN(K11,P11)/2)</f>
        <v>25.3979549985660995</v>
      </c>
      <c r="R11" s="30"/>
      <c r="S11" s="30"/>
      <c r="T11" s="30"/>
      <c r="U11" s="30"/>
    </row>
    <row r="12" spans="1:21" ht="13.45">
      <c r="A12" s="53" t="s">
        <v>107</v>
      </c>
      <c r="B12" s="54" t="n">
        <v>95</v>
      </c>
      <c r="C12" s="54">
        <f>Parámetros!C41</f>
        <v>0.185</v>
      </c>
      <c r="D12" s="54">
        <f>-B12*C12</f>
        <v>-17.5749999999999993</v>
      </c>
      <c r="E12" s="54">
        <f>D12+E11</f>
        <v>-12.0950000000000006</v>
      </c>
      <c r="F12" s="53" t="str">
        <f>IF(E12&gt;=Parámetros!C$33,"V","F")</f>
        <v>V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64"/>
      <c r="R12" s="30"/>
      <c r="S12" s="30"/>
      <c r="T12" s="30"/>
      <c r="U12" s="30"/>
    </row>
    <row r="13" spans="1:21" ht="13.45">
      <c r="A13" s="109" t="s">
        <v>172</v>
      </c>
      <c r="B13" s="110"/>
      <c r="C13" s="110"/>
      <c r="D13" s="110"/>
      <c r="E13" s="110"/>
      <c r="F13" s="111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64"/>
      <c r="R13" s="30"/>
      <c r="S13" s="30"/>
      <c r="T13" s="30"/>
      <c r="U13" s="30"/>
    </row>
    <row r="14" spans="1:21" ht="13.45">
      <c r="A14" s="37" t="s">
        <v>170</v>
      </c>
      <c r="B14" s="30"/>
      <c r="C14" s="30"/>
      <c r="D14" s="38">
        <f>-(E12-Parámetros!C$37)</f>
        <v>-7.42499999999999982</v>
      </c>
      <c r="E14" s="42">
        <f>D14+E12</f>
        <v>-19.5199999999999996</v>
      </c>
      <c r="F14" s="43">
        <f>Parámetros!C$37</f>
        <v>-19.5199999999999996</v>
      </c>
      <c r="G14" s="30"/>
      <c r="H14" s="30"/>
      <c r="I14" s="30"/>
      <c r="J14" s="30"/>
      <c r="K14" s="30"/>
      <c r="L14" s="30"/>
      <c r="M14" s="46"/>
      <c r="N14" s="46"/>
      <c r="O14" s="46"/>
      <c r="P14" s="46"/>
      <c r="Q14" s="64"/>
      <c r="R14" s="30"/>
      <c r="S14" s="30"/>
      <c r="T14" s="30"/>
      <c r="U14" s="30"/>
    </row>
    <row r="15" spans="1:21" ht="13.45">
      <c r="A15" s="37" t="s">
        <v>173</v>
      </c>
      <c r="B15" s="30"/>
      <c r="C15" s="30"/>
      <c r="D15" s="38">
        <f>Parámetros!C$35</f>
        <v>25</v>
      </c>
      <c r="E15" s="38">
        <f>D15+E14</f>
        <v>5.48000000000000043</v>
      </c>
      <c r="F15" s="31"/>
      <c r="G15" s="38">
        <f>Parámetros!C$38</f>
        <v>5.5</v>
      </c>
      <c r="H15" s="38">
        <f>E14+158.9-10*LOG10(Parámetros!C$13*10^9)-G15</f>
        <v>32.9108998699189996</v>
      </c>
      <c r="I15" s="46">
        <f>10^(H15/10)</f>
        <v>1954.74444215498011</v>
      </c>
      <c r="J15" s="46">
        <f>10*LOG10(K15)</f>
        <v>27.7189072746655008</v>
      </c>
      <c r="K15" s="46">
        <f>1/((1/K11)+(1/I15))</f>
        <v>591.412810486382</v>
      </c>
      <c r="L15" s="47">
        <f>(2/3)^3*Parámetros!C56*(Parámetros!C57)^2*'No linealidades'!D15*(10^(E15/10)*0.001)^2*LOG10(PI()^2*ABS(Parámetros!C58*10^(-24))*'No linealidades'!D15*(Parámetros!C59)^2*Parámetros!C74^2)/(PI()*ABS(Parámetros!C58*10^(-24))*Parámetros!C74^3)*Parámetros!C73*10^9</f>
        <v>0.00132795936155299987</v>
      </c>
      <c r="M15" s="48">
        <f>10*LOG10(N15)</f>
        <v>28.7681521512111011</v>
      </c>
      <c r="N15" s="49">
        <f>1/L15</f>
        <v>753.035092000509053</v>
      </c>
      <c r="O15" s="48">
        <f>10*LOG10(P15)</f>
        <v>25.1797601785421001</v>
      </c>
      <c r="P15" s="50">
        <f>HARMEAN(N11,N6,N15)/3</f>
        <v>329.591511324692988</v>
      </c>
      <c r="Q15" s="64">
        <f>10*LOG10(HARMEAN(K15,P15)/2)</f>
        <v>23.256050771930699</v>
      </c>
      <c r="R15" s="30"/>
      <c r="S15" s="30"/>
      <c r="T15" s="30"/>
      <c r="U15" s="30"/>
    </row>
    <row r="16" spans="1:21" ht="13.45">
      <c r="A16" s="53" t="s">
        <v>107</v>
      </c>
      <c r="B16" s="54" t="n">
        <v>77</v>
      </c>
      <c r="C16" s="54">
        <f>Parámetros!C41</f>
        <v>0.185</v>
      </c>
      <c r="D16" s="54">
        <f>-B16*C16</f>
        <v>-14.2449999999999992</v>
      </c>
      <c r="E16" s="54">
        <f>D16+E15</f>
        <v>-8.76500000000000057</v>
      </c>
      <c r="F16" s="53" t="str">
        <f>IF(E16&gt;=Parámetros!C$33,"V","F")</f>
        <v>V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64"/>
      <c r="R16" s="30"/>
      <c r="S16" s="30"/>
      <c r="T16" s="30"/>
      <c r="U16" s="30"/>
    </row>
    <row r="17" spans="1:21" ht="13.45">
      <c r="A17" s="109" t="s">
        <v>174</v>
      </c>
      <c r="B17" s="110"/>
      <c r="C17" s="110"/>
      <c r="D17" s="110"/>
      <c r="E17" s="110"/>
      <c r="F17" s="111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64"/>
      <c r="R17" s="30"/>
      <c r="S17" s="30"/>
      <c r="T17" s="30"/>
      <c r="U17" s="30"/>
    </row>
    <row r="18" spans="1:21" ht="13.45">
      <c r="A18" s="37" t="s">
        <v>170</v>
      </c>
      <c r="B18" s="30"/>
      <c r="C18" s="30"/>
      <c r="D18" s="38">
        <f>-(E16-Parámetros!C$37)</f>
        <v>-10.7550000000000008</v>
      </c>
      <c r="E18" s="42">
        <f>D18+E16</f>
        <v>-19.5199999999999996</v>
      </c>
      <c r="F18" s="43">
        <f>Parámetros!C$37</f>
        <v>-19.5199999999999996</v>
      </c>
      <c r="G18" s="30"/>
      <c r="H18" s="30"/>
      <c r="I18" s="30"/>
      <c r="J18" s="30"/>
      <c r="K18" s="30"/>
      <c r="L18" s="30"/>
      <c r="M18" s="46"/>
      <c r="N18" s="46"/>
      <c r="O18" s="46"/>
      <c r="P18" s="46"/>
      <c r="Q18" s="64"/>
      <c r="R18" s="30"/>
      <c r="S18" s="30"/>
      <c r="T18" s="30"/>
      <c r="U18" s="30"/>
    </row>
    <row r="19" spans="1:21" ht="13.45">
      <c r="A19" s="37" t="s">
        <v>175</v>
      </c>
      <c r="B19" s="30"/>
      <c r="C19" s="30"/>
      <c r="D19" s="38">
        <f>Parámetros!C$35</f>
        <v>25</v>
      </c>
      <c r="E19" s="38">
        <f>D19+E18</f>
        <v>5.48000000000000043</v>
      </c>
      <c r="F19" s="31"/>
      <c r="G19" s="38">
        <f>Parámetros!C$38</f>
        <v>5.5</v>
      </c>
      <c r="H19" s="38">
        <f>E18+158.9-10*LOG10(Parámetros!C$13*10^9)-G19</f>
        <v>32.9108998699189996</v>
      </c>
      <c r="I19" s="46">
        <f>10^(H19/10)</f>
        <v>1954.74444215498011</v>
      </c>
      <c r="J19" s="46">
        <f>10*LOG10(K19)</f>
        <v>26.5709549194927988</v>
      </c>
      <c r="K19" s="46">
        <f>1/((1/K15)+(1/I19))</f>
        <v>454.041439552877023</v>
      </c>
      <c r="L19" s="47">
        <f>(2/3)^3*Parámetros!C56*(Parámetros!C57)^2*'No linealidades'!D16*(10^(E19/10)*0.001)^2*LOG10(PI()^2*ABS(Parámetros!C58*10^(-24))*'No linealidades'!D16*(Parámetros!C59)^2*Parámetros!C74^2)/(PI()*ABS(Parámetros!C58*10^(-24))*Parámetros!C74^3)*Parámetros!C73*10^9</f>
        <v>0.00132009803740999998</v>
      </c>
      <c r="M19" s="48">
        <f>10*LOG10(N19)</f>
        <v>28.7939381460844004</v>
      </c>
      <c r="N19" s="49">
        <f>1/L19</f>
        <v>757.519496023170973</v>
      </c>
      <c r="O19" s="48">
        <f>10*LOG10(P19)</f>
        <v>23.6109593932654995</v>
      </c>
      <c r="P19" s="50">
        <f>HARMEAN(N11,N6,N15,N19)/4</f>
        <v>229.665594281213998</v>
      </c>
      <c r="Q19" s="64">
        <f>10*LOG10(HARMEAN(K19,P19)/2)</f>
        <v>21.8332138342255995</v>
      </c>
      <c r="R19" s="30"/>
      <c r="S19" s="30"/>
      <c r="T19" s="30"/>
      <c r="U19" s="30"/>
    </row>
    <row r="20" spans="1:21" ht="13.45">
      <c r="A20" s="53" t="s">
        <v>107</v>
      </c>
      <c r="B20" s="54" t="n">
        <v>74</v>
      </c>
      <c r="C20" s="54">
        <f>Parámetros!C41</f>
        <v>0.185</v>
      </c>
      <c r="D20" s="54">
        <f>-B20*C20</f>
        <v>-13.6899999999999995</v>
      </c>
      <c r="E20" s="54">
        <f>D20+E19</f>
        <v>-8.21000000000000085</v>
      </c>
      <c r="F20" s="53" t="str">
        <f>IF(E20&gt;=Parámetros!C$33,"V","F")</f>
        <v>V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64"/>
      <c r="R20" s="30"/>
      <c r="S20" s="30"/>
      <c r="T20" s="30"/>
      <c r="U20" s="30"/>
    </row>
    <row r="21" spans="1:21" ht="13.45">
      <c r="A21" s="122" t="s">
        <v>186</v>
      </c>
      <c r="B21" s="121"/>
      <c r="C21" s="121"/>
      <c r="D21" s="121"/>
      <c r="E21" s="121"/>
      <c r="F21" s="123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64"/>
      <c r="R21" s="30"/>
      <c r="S21" s="30"/>
      <c r="T21" s="30"/>
      <c r="U21" s="30"/>
    </row>
    <row r="22" spans="1:21" ht="13.45">
      <c r="A22" s="37" t="s">
        <v>109</v>
      </c>
      <c r="B22" s="30"/>
      <c r="C22" s="30"/>
      <c r="D22" s="38">
        <f>-(E20+Parámetros!H18)</f>
        <v>-10.5899999999999999</v>
      </c>
      <c r="E22" s="42">
        <f>D22+E20</f>
        <v>-18.8000000000000007</v>
      </c>
      <c r="F22" s="56">
        <f>Parámetros!C22</f>
        <v>-18.0199999999999996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64"/>
      <c r="R22" s="30"/>
      <c r="S22" s="30"/>
      <c r="T22" s="30"/>
      <c r="U22" s="30"/>
    </row>
    <row r="23" spans="1:21" ht="13.45">
      <c r="A23" s="37" t="s">
        <v>110</v>
      </c>
      <c r="B23" s="30"/>
      <c r="C23" s="30"/>
      <c r="D23" s="38">
        <f>Parámetros!C20</f>
        <v>21</v>
      </c>
      <c r="E23" s="38">
        <f>D23+E22</f>
        <v>2.20000000000000018</v>
      </c>
      <c r="F23" s="31"/>
      <c r="G23" s="38">
        <f>Parámetros!C23</f>
        <v>5.5</v>
      </c>
      <c r="H23" s="57">
        <f>E22+158.9-10*LOG10(Parámetros!C13*10^9)-G23</f>
        <v>33.6308998699189985</v>
      </c>
      <c r="I23" s="57">
        <f>10^(H23/10)</f>
        <v>2307.22520250104981</v>
      </c>
      <c r="J23" s="57">
        <f>10*LOG10(K23)</f>
        <v>25.7907713257664994</v>
      </c>
      <c r="K23" s="57">
        <f>1/(1/I23+1/K19)</f>
        <v>379.382358936881019</v>
      </c>
      <c r="L23" s="40" t="s">
        <v>103</v>
      </c>
      <c r="M23" s="40" t="s">
        <v>103</v>
      </c>
      <c r="N23" s="40" t="s">
        <v>103</v>
      </c>
      <c r="O23" s="40" t="s">
        <v>103</v>
      </c>
      <c r="P23" s="40" t="s">
        <v>103</v>
      </c>
      <c r="Q23" s="64">
        <f>10*LOG10(HARMEAN(K22,P19)/2)</f>
        <v>20.6006594366257012</v>
      </c>
      <c r="R23" s="30"/>
      <c r="S23" s="30"/>
      <c r="T23" s="30"/>
      <c r="U23" s="30"/>
    </row>
    <row r="24" spans="1:21" ht="13.45">
      <c r="A24" s="37" t="s">
        <v>119</v>
      </c>
      <c r="B24" s="30"/>
      <c r="C24" s="30"/>
      <c r="D24" s="38">
        <f>-Parámetros!C16</f>
        <v>-10</v>
      </c>
      <c r="E24" s="38">
        <f>D24+E23</f>
        <v>-7.79999999999999982</v>
      </c>
      <c r="F24" s="3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64"/>
      <c r="R24" s="30"/>
      <c r="S24" s="30"/>
      <c r="T24" s="30"/>
      <c r="U24" s="30"/>
    </row>
    <row r="25" spans="1:21" ht="13.45">
      <c r="A25" s="37" t="s">
        <v>146</v>
      </c>
      <c r="B25" s="30"/>
      <c r="C25" s="30"/>
      <c r="D25" s="38"/>
      <c r="E25" s="38">
        <f>E24</f>
        <v>-7.79999999999999982</v>
      </c>
      <c r="F25" s="3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64"/>
      <c r="R25" s="30"/>
      <c r="S25" s="30"/>
      <c r="T25" s="30"/>
      <c r="U25" s="30"/>
    </row>
    <row r="26" spans="1:21" ht="13.45">
      <c r="A26" s="89" t="s">
        <v>147</v>
      </c>
      <c r="B26" s="90"/>
      <c r="C26" s="90"/>
      <c r="D26" s="91"/>
      <c r="E26" s="91">
        <f>Parámetros!C78</f>
        <v>-9</v>
      </c>
      <c r="F26" s="89"/>
      <c r="G26" s="90"/>
      <c r="H26" s="92">
        <f>Parámetros!C82</f>
        <v>38</v>
      </c>
      <c r="I26" s="93">
        <f>10^(H26/10)</f>
        <v>6309.57344480193024</v>
      </c>
      <c r="J26" s="94">
        <f>H26</f>
        <v>38</v>
      </c>
      <c r="K26" s="93">
        <f>10^(J26/10)</f>
        <v>6309.57344480193024</v>
      </c>
      <c r="L26" s="95" t="s">
        <v>103</v>
      </c>
      <c r="M26" s="95" t="s">
        <v>103</v>
      </c>
      <c r="N26" s="95" t="s">
        <v>103</v>
      </c>
      <c r="O26" s="95" t="s">
        <v>103</v>
      </c>
      <c r="P26" s="96" t="s">
        <v>103</v>
      </c>
      <c r="Q26" s="64"/>
      <c r="R26" s="30"/>
      <c r="S26" s="30"/>
      <c r="T26" s="30"/>
      <c r="U26" s="30"/>
    </row>
    <row r="27" spans="1:21" ht="13.45">
      <c r="A27" s="37" t="s">
        <v>104</v>
      </c>
      <c r="B27" s="30"/>
      <c r="C27" s="30"/>
      <c r="D27" s="38">
        <f>-Parámetros!C16</f>
        <v>-10</v>
      </c>
      <c r="E27" s="42">
        <f>D27+E26</f>
        <v>-19</v>
      </c>
      <c r="F27" s="43">
        <f>Parámetros!C29</f>
        <v>-17.5199999999999996</v>
      </c>
      <c r="G27" s="38"/>
      <c r="H27" s="38"/>
      <c r="I27" s="38"/>
      <c r="J27" s="38"/>
      <c r="K27" s="38"/>
      <c r="L27" s="52"/>
      <c r="M27" s="38"/>
      <c r="N27" s="38"/>
      <c r="O27" s="38"/>
      <c r="P27" s="38"/>
      <c r="Q27" s="64"/>
      <c r="R27" s="30"/>
      <c r="S27" s="30"/>
      <c r="T27" s="30"/>
      <c r="U27" s="30"/>
    </row>
    <row r="28" spans="1:21" ht="13.45">
      <c r="A28" s="37" t="s">
        <v>105</v>
      </c>
      <c r="B28" s="30"/>
      <c r="C28" s="30"/>
      <c r="D28" s="38">
        <f>Parámetros!C27</f>
        <v>21.5</v>
      </c>
      <c r="E28" s="38">
        <f>D28+E27</f>
        <v>2.5</v>
      </c>
      <c r="F28" s="31"/>
      <c r="G28" s="38">
        <f>Parámetros!C18</f>
        <v>-25</v>
      </c>
      <c r="H28" s="45">
        <f>E27+158.9-10*LOG10(Parámetros!C13*10^9)-G28</f>
        <v>63.9308998699190028</v>
      </c>
      <c r="I28" s="46">
        <f>10^(H28/10)</f>
        <v>2472236.34601061977</v>
      </c>
      <c r="J28" s="46">
        <f>10*LOG10(K28)</f>
        <v>37.9889301760205029</v>
      </c>
      <c r="K28" s="46">
        <f>1/((1/K26)+(1/I28))</f>
        <v>6293.51131873196027</v>
      </c>
      <c r="L28" s="47">
        <f>(2/3)^3*Parámetros!C56*(Parámetros!C57)^2*'No linealidades'!D17*(10^(E29/10)*0.001)^2*LOG10(PI()^2*ABS(Parámetros!C58*10^(-24))*'No linealidades'!D17*(Parámetros!C59)^2*Parámetros!C60^2)/(PI()*ABS(Parámetros!C58*10^(-24))*Parámetros!C60^3)*Parámetros!C86*10^9</f>
        <v>0.0000499350183049999963</v>
      </c>
      <c r="M28" s="58">
        <f>10*LOG10(N28)</f>
        <v>43.0159478658550967</v>
      </c>
      <c r="N28" s="58">
        <f>1/L28</f>
        <v>20026.0265029254988</v>
      </c>
      <c r="O28" s="58">
        <f>10*LOG10(P28)</f>
        <v>43.0159478658550967</v>
      </c>
      <c r="P28" s="59">
        <f>N28</f>
        <v>20026.0265029254988</v>
      </c>
      <c r="Q28" s="64">
        <f>10*LOG10(HARMEAN(K28,P28)/2)</f>
        <v>36.8020954550954968</v>
      </c>
      <c r="R28" s="30"/>
      <c r="S28" s="30"/>
      <c r="T28" s="30"/>
      <c r="U28" s="30"/>
    </row>
    <row r="29" spans="1:21" ht="13.45">
      <c r="A29" s="37" t="s">
        <v>106</v>
      </c>
      <c r="B29" s="30"/>
      <c r="C29" s="30"/>
      <c r="D29" s="38" t="n">
        <v>0</v>
      </c>
      <c r="E29" s="38">
        <f>E28</f>
        <v>2.5</v>
      </c>
      <c r="F29" s="31"/>
      <c r="G29" s="38"/>
      <c r="H29" s="38"/>
      <c r="I29" s="38"/>
      <c r="J29" s="38"/>
      <c r="K29" s="38"/>
      <c r="L29" s="52"/>
      <c r="M29" s="38"/>
      <c r="N29" s="38"/>
      <c r="O29" s="38"/>
      <c r="P29" s="38"/>
      <c r="Q29" s="64"/>
      <c r="R29" s="30"/>
      <c r="S29" s="30"/>
      <c r="T29" s="30"/>
      <c r="U29" s="30"/>
    </row>
    <row r="30" spans="1:21" ht="13.45">
      <c r="A30" s="53" t="s">
        <v>107</v>
      </c>
      <c r="B30" s="54" t="n">
        <v>96</v>
      </c>
      <c r="C30" s="54">
        <f>Parámetros!C41</f>
        <v>0.185</v>
      </c>
      <c r="D30" s="54">
        <f>-B30*C30</f>
        <v>-17.7600000000000016</v>
      </c>
      <c r="E30" s="54">
        <f>D30+E29</f>
        <v>-15.2599999999999998</v>
      </c>
      <c r="F30" s="53" t="str">
        <f>IF(E30&gt;=Parámetros!C$33,"V","F")</f>
        <v>V</v>
      </c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64"/>
      <c r="R30" s="30"/>
      <c r="S30" s="30"/>
      <c r="T30" s="30"/>
      <c r="U30" s="30"/>
    </row>
    <row r="31" spans="1:21" ht="13.45">
      <c r="A31" s="109" t="s">
        <v>187</v>
      </c>
      <c r="B31" s="110"/>
      <c r="C31" s="110"/>
      <c r="D31" s="110"/>
      <c r="E31" s="110"/>
      <c r="F31" s="111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64"/>
      <c r="R31" s="30"/>
      <c r="S31" s="30"/>
      <c r="T31" s="30"/>
      <c r="U31" s="30"/>
    </row>
    <row r="32" spans="1:21" ht="13.45">
      <c r="A32" s="37" t="s">
        <v>170</v>
      </c>
      <c r="B32" s="30"/>
      <c r="C32" s="30"/>
      <c r="D32" s="38">
        <f>-(E30-Parámetros!C$37)</f>
        <v>-4.25999999999999979</v>
      </c>
      <c r="E32" s="42">
        <f>D32+E30</f>
        <v>-19.5199999999999996</v>
      </c>
      <c r="F32" s="43">
        <f>Parámetros!C$37</f>
        <v>-19.5199999999999996</v>
      </c>
      <c r="G32" s="30"/>
      <c r="H32" s="30"/>
      <c r="I32" s="30"/>
      <c r="J32" s="30"/>
      <c r="K32" s="30"/>
      <c r="L32" s="30"/>
      <c r="M32" s="46"/>
      <c r="N32" s="46"/>
      <c r="O32" s="46"/>
      <c r="P32" s="46"/>
      <c r="Q32" s="64"/>
      <c r="R32" s="30"/>
      <c r="S32" s="30"/>
      <c r="T32" s="30"/>
      <c r="U32" s="30"/>
    </row>
    <row r="33" spans="1:21" ht="13.45">
      <c r="A33" s="37" t="s">
        <v>181</v>
      </c>
      <c r="B33" s="30"/>
      <c r="C33" s="30"/>
      <c r="D33" s="38">
        <f>Parámetros!C$35</f>
        <v>25</v>
      </c>
      <c r="E33" s="38">
        <f>D33+E32</f>
        <v>5.48000000000000043</v>
      </c>
      <c r="F33" s="31"/>
      <c r="G33" s="38">
        <f>Parámetros!C$38</f>
        <v>5.5</v>
      </c>
      <c r="H33" s="38">
        <f>E32+158.9-10*LOG10(Parámetros!C$13*10^9)-G33</f>
        <v>32.9108998699189996</v>
      </c>
      <c r="I33" s="46">
        <f>10^(H33/10)</f>
        <v>1954.74444215498011</v>
      </c>
      <c r="J33" s="46">
        <f>10*LOG10(K33)</f>
        <v>31.7362088556022996</v>
      </c>
      <c r="K33" s="46">
        <f>1/((1/K28)+(1/I33))</f>
        <v>1491.49185337579001</v>
      </c>
      <c r="L33" s="47">
        <f>(2/3)^3*Parámetros!C56*(Parámetros!C57)^2*'No linealidades'!D18*(10^(E33/10)*0.001)^2*LOG10(PI()^2*ABS(Parámetros!C58*10^(-24))*'No linealidades'!D18*(Parámetros!C59)^2*Parámetros!C74^2)/(PI()*ABS(Parámetros!C58*10^(-24))*Parámetros!C74^3)*Parámetros!C73*10^9</f>
        <v>0.00128534665129500025</v>
      </c>
      <c r="M33" s="48">
        <f>10*LOG10(N33)</f>
        <v>28.9097972957655003</v>
      </c>
      <c r="N33" s="49">
        <f>1/L33</f>
        <v>778.000237517630012</v>
      </c>
      <c r="O33" s="48">
        <f>10*LOG10(P33)</f>
        <v>28.7442711283875987</v>
      </c>
      <c r="P33" s="50">
        <f>HARMEAN(N28,N33)/2</f>
        <v>748.905659956795034</v>
      </c>
      <c r="Q33" s="64">
        <f>10*LOG10(HARMEAN(K33,P33)/2)</f>
        <v>26.9772291643519999</v>
      </c>
      <c r="R33" s="30"/>
      <c r="S33" s="30"/>
      <c r="T33" s="30"/>
      <c r="U33" s="30"/>
    </row>
    <row r="34" spans="1:21" ht="13.45">
      <c r="A34" s="53" t="s">
        <v>107</v>
      </c>
      <c r="B34" s="54" t="n">
        <v>64</v>
      </c>
      <c r="C34" s="54">
        <f>Parámetros!C41</f>
        <v>0.185</v>
      </c>
      <c r="D34" s="54">
        <f>-B34*C34</f>
        <v>-11.8399999999999999</v>
      </c>
      <c r="E34" s="54">
        <f>D34+E33</f>
        <v>-6.36000000000000032</v>
      </c>
      <c r="F34" s="53" t="str">
        <f>IF(E34&gt;=Parámetros!C$33,"V","F")</f>
        <v>V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64"/>
      <c r="R34" s="30"/>
      <c r="S34" s="30"/>
      <c r="T34" s="30"/>
      <c r="U34" s="30"/>
    </row>
    <row r="35" spans="1:21" ht="13.45">
      <c r="A35" s="109" t="s">
        <v>180</v>
      </c>
      <c r="B35" s="110"/>
      <c r="C35" s="110"/>
      <c r="D35" s="110"/>
      <c r="E35" s="110"/>
      <c r="F35" s="111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64"/>
      <c r="R35" s="30"/>
      <c r="S35" s="30"/>
      <c r="T35" s="30"/>
      <c r="U35" s="30"/>
    </row>
    <row r="36" spans="1:21" ht="13.45">
      <c r="A36" s="37" t="s">
        <v>170</v>
      </c>
      <c r="B36" s="30"/>
      <c r="C36" s="30"/>
      <c r="D36" s="38">
        <f>-(E34-Parámetros!C$37)</f>
        <v>-13.1600000000000001</v>
      </c>
      <c r="E36" s="42">
        <f>D36+E34</f>
        <v>-19.5199999999999996</v>
      </c>
      <c r="F36" s="43">
        <f>Parámetros!C$37</f>
        <v>-19.5199999999999996</v>
      </c>
      <c r="G36" s="30"/>
      <c r="H36" s="30"/>
      <c r="I36" s="30"/>
      <c r="J36" s="30"/>
      <c r="K36" s="30"/>
      <c r="L36" s="30"/>
      <c r="M36" s="46"/>
      <c r="N36" s="46"/>
      <c r="O36" s="46"/>
      <c r="P36" s="46"/>
      <c r="Q36" s="64"/>
      <c r="R36" s="30"/>
      <c r="S36" s="30"/>
      <c r="T36" s="30"/>
      <c r="U36" s="30"/>
    </row>
    <row r="37" spans="1:21" ht="13.45">
      <c r="A37" s="37" t="s">
        <v>181</v>
      </c>
      <c r="B37" s="30"/>
      <c r="C37" s="30"/>
      <c r="D37" s="38">
        <f>Parámetros!C$35</f>
        <v>25</v>
      </c>
      <c r="E37" s="38">
        <f>D37+E36</f>
        <v>5.48000000000000043</v>
      </c>
      <c r="F37" s="31"/>
      <c r="G37" s="38">
        <f>Parámetros!C$38</f>
        <v>5.5</v>
      </c>
      <c r="H37" s="38">
        <f>E36+158.9-10*LOG10(Parámetros!C$13*10^9)-G37</f>
        <v>32.9108998699189996</v>
      </c>
      <c r="I37" s="46">
        <f>10^(H37/10)</f>
        <v>1954.74444215498011</v>
      </c>
      <c r="J37" s="46">
        <f>10*LOG10(K37)</f>
        <v>29.2736582047105998</v>
      </c>
      <c r="K37" s="46">
        <f>1/((1/K33)+(1/I37))</f>
        <v>845.991151182990961</v>
      </c>
      <c r="L37" s="47">
        <f>(2/3)^3*Parámetros!C56*(Parámetros!C57)^2*'No linealidades'!D19*(10^(E37/10)*0.001)^2*LOG10(PI()^2*ABS(Parámetros!C58*10^(-24))*'No linealidades'!D19*(Parámetros!C59)^2*Parámetros!C74^2)/(PI()*ABS(Parámetros!C58*10^(-24))*Parámetros!C74^3)*Parámetros!C73*10^9</f>
        <v>0.00133267103681900001</v>
      </c>
      <c r="M37" s="48">
        <f>10*LOG10(N37)</f>
        <v>28.7527704077803996</v>
      </c>
      <c r="N37" s="49">
        <f>1/L37</f>
        <v>750.372726931122997</v>
      </c>
      <c r="O37" s="48">
        <f>10*LOG10(P37)</f>
        <v>25.7382187322748983</v>
      </c>
      <c r="P37" s="50">
        <f>HARMEAN(N28,N33,N37)/3</f>
        <v>374.81923783507699</v>
      </c>
      <c r="Q37" s="64">
        <f>10*LOG10(HARMEAN(K37,P37)/2)</f>
        <v>24.1453947725384985</v>
      </c>
      <c r="R37" s="30"/>
      <c r="S37" s="30"/>
      <c r="T37" s="30"/>
      <c r="U37" s="30"/>
    </row>
    <row r="38" spans="1:21" ht="13.45">
      <c r="A38" s="53" t="s">
        <v>107</v>
      </c>
      <c r="B38" s="54" t="n">
        <v>79</v>
      </c>
      <c r="C38" s="54">
        <f>Parámetros!C41</f>
        <v>0.185</v>
      </c>
      <c r="D38" s="54">
        <f>-B38*C38</f>
        <v>-14.6150000000000002</v>
      </c>
      <c r="E38" s="54">
        <f>D38+E33</f>
        <v>-9.13499999999999979</v>
      </c>
      <c r="F38" s="53" t="str">
        <f>IF(E38&gt;=Parámetros!C$33,"V","F")</f>
        <v>V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64"/>
      <c r="R38" s="30"/>
      <c r="S38" s="30"/>
      <c r="T38" s="30"/>
      <c r="U38" s="30"/>
    </row>
    <row r="39" spans="1:21" ht="13.45">
      <c r="A39" s="33" t="s">
        <v>182</v>
      </c>
      <c r="B39" s="34"/>
      <c r="C39" s="34"/>
      <c r="D39" s="34"/>
      <c r="E39" s="34"/>
      <c r="F39" s="35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64"/>
      <c r="R39" s="30"/>
      <c r="S39" s="30"/>
      <c r="T39" s="30"/>
      <c r="U39" s="30"/>
    </row>
    <row r="40" spans="1:21" ht="13.45">
      <c r="A40" s="37" t="s">
        <v>109</v>
      </c>
      <c r="B40" s="30"/>
      <c r="C40" s="30"/>
      <c r="D40" s="38">
        <f>-(E38+Parámetros!H18)</f>
        <v>-9.66499999999999915</v>
      </c>
      <c r="E40" s="42">
        <f>D40+E38</f>
        <v>-18.8000000000000007</v>
      </c>
      <c r="F40" s="43">
        <f>Parámetros!C22</f>
        <v>-18.0199999999999996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64"/>
      <c r="R40" s="30"/>
      <c r="S40" s="30"/>
      <c r="T40" s="30"/>
      <c r="U40" s="30"/>
    </row>
    <row r="41" spans="1:21" ht="13.45">
      <c r="A41" s="37" t="s">
        <v>110</v>
      </c>
      <c r="B41" s="30"/>
      <c r="C41" s="30"/>
      <c r="D41" s="38">
        <f>Parámetros!C20</f>
        <v>21</v>
      </c>
      <c r="E41" s="38">
        <f>D41+E40</f>
        <v>2.20000000000000018</v>
      </c>
      <c r="F41" s="31"/>
      <c r="G41" s="38">
        <f>Parámetros!C23</f>
        <v>5.5</v>
      </c>
      <c r="H41" s="38">
        <f>E40+158.9-10*LOG10(Parámetros!C$13*10^9)-G41</f>
        <v>33.6308998699189985</v>
      </c>
      <c r="I41" s="46">
        <f>10^(H41/10)</f>
        <v>2307.22520250104981</v>
      </c>
      <c r="J41" s="46">
        <f>10*LOG10(K41)</f>
        <v>27.9170203716295013</v>
      </c>
      <c r="K41" s="46">
        <f>1/((1/K37)+(1/I41))</f>
        <v>619.016231734761959</v>
      </c>
      <c r="L41" s="40" t="s">
        <v>103</v>
      </c>
      <c r="M41" s="40" t="s">
        <v>103</v>
      </c>
      <c r="N41" s="40" t="s">
        <v>103</v>
      </c>
      <c r="O41" s="40" t="s">
        <v>103</v>
      </c>
      <c r="P41" s="40" t="s">
        <v>103</v>
      </c>
      <c r="Q41" s="64">
        <f>10*LOG10(HARMEAN(K41,P37)/2)</f>
        <v>23.6820941791696988</v>
      </c>
      <c r="R41" s="30"/>
      <c r="S41" s="30"/>
      <c r="T41" s="30"/>
      <c r="U41" s="30"/>
    </row>
    <row r="42" spans="1:21" ht="13.45">
      <c r="A42" s="37" t="s">
        <v>119</v>
      </c>
      <c r="B42" s="30"/>
      <c r="C42" s="30"/>
      <c r="D42" s="38">
        <f>-Parámetros!C16</f>
        <v>-10</v>
      </c>
      <c r="E42" s="38">
        <f>D42+E41</f>
        <v>-7.79999999999999982</v>
      </c>
      <c r="F42" s="31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64"/>
      <c r="R42" s="30"/>
      <c r="S42" s="30"/>
      <c r="T42" s="30"/>
      <c r="U42" s="30"/>
    </row>
    <row r="43" spans="1:21" ht="13.45">
      <c r="A43" s="37" t="s">
        <v>102</v>
      </c>
      <c r="B43" s="30"/>
      <c r="C43" s="30"/>
      <c r="D43" s="38"/>
      <c r="E43" s="38">
        <f>E42</f>
        <v>-7.79999999999999982</v>
      </c>
      <c r="F43" s="37" t="str">
        <f>IF(E43&gt;=Parámetros!C67,"V","F")</f>
        <v>V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64"/>
      <c r="R43" s="30"/>
      <c r="S43" s="30"/>
      <c r="T43" s="30"/>
      <c r="U43" s="30"/>
    </row>
    <row r="44" spans="1:21" ht="13.45">
      <c r="A44" s="31"/>
      <c r="B44" s="30"/>
      <c r="C44" s="30"/>
      <c r="D44" s="30"/>
      <c r="E44" s="30"/>
      <c r="F44" s="66" t="s">
        <v>120</v>
      </c>
      <c r="G44" s="67"/>
      <c r="H44" s="67"/>
      <c r="I44" s="67"/>
      <c r="J44" s="112">
        <f>J41</f>
        <v>27.9170203716295013</v>
      </c>
      <c r="K44" s="69">
        <f>K41</f>
        <v>619.016231734761959</v>
      </c>
      <c r="L44" s="67"/>
      <c r="M44" s="67"/>
      <c r="N44" s="67"/>
      <c r="O44" s="113">
        <f>O37</f>
        <v>25.7382187322748983</v>
      </c>
      <c r="P44" s="112">
        <f>P37</f>
        <v>374.81923783507699</v>
      </c>
      <c r="Q44" s="70">
        <f>10*LOG10(HARMEAN(K44,P44)/2)</f>
        <v>23.6820941791696988</v>
      </c>
      <c r="R44" s="124" t="s">
        <v>148</v>
      </c>
      <c r="S44" s="30"/>
      <c r="T44" s="30"/>
      <c r="U44" s="30"/>
    </row>
    <row r="45" spans="1:21" ht="13.45">
      <c r="A45" s="31"/>
      <c r="B45" s="30"/>
      <c r="C45" s="30"/>
      <c r="D45" s="30"/>
      <c r="E45" s="30"/>
      <c r="F45" s="66" t="s">
        <v>183</v>
      </c>
      <c r="H45" s="67"/>
      <c r="I45" s="67"/>
      <c r="J45" s="68">
        <f>Parámetros!C83</f>
        <v>20.5</v>
      </c>
      <c r="K45" s="72">
        <f>10^(J45/10)</f>
        <v>112.201845430196002</v>
      </c>
      <c r="L45" s="67"/>
      <c r="M45" s="67"/>
      <c r="N45" s="67"/>
      <c r="O45" s="68"/>
      <c r="P45" s="72"/>
      <c r="Q45" s="73">
        <f>Parámetros!C83</f>
        <v>20.5</v>
      </c>
      <c r="R45" s="125"/>
      <c r="S45" s="30"/>
      <c r="T45" s="30"/>
      <c r="U45" s="30"/>
    </row>
    <row r="46" spans="1:21" ht="13.45">
      <c r="A46" s="31"/>
      <c r="B46" s="31"/>
      <c r="C46" s="31"/>
      <c r="D46" s="31"/>
      <c r="E46" s="31"/>
      <c r="F46" s="31"/>
      <c r="G46" s="30"/>
      <c r="H46" s="30"/>
      <c r="I46" s="30"/>
      <c r="J46" s="85"/>
      <c r="K46" s="30"/>
      <c r="L46" s="30"/>
      <c r="M46" s="30"/>
      <c r="N46" s="30"/>
      <c r="O46" s="85"/>
      <c r="P46" s="30"/>
      <c r="Q46" s="30"/>
      <c r="R46" s="30"/>
      <c r="S46" s="85"/>
      <c r="T46" s="30"/>
      <c r="U46" s="85"/>
    </row>
    <row r="47" spans="1:9" ht="13.45">
      <c r="A47" s="74" t="s">
        <v>123</v>
      </c>
      <c r="B47" s="74" t="s">
        <v>124</v>
      </c>
      <c r="C47" s="74" t="s">
        <v>125</v>
      </c>
      <c r="D47" s="74" t="s">
        <v>126</v>
      </c>
      <c r="G47" s="75"/>
      <c r="H47" s="74" t="s">
        <v>123</v>
      </c>
      <c r="I47" s="74" t="s">
        <v>124</v>
      </c>
    </row>
    <row r="48" spans="1:9" ht="13.45">
      <c r="A48" s="76" t="s">
        <v>127</v>
      </c>
      <c r="B48" s="77" t="n">
        <v>18</v>
      </c>
      <c r="C48" s="76" t="n">
        <v>-17</v>
      </c>
      <c r="D48" s="77">
        <f>Parámetros!C79</f>
        <v>30000</v>
      </c>
      <c r="G48" s="75"/>
      <c r="H48" s="77" t="s">
        <v>128</v>
      </c>
      <c r="I48" s="77" t="n">
        <v>17.0899999999999999</v>
      </c>
    </row>
    <row r="49" spans="1:9" ht="13.45">
      <c r="A49" s="78" t="s">
        <v>129</v>
      </c>
      <c r="B49" s="78" t="s">
        <v>85</v>
      </c>
      <c r="C49" s="78" t="s">
        <v>130</v>
      </c>
      <c r="D49" s="78" t="s">
        <v>131</v>
      </c>
      <c r="G49" s="78" t="s">
        <v>85</v>
      </c>
      <c r="H49" s="78" t="s">
        <v>130</v>
      </c>
      <c r="I49" s="78" t="s">
        <v>131</v>
      </c>
    </row>
    <row r="50" spans="1:9" ht="13.45">
      <c r="A50" s="103" t="s">
        <v>158</v>
      </c>
      <c r="B50" s="103" t="n">
        <v>107</v>
      </c>
      <c r="C50" s="114">
        <f>B$48*B50</f>
        <v>1926</v>
      </c>
      <c r="D50" s="114">
        <f>C50</f>
        <v>1926</v>
      </c>
      <c r="G50" s="103" t="n">
        <v>107</v>
      </c>
      <c r="H50" s="114">
        <f>I$48*G50</f>
        <v>1828.63000000000011</v>
      </c>
      <c r="I50" s="114">
        <f>H50</f>
        <v>1828.63000000000011</v>
      </c>
    </row>
    <row r="51" spans="1:9" ht="13.45">
      <c r="A51" s="103" t="s">
        <v>159</v>
      </c>
      <c r="B51" s="103" t="n">
        <v>95</v>
      </c>
      <c r="C51" s="114">
        <f>B$48*B51</f>
        <v>1710</v>
      </c>
      <c r="D51" s="114">
        <f>C51+D50</f>
        <v>3636</v>
      </c>
      <c r="G51" s="103" t="n">
        <v>95</v>
      </c>
      <c r="H51" s="114">
        <f>I$48*G51</f>
        <v>1623.54999999999995</v>
      </c>
      <c r="I51" s="114">
        <f>H51+I50</f>
        <v>3452.17999999999984</v>
      </c>
    </row>
    <row r="52" spans="1:9" ht="13.45">
      <c r="A52" s="103" t="s">
        <v>160</v>
      </c>
      <c r="B52" s="103" t="n">
        <v>77</v>
      </c>
      <c r="C52" s="114">
        <f>B$48*B52</f>
        <v>1386</v>
      </c>
      <c r="D52" s="114">
        <f>C52+D51</f>
        <v>5022</v>
      </c>
      <c r="G52" s="103" t="n">
        <v>77</v>
      </c>
      <c r="H52" s="114">
        <f>I$48*G52</f>
        <v>1315.93000000000006</v>
      </c>
      <c r="I52" s="114">
        <f>H52+I51</f>
        <v>4768.10999999999967</v>
      </c>
    </row>
    <row r="53" spans="1:9" ht="13.45">
      <c r="A53" s="103" t="s">
        <v>161</v>
      </c>
      <c r="B53" s="103" t="n">
        <v>74</v>
      </c>
      <c r="C53" s="114">
        <f>B$48*B53</f>
        <v>1332</v>
      </c>
      <c r="D53" s="114">
        <f>C53</f>
        <v>1332</v>
      </c>
      <c r="G53" s="103" t="n">
        <v>74</v>
      </c>
      <c r="H53" s="114">
        <f>I$48*G53</f>
        <v>1264.66000000000008</v>
      </c>
      <c r="I53" s="114">
        <f>H53+I52</f>
        <v>6032.77000000000044</v>
      </c>
    </row>
    <row r="54" spans="1:9" ht="13.45">
      <c r="A54" s="127" t="s">
        <v>162</v>
      </c>
      <c r="B54" s="127" t="n">
        <v>96</v>
      </c>
      <c r="C54" s="128">
        <f>B$48*B54</f>
        <v>1728</v>
      </c>
      <c r="D54" s="128">
        <f>C54+D53</f>
        <v>3060</v>
      </c>
      <c r="G54" s="127" t="n">
        <v>96</v>
      </c>
      <c r="H54" s="128">
        <f>I$48*G54</f>
        <v>1640.6400000000001</v>
      </c>
      <c r="I54" s="128">
        <f>H54</f>
        <v>1640.6400000000001</v>
      </c>
    </row>
    <row r="55" spans="1:9" ht="13.45">
      <c r="A55" s="103" t="s">
        <v>163</v>
      </c>
      <c r="B55" s="103" t="n">
        <v>64</v>
      </c>
      <c r="C55" s="114">
        <f>B$48*B55</f>
        <v>1152</v>
      </c>
      <c r="D55" s="114">
        <f>C55+D54</f>
        <v>4212</v>
      </c>
      <c r="G55" s="103" t="n">
        <v>64</v>
      </c>
      <c r="H55" s="114">
        <f>I$48*G55</f>
        <v>1093.75999999999999</v>
      </c>
      <c r="I55" s="114">
        <f>H55+I54</f>
        <v>2734.40000000000009</v>
      </c>
    </row>
    <row r="56" spans="1:9" ht="13.45">
      <c r="A56" s="103" t="s">
        <v>164</v>
      </c>
      <c r="B56" s="103" t="n">
        <v>79</v>
      </c>
      <c r="C56" s="114">
        <f>B$48*B56</f>
        <v>1422</v>
      </c>
      <c r="D56" s="114">
        <f>C56+D55</f>
        <v>5634</v>
      </c>
      <c r="G56" s="103" t="n">
        <v>79</v>
      </c>
      <c r="H56" s="114">
        <f>I$48*G56</f>
        <v>1350.1099999999999</v>
      </c>
      <c r="I56" s="114">
        <f>H56+I55</f>
        <v>4084.51000000000022</v>
      </c>
    </row>
    <row r="59" spans="7:9" ht="13.45">
      <c r="G59" s="75"/>
      <c r="H59" s="74" t="s">
        <v>123</v>
      </c>
      <c r="I59" s="74" t="s">
        <v>124</v>
      </c>
    </row>
    <row r="60" spans="1:9" ht="13.45">
      <c r="A60" s="74" t="s">
        <v>138</v>
      </c>
      <c r="B60" s="77">
        <f>Parámetros!C43</f>
        <v>0.1</v>
      </c>
      <c r="C60" s="81" t="s">
        <v>139</v>
      </c>
      <c r="G60" s="75"/>
      <c r="H60" s="77" t="s">
        <v>140</v>
      </c>
      <c r="I60" s="77" t="n">
        <v>18.8500000000000014</v>
      </c>
    </row>
    <row r="61" spans="1:9" ht="13.45">
      <c r="A61" s="78" t="s">
        <v>129</v>
      </c>
      <c r="B61" s="78" t="s">
        <v>85</v>
      </c>
      <c r="C61" s="78" t="s">
        <v>141</v>
      </c>
      <c r="G61" s="78" t="s">
        <v>85</v>
      </c>
      <c r="H61" s="78" t="s">
        <v>130</v>
      </c>
      <c r="I61" s="78" t="s">
        <v>131</v>
      </c>
    </row>
    <row r="62" spans="1:9" ht="13.45">
      <c r="A62" s="103" t="s">
        <v>158</v>
      </c>
      <c r="B62" s="103" t="n">
        <v>107</v>
      </c>
      <c r="C62" s="114">
        <f>B$60*SQRT(B62)</f>
        <v>1.03440804327886005</v>
      </c>
      <c r="G62" s="103" t="n">
        <v>107</v>
      </c>
      <c r="H62" s="114">
        <f>I$60*G62</f>
        <v>2016.95000000000005</v>
      </c>
      <c r="I62" s="114">
        <f>H62</f>
        <v>2016.95000000000005</v>
      </c>
    </row>
    <row r="63" spans="1:9" ht="13.45">
      <c r="A63" s="103" t="s">
        <v>159</v>
      </c>
      <c r="B63" s="103" t="n">
        <v>95</v>
      </c>
      <c r="C63" s="114">
        <f>B$60*SQRT(B63)</f>
        <v>0.974679434480895956</v>
      </c>
      <c r="G63" s="103" t="n">
        <v>95</v>
      </c>
      <c r="H63" s="114">
        <f>I$60*G63</f>
        <v>1790.75</v>
      </c>
      <c r="I63" s="114">
        <f>H63+I62</f>
        <v>3807.69999999999982</v>
      </c>
    </row>
    <row r="64" spans="1:9" ht="13.45">
      <c r="A64" s="103" t="s">
        <v>160</v>
      </c>
      <c r="B64" s="103" t="n">
        <v>77</v>
      </c>
      <c r="C64" s="114">
        <f>B$60*SQRT(B64)</f>
        <v>0.877496438739212081</v>
      </c>
      <c r="G64" s="103" t="n">
        <v>77</v>
      </c>
      <c r="H64" s="114">
        <f>I$60*G64</f>
        <v>1451.45000000000005</v>
      </c>
      <c r="I64" s="114">
        <f>H64+I63</f>
        <v>5259.14999999999964</v>
      </c>
    </row>
    <row r="65" spans="1:9" ht="13.45">
      <c r="A65" s="103" t="s">
        <v>161</v>
      </c>
      <c r="B65" s="103" t="n">
        <v>74</v>
      </c>
      <c r="C65" s="114">
        <f>B$60*SQRT(B65)</f>
        <v>0.860232526704263023</v>
      </c>
      <c r="G65" s="103" t="n">
        <v>74</v>
      </c>
      <c r="H65" s="114">
        <f>I$60*G65</f>
        <v>1394.90000000000009</v>
      </c>
      <c r="I65" s="114">
        <f>H65+I64</f>
        <v>6654.05000000000018</v>
      </c>
    </row>
    <row r="66" spans="1:9" ht="13.45">
      <c r="A66" s="121" t="s">
        <v>162</v>
      </c>
      <c r="B66" s="126" t="n">
        <v>96</v>
      </c>
      <c r="C66" s="121">
        <f>B$60*SQRT(B66)</f>
        <v>0.979795897113270975</v>
      </c>
      <c r="G66" s="127" t="n">
        <v>96</v>
      </c>
      <c r="H66" s="128">
        <f>I$60*G66</f>
        <v>1809.59999999999991</v>
      </c>
      <c r="I66" s="128">
        <f>H66</f>
        <v>1809.59999999999991</v>
      </c>
    </row>
    <row r="67" spans="1:9" ht="13.45">
      <c r="A67" s="103" t="s">
        <v>163</v>
      </c>
      <c r="B67" s="103" t="n">
        <v>64</v>
      </c>
      <c r="C67" s="114">
        <f>B$60*SQRT(B67)</f>
        <v>0.8</v>
      </c>
      <c r="G67" s="103" t="n">
        <v>64</v>
      </c>
      <c r="H67" s="114">
        <f>I$60*G67</f>
        <v>1206.40000000000009</v>
      </c>
      <c r="I67" s="114">
        <f>H67+I66</f>
        <v>3016</v>
      </c>
    </row>
    <row r="68" spans="1:9" ht="13.45">
      <c r="A68" s="103" t="s">
        <v>164</v>
      </c>
      <c r="B68" s="103" t="n">
        <v>79</v>
      </c>
      <c r="C68" s="114">
        <f>B$60*SQRT(B68)</f>
        <v>0.888819441731559046</v>
      </c>
      <c r="G68" s="103" t="n">
        <v>79</v>
      </c>
      <c r="H68" s="114">
        <f>I$60*G68</f>
        <v>1489.15000000000009</v>
      </c>
      <c r="I68" s="114">
        <f>H68+I67</f>
        <v>4505.14999999999964</v>
      </c>
    </row>
    <row r="69" spans="1:3" ht="13.45">
      <c r="A69" s="115" t="s">
        <v>142</v>
      </c>
      <c r="B69" s="114"/>
      <c r="C69" s="115">
        <f>SUM(C66:C68)</f>
        <v>2.66861533884482993</v>
      </c>
    </row>
    <row r="70" spans="2:3" ht="13.45">
      <c r="B70" s="9" t="s">
        <v>184</v>
      </c>
      <c r="C70" s="3"/>
    </row>
  </sheetData>
  <mergeCells count="3">
    <mergeCell ref="R44:R45"/>
    <mergeCell ref="F45:G45"/>
    <mergeCell ref="B70:C70"/>
  </mergeCells>
  <printOptions>
    <extLst>
      <ext uri="smNativeData">
        <pm:pageFlags xmlns:pm="smNativeData" id="17825665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2566527" l="56" r="56" t="56" b="56" borderId="0" fillId="0" vertical="0"/>
        <pm:footer xmlns:pm="smNativeData" id="1782566527" l="56" r="56" t="56" b="56" borderId="0" fillId="0" vertical="2"/>
      </ext>
    </extLst>
  </headerFooter>
  <drawing r:id="rId1"/>
  <extLst>
    <ext uri="smNativeData">
      <pm:sheetPrefs xmlns:pm="smNativeData" day="17825665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maximo</cp:lastModifiedBy>
  <cp:revision>0</cp:revision>
  <dcterms:created xsi:type="dcterms:W3CDTF">2026-06-25T10:54:20Z</dcterms:created>
  <dcterms:modified xsi:type="dcterms:W3CDTF">2026-06-27T13:22:07Z</dcterms:modified>
</cp:coreProperties>
</file>