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rámetros" sheetId="1" r:id="rId5"/>
    <sheet state="visible" name="Enlace Comprometido" sheetId="2" r:id="rId6"/>
    <sheet state="visible" name="Enlace Comprometido REG" sheetId="3" r:id="rId7"/>
    <sheet state="visible" name="No linealidades" sheetId="4" r:id="rId8"/>
    <sheet state="visible" name="Enlace Largo" sheetId="5" r:id="rId9"/>
  </sheets>
  <definedNames/>
  <calcPr/>
</workbook>
</file>

<file path=xl/sharedStrings.xml><?xml version="1.0" encoding="utf-8"?>
<sst xmlns="http://schemas.openxmlformats.org/spreadsheetml/2006/main" count="537" uniqueCount="181">
  <si>
    <t>PARAMETROS</t>
  </si>
  <si>
    <t>Parametros del Transceiver TQD017 [400Gbps]</t>
  </si>
  <si>
    <t>Valores</t>
  </si>
  <si>
    <t>Variabilidad</t>
  </si>
  <si>
    <t>Potencia maxima de salida (dBm)</t>
  </si>
  <si>
    <t>Potencia minima de salida (dBm)</t>
  </si>
  <si>
    <t xml:space="preserve">Dispersion Cromatica (ps/nm) </t>
  </si>
  <si>
    <t>Sensibilidad en el receptor para OSNR &gt;= 23,5dB (dB)</t>
  </si>
  <si>
    <t>Relacionada con E-12</t>
  </si>
  <si>
    <t>Se suele llegar con -7,8 dBm</t>
  </si>
  <si>
    <t>Potencia maxima de entrada en el receptor (dBm)</t>
  </si>
  <si>
    <t>OSNR del transmisor a 0,1nm (dB)</t>
  </si>
  <si>
    <t xml:space="preserve">OSNR requerida </t>
  </si>
  <si>
    <t>Tolerancia PMD (ps)</t>
  </si>
  <si>
    <t>En transceivers modernos que usan DP-16QAM suele ser 10 [ps]</t>
  </si>
  <si>
    <t>GSNR a 0,1nm (dB)</t>
  </si>
  <si>
    <t>OSNR de recepcion con -14dBm</t>
  </si>
  <si>
    <t>Bo (GHz)</t>
  </si>
  <si>
    <t>Multiplexador DCP-R-9D</t>
  </si>
  <si>
    <t>VOA ajustable</t>
  </si>
  <si>
    <t>- (0 a 19) dB</t>
  </si>
  <si>
    <t>Cantidad Canales = 40</t>
  </si>
  <si>
    <t>Atenuacion MUX+/DEMUX+</t>
  </si>
  <si>
    <t>Preamplificador Integrado</t>
  </si>
  <si>
    <t>Sensibilidad máxima LINE (IN) (dBm)</t>
  </si>
  <si>
    <t>Tratamos siempre de llegar al pre con -18,8 dB</t>
  </si>
  <si>
    <t>Potencia de entrada mínima por canal (dBm)</t>
  </si>
  <si>
    <t>Sensibilidad maxima (LINE IN) - 10*log10(Cantidad Canales)</t>
  </si>
  <si>
    <t>10*log10(40)=16,02</t>
  </si>
  <si>
    <t>Ganancia del preamplificador (dB)</t>
  </si>
  <si>
    <t>Potencia de salida máxima SIG (OUT) (dBm)</t>
  </si>
  <si>
    <t>Potencia de entrada máxima por canal (dBm) para 22dB ganancia</t>
  </si>
  <si>
    <t>Potencia de entrada maxima total - 10*log10(Cantidad Canales)</t>
  </si>
  <si>
    <t>Potencia de entrada maxima total = Potencia de salida maxima (SIG OUT) - Ganancia</t>
  </si>
  <si>
    <t>Figura de Ruido preamplificador (dB)</t>
  </si>
  <si>
    <t>Booster Integrado</t>
  </si>
  <si>
    <t>Sensibilidad máxima SIG (IN) (dBm)</t>
  </si>
  <si>
    <t>Tratamos siempre de llegar al booster con -17,8 dB</t>
  </si>
  <si>
    <t>Ganancia Booster Amplifier (dB)</t>
  </si>
  <si>
    <t>Potencia de salida máxima LINE (OUT) (dBm)</t>
  </si>
  <si>
    <t>Potencia de entrada máxima por canal (dBm) para 21,5dB ganancia</t>
  </si>
  <si>
    <t>Potencia de entrada maxima total = Potencia de salida maxima (LINE OUT) - Ganancia</t>
  </si>
  <si>
    <t>Figura de Ruido booster (dB)</t>
  </si>
  <si>
    <t>Tratamos de salir del Booster con 2,5 dB por canal</t>
  </si>
  <si>
    <t>Parametros del Amplificador de Linea (OLA2525)</t>
  </si>
  <si>
    <t>Ganancia del amplificador (dB)</t>
  </si>
  <si>
    <t>Potencia de entrada máxima por canal (dBm) para 25dB ganancia</t>
  </si>
  <si>
    <t>Figura de Ruido (dB)</t>
  </si>
  <si>
    <t>Parametros de la fibra Corning SMF-28</t>
  </si>
  <si>
    <t>Atenuación (db/km)</t>
  </si>
  <si>
    <t>Atenuación (dB/km) + 0,05 empalmes fusion</t>
  </si>
  <si>
    <t>Dispersion Cromatica (ps/(nm.km)) en 1550nm</t>
  </si>
  <si>
    <t>PMD (ps/√km)</t>
  </si>
  <si>
    <t>λ0 (Dispersión cero)</t>
  </si>
  <si>
    <t>1304-1324 nm</t>
  </si>
  <si>
    <t>Pendiente en λ0 (Dispersión cero) (ps/(nm^2.km))</t>
  </si>
  <si>
    <t>Justificacion de los valores asignados en C48, C49, C50 y C59</t>
  </si>
  <si>
    <t>Area efectiva - Ae</t>
  </si>
  <si>
    <t>Indice no lineal - ñ</t>
  </si>
  <si>
    <t>Coeficiente no linealidad - Lambda</t>
  </si>
  <si>
    <t>Longitud maxima de 50,4 km/rollo</t>
  </si>
  <si>
    <t>Parametros de la fibra Corning Compensadora Fiberdyne</t>
  </si>
  <si>
    <t>Longitud (km)</t>
  </si>
  <si>
    <t>20-140</t>
  </si>
  <si>
    <t>D*L (ps/nm)</t>
  </si>
  <si>
    <t>Dispersion Cromatica (ps/[nm*km])</t>
  </si>
  <si>
    <t>Perdida de insercion</t>
  </si>
  <si>
    <t>PMD (ps)</t>
  </si>
  <si>
    <t>No linealidades</t>
  </si>
  <si>
    <t>Cantidad de spans entre Tx y Rx</t>
  </si>
  <si>
    <t>γ (Coef. de propagación no lineal  en (W.km)^-1)</t>
  </si>
  <si>
    <t>|β2| (s^2/km)</t>
  </si>
  <si>
    <t>Número de canales en el enlace</t>
  </si>
  <si>
    <t>Tasa de símbolos (Baudios)</t>
  </si>
  <si>
    <t>Recordar roll-off de 0,11</t>
  </si>
  <si>
    <t>Ancho de banda del slot (Hz)</t>
  </si>
  <si>
    <t>Parametros del Transceiver TQD017 [100Gbps]</t>
  </si>
  <si>
    <t>Sensibilidad en el receptor para OSNR &gt;= 11,8dB (dB)</t>
  </si>
  <si>
    <t>Tasa de simbolos (Baudios)</t>
  </si>
  <si>
    <t xml:space="preserve">Benavidez - Rosario </t>
  </si>
  <si>
    <t>Presupuesto de Potencia</t>
  </si>
  <si>
    <t>Distancia (km)</t>
  </si>
  <si>
    <t>Atenuación por km</t>
  </si>
  <si>
    <t>Amplificación/Atenuación (dB)</t>
  </si>
  <si>
    <t>Potencia acumulada (dBm)</t>
  </si>
  <si>
    <t>400 Gbps / Limite</t>
  </si>
  <si>
    <t>NF (dB)</t>
  </si>
  <si>
    <t>OSNR canal (dB)</t>
  </si>
  <si>
    <t>OSNR canal (veces)</t>
  </si>
  <si>
    <t>OSNR acumulada (dB)</t>
  </si>
  <si>
    <t>OSNR acumulada (veces)</t>
  </si>
  <si>
    <t>1/GSNR NL</t>
  </si>
  <si>
    <t>GSNR NL (dB)</t>
  </si>
  <si>
    <t>GSNR NL (veces)</t>
  </si>
  <si>
    <t>GSNR NL acumulada (dB)</t>
  </si>
  <si>
    <t>GSNR NL acumulada (veces)</t>
  </si>
  <si>
    <t>GSNR Total (dB)</t>
  </si>
  <si>
    <t>Benavidez</t>
  </si>
  <si>
    <t>Transceiver</t>
  </si>
  <si>
    <t>-</t>
  </si>
  <si>
    <t>MUX+</t>
  </si>
  <si>
    <t>Amplificador Booster</t>
  </si>
  <si>
    <t>VOA (Booster)</t>
  </si>
  <si>
    <t>Fibra</t>
  </si>
  <si>
    <t>Campana</t>
  </si>
  <si>
    <t>VOA (Line In)</t>
  </si>
  <si>
    <t>Preamplificador</t>
  </si>
  <si>
    <t>WSS+ (ROADM 1)</t>
  </si>
  <si>
    <t>WSS+ (ROADM 2)</t>
  </si>
  <si>
    <t>Zarate</t>
  </si>
  <si>
    <t>Baradero</t>
  </si>
  <si>
    <t>San Pedro BsAs</t>
  </si>
  <si>
    <t>San Nicolas de los Arroyos</t>
  </si>
  <si>
    <t>Recordar umbral de 23,5</t>
  </si>
  <si>
    <t>Rosario</t>
  </si>
  <si>
    <t>DEMUX+</t>
  </si>
  <si>
    <t>TOTAL</t>
  </si>
  <si>
    <t>NO FUNCIONA</t>
  </si>
  <si>
    <t>Requerido para 400 Gbps</t>
  </si>
  <si>
    <t>Longitud de onda</t>
  </si>
  <si>
    <t>Coeficiente DC (ps/(nm.km)</t>
  </si>
  <si>
    <t>Coeficiente DCF (ps/(nm.km)</t>
  </si>
  <si>
    <t>Compensacion Transceiver ps/nm</t>
  </si>
  <si>
    <t>1550 nm</t>
  </si>
  <si>
    <t>1534.8 nm - 195,4 THz</t>
  </si>
  <si>
    <t>Tramo</t>
  </si>
  <si>
    <t>Dispersión tramo (ps/nm)</t>
  </si>
  <si>
    <t>Dispersión acumulada (ps/nm)</t>
  </si>
  <si>
    <t>Benavidez-Campana</t>
  </si>
  <si>
    <t>Campana-Zarate</t>
  </si>
  <si>
    <t>Zarate-Baradero</t>
  </si>
  <si>
    <t>Baradero-San Pedro BsAs</t>
  </si>
  <si>
    <t>San Pedro BsAs-San Nicolas de los Arroyos</t>
  </si>
  <si>
    <t>San Nicolas de los Arroyos-Rosario</t>
  </si>
  <si>
    <t>Cálculo PMD</t>
  </si>
  <si>
    <t>Coeficiente PMD</t>
  </si>
  <si>
    <t>1565 nm - 191.7 THz</t>
  </si>
  <si>
    <t>Dispersión (ps)</t>
  </si>
  <si>
    <t>PMD Total</t>
  </si>
  <si>
    <t>El transceiver aguanta 10 [ps]</t>
  </si>
  <si>
    <t>Benavidez - Rosario</t>
  </si>
  <si>
    <t>San Pedro BsAs (Regeneracion)</t>
  </si>
  <si>
    <t>Transceiver (Rx)</t>
  </si>
  <si>
    <t>Transceiver (Tx)</t>
  </si>
  <si>
    <t>FUNCIONA</t>
  </si>
  <si>
    <t>TOTAL Pre REG</t>
  </si>
  <si>
    <t>No Linealidades (COMPROMETIDO)</t>
  </si>
  <si>
    <t>Potencia de entrada a la fibra (dBm)</t>
  </si>
  <si>
    <t>Longitud Efectiva (km)</t>
  </si>
  <si>
    <t>Longitud No Lineal (km)</t>
  </si>
  <si>
    <t>α (dB/km)</t>
  </si>
  <si>
    <t>San Pedro BsAs-San Nicolas</t>
  </si>
  <si>
    <t>San Nicolas-Rosario</t>
  </si>
  <si>
    <t>No Linealidades (LARGO)</t>
  </si>
  <si>
    <t>DinaHuapi-Comallo</t>
  </si>
  <si>
    <t>Comallo-IngJacobacci</t>
  </si>
  <si>
    <t>IngJacobacci-Maquinchao</t>
  </si>
  <si>
    <t>Maquinchao-LosMenucos</t>
  </si>
  <si>
    <t>LosMenucos-MinistroRamosMexia</t>
  </si>
  <si>
    <t>MinistroRamosMexia-NahuelNiyeu</t>
  </si>
  <si>
    <t>NahuelNiyeu-AguadaCecilio</t>
  </si>
  <si>
    <t>Dina Huapi - Aguada Cecilio</t>
  </si>
  <si>
    <t>100 Gbps / Limite</t>
  </si>
  <si>
    <t>Dina Huapi</t>
  </si>
  <si>
    <t>VOA (BOOSTER)</t>
  </si>
  <si>
    <t>Comallo</t>
  </si>
  <si>
    <t>VOA (ILA)</t>
  </si>
  <si>
    <t>Amplificador (Comallo)</t>
  </si>
  <si>
    <t>Ing. Jacobacci</t>
  </si>
  <si>
    <t>Amplificador (Ing. Jacobacci)</t>
  </si>
  <si>
    <t>Maquinchao</t>
  </si>
  <si>
    <t>Amplificador (Maquinchao)</t>
  </si>
  <si>
    <t>Los Menucos</t>
  </si>
  <si>
    <t>Amplificador (Los Menucos)</t>
  </si>
  <si>
    <t>Ministro Ramos Mexía</t>
  </si>
  <si>
    <t>Amplificador (Ministro Ramos Mexía)</t>
  </si>
  <si>
    <t>Nahuel Niyeu</t>
  </si>
  <si>
    <t>Amplificador (Nahuel Niyeu)</t>
  </si>
  <si>
    <t>Aguada Cecilio</t>
  </si>
  <si>
    <t>Requerido para 100 Gbps</t>
  </si>
  <si>
    <t>El transceiver aguanta 30 [ps]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</si>
</sst>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"/>
    <numFmt numFmtId="165" formatCode="0.0"/>
    <numFmt numFmtId="166" formatCode="0.0000"/>
  </numFmts>
  <fonts count="17">
    <font>
      <sz val="10.0"/>
      <color rgb="FF000000"/>
      <name val="Arial"/>
      <scheme val="minor"/>
    </font>
    <font>
      <b/>
      <sz val="11.0"/>
      <color theme="1"/>
      <name val="Calibri"/>
    </font>
    <font/>
    <font>
      <b/>
      <u/>
      <sz val="11.0"/>
      <color rgb="FF000000"/>
      <name val="Calibri"/>
    </font>
    <font>
      <sz val="11.0"/>
      <color theme="1"/>
      <name val="Calibri"/>
    </font>
    <font>
      <color theme="1"/>
      <name val="Arial"/>
      <scheme val="minor"/>
    </font>
    <font>
      <b/>
      <u/>
      <sz val="11.0"/>
      <color rgb="FF000000"/>
      <name val="Calibri"/>
    </font>
    <font>
      <b/>
      <u/>
      <sz val="11.0"/>
      <color rgb="FF000000"/>
      <name val="Calibri"/>
    </font>
    <font>
      <b/>
      <u/>
      <sz val="11.0"/>
      <color rgb="FF000000"/>
      <name val="Calibri"/>
    </font>
    <font>
      <b/>
      <u/>
      <sz val="11.0"/>
      <color rgb="FF000000"/>
      <name val="Calibri"/>
    </font>
    <font>
      <b/>
      <sz val="14.0"/>
      <color rgb="FF1F497D"/>
      <name val="&quot;Calibri&quot;"/>
    </font>
    <font>
      <b/>
      <sz val="11.0"/>
      <color rgb="FFFFFFFF"/>
      <name val="&quot;Calibri&quot;"/>
    </font>
    <font>
      <b/>
      <sz val="11.0"/>
      <color rgb="FF000000"/>
      <name val="&quot;Calibri&quot;"/>
    </font>
    <font>
      <sz val="11.0"/>
      <color rgb="FF000000"/>
      <name val="&quot;Calibri&quot;"/>
    </font>
    <font>
      <b/>
      <color theme="1"/>
      <name val="Arial"/>
      <scheme val="minor"/>
    </font>
    <font>
      <i/>
      <sz val="11.0"/>
      <color rgb="FF000000"/>
      <name val="&quot;Calibri&quot;"/>
    </font>
    <font>
      <color rgb="FF000000"/>
      <name val="&quot;Calibri&quot;"/>
    </font>
  </fonts>
  <fills count="23">
    <fill>
      <patternFill patternType="none"/>
    </fill>
    <fill>
      <patternFill patternType="lightGray"/>
    </fill>
    <fill>
      <patternFill patternType="solid">
        <fgColor rgb="FF9BBB59"/>
        <bgColor rgb="FF9BBB59"/>
      </patternFill>
    </fill>
    <fill>
      <patternFill patternType="solid">
        <fgColor rgb="FFC9DAF8"/>
        <bgColor rgb="FFC9DAF8"/>
      </patternFill>
    </fill>
    <fill>
      <patternFill patternType="solid">
        <fgColor rgb="FFA2C4C9"/>
        <bgColor rgb="FFA2C4C9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A4C2F4"/>
        <bgColor rgb="FFA4C2F4"/>
      </patternFill>
    </fill>
    <fill>
      <patternFill patternType="solid">
        <fgColor rgb="FFF3F3F3"/>
        <bgColor rgb="FFF3F3F3"/>
      </patternFill>
    </fill>
    <fill>
      <patternFill patternType="solid">
        <fgColor rgb="FFD9D2E9"/>
        <bgColor rgb="FFD9D2E9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FFFFF"/>
        <bgColor rgb="FFFFFFFF"/>
      </patternFill>
    </fill>
    <fill>
      <patternFill patternType="solid">
        <fgColor rgb="FFE4F0E8"/>
        <bgColor rgb="FFE4F0E8"/>
      </patternFill>
    </fill>
    <fill>
      <patternFill patternType="solid">
        <fgColor rgb="FFFF0000"/>
        <bgColor rgb="FFFF0000"/>
      </patternFill>
    </fill>
    <fill>
      <patternFill patternType="solid">
        <fgColor rgb="FF9EFF9E"/>
        <bgColor rgb="FF9EFF9E"/>
      </patternFill>
    </fill>
    <fill>
      <patternFill patternType="solid">
        <fgColor rgb="FF9E9EFF"/>
        <bgColor rgb="FF9E9EFF"/>
      </patternFill>
    </fill>
    <fill>
      <patternFill patternType="solid">
        <fgColor rgb="FFE0E0FF"/>
        <bgColor rgb="FFE0E0FF"/>
      </patternFill>
    </fill>
    <fill>
      <patternFill patternType="solid">
        <fgColor rgb="FFFFE599"/>
        <bgColor rgb="FFFFE599"/>
      </patternFill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ck">
        <color rgb="FF93C47D"/>
      </left>
      <top style="thick">
        <color rgb="FF93C47D"/>
      </top>
      <bottom style="thick">
        <color rgb="FF93C47D"/>
      </bottom>
    </border>
    <border>
      <right style="thick">
        <color rgb="FF93C47D"/>
      </right>
      <top style="thick">
        <color rgb="FF93C47D"/>
      </top>
      <bottom style="thick">
        <color rgb="FF93C47D"/>
      </bottom>
    </border>
    <border>
      <left style="thick">
        <color rgb="FFC27BA0"/>
      </left>
      <top style="thick">
        <color rgb="FFC27BA0"/>
      </top>
      <bottom style="thick">
        <color rgb="FFC27BA0"/>
      </bottom>
    </border>
    <border>
      <top style="thick">
        <color rgb="FFC27BA0"/>
      </top>
      <bottom style="thick">
        <color rgb="FFC27BA0"/>
      </bottom>
    </border>
    <border>
      <right style="thick">
        <color rgb="FFC27BA0"/>
      </right>
      <top style="thick">
        <color rgb="FFC27BA0"/>
      </top>
      <bottom style="thick">
        <color rgb="FFC27BA0"/>
      </bottom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FFE599"/>
      </top>
    </border>
    <border>
      <right style="thin">
        <color rgb="FF000000"/>
      </right>
      <top style="thick">
        <color rgb="FFFFE599"/>
      </top>
    </border>
  </borders>
  <cellStyleXfs count="1">
    <xf borderId="0" fillId="0" fontId="0" numFmtId="0" applyAlignment="1" applyFont="1"/>
  </cellStyleXfs>
  <cellXfs count="13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bottom"/>
    </xf>
    <xf borderId="2" fillId="0" fontId="2" numFmtId="0" xfId="0" applyBorder="1" applyFont="1"/>
    <xf borderId="3" fillId="0" fontId="2" numFmtId="0" xfId="0" applyBorder="1" applyFont="1"/>
    <xf borderId="0" fillId="2" fontId="3" numFmtId="0" xfId="0" applyAlignment="1" applyFill="1" applyFont="1">
      <alignment horizontal="center" readingOrder="0" vertical="bottom"/>
    </xf>
    <xf borderId="0" fillId="3" fontId="1" numFmtId="0" xfId="0" applyAlignment="1" applyFill="1" applyFont="1">
      <alignment horizontal="center" vertical="bottom"/>
    </xf>
    <xf borderId="0" fillId="4" fontId="4" numFmtId="0" xfId="0" applyAlignment="1" applyFill="1" applyFont="1">
      <alignment vertical="bottom"/>
    </xf>
    <xf borderId="0" fillId="2" fontId="4" numFmtId="0" xfId="0" applyAlignment="1" applyFont="1">
      <alignment horizontal="center" readingOrder="0" vertical="bottom"/>
    </xf>
    <xf borderId="0" fillId="3" fontId="4" numFmtId="0" xfId="0" applyAlignment="1" applyFont="1">
      <alignment horizontal="center" readingOrder="0" vertical="bottom"/>
    </xf>
    <xf borderId="1" fillId="0" fontId="5" numFmtId="0" xfId="0" applyAlignment="1" applyBorder="1" applyFont="1">
      <alignment readingOrder="0"/>
    </xf>
    <xf borderId="0" fillId="3" fontId="4" numFmtId="0" xfId="0" applyAlignment="1" applyFont="1">
      <alignment horizontal="center" vertical="bottom"/>
    </xf>
    <xf borderId="0" fillId="2" fontId="4" numFmtId="0" xfId="0" applyAlignment="1" applyFont="1">
      <alignment horizontal="center" vertical="bottom"/>
    </xf>
    <xf borderId="0" fillId="5" fontId="6" numFmtId="0" xfId="0" applyAlignment="1" applyFill="1" applyFont="1">
      <alignment horizontal="center" readingOrder="0" vertical="bottom"/>
    </xf>
    <xf borderId="0" fillId="3" fontId="4" numFmtId="0" xfId="0" applyAlignment="1" applyFont="1">
      <alignment vertical="bottom"/>
    </xf>
    <xf borderId="0" fillId="0" fontId="5" numFmtId="0" xfId="0" applyAlignment="1" applyFont="1">
      <alignment readingOrder="0"/>
    </xf>
    <xf borderId="0" fillId="5" fontId="4" numFmtId="0" xfId="0" applyAlignment="1" applyFont="1">
      <alignment horizontal="center" vertical="bottom"/>
    </xf>
    <xf borderId="0" fillId="5" fontId="4" numFmtId="0" xfId="0" applyAlignment="1" applyFont="1">
      <alignment horizontal="center" readingOrder="0" vertical="bottom"/>
    </xf>
    <xf borderId="0" fillId="4" fontId="1" numFmtId="0" xfId="0" applyAlignment="1" applyFont="1">
      <alignment horizontal="center" readingOrder="0" vertical="bottom"/>
    </xf>
    <xf borderId="1" fillId="5" fontId="1" numFmtId="0" xfId="0" applyAlignment="1" applyBorder="1" applyFont="1">
      <alignment horizontal="center" readingOrder="0" vertical="bottom"/>
    </xf>
    <xf borderId="0" fillId="4" fontId="4" numFmtId="0" xfId="0" applyAlignment="1" applyFont="1">
      <alignment readingOrder="0" vertical="bottom"/>
    </xf>
    <xf borderId="0" fillId="5" fontId="1" numFmtId="0" xfId="0" applyAlignment="1" applyFont="1">
      <alignment horizontal="center" vertical="bottom"/>
    </xf>
    <xf borderId="0" fillId="5" fontId="1" numFmtId="0" xfId="0" applyAlignment="1" applyFont="1">
      <alignment horizontal="center" readingOrder="0" vertical="bottom"/>
    </xf>
    <xf borderId="0" fillId="3" fontId="1" numFmtId="0" xfId="0" applyAlignment="1" applyFont="1">
      <alignment horizontal="center" readingOrder="0" vertical="bottom"/>
    </xf>
    <xf borderId="0" fillId="0" fontId="5" numFmtId="0" xfId="0" applyFont="1"/>
    <xf borderId="0" fillId="6" fontId="7" numFmtId="0" xfId="0" applyAlignment="1" applyFill="1" applyFont="1">
      <alignment horizontal="center" readingOrder="0" vertical="bottom"/>
    </xf>
    <xf borderId="0" fillId="6" fontId="4" numFmtId="0" xfId="0" applyAlignment="1" applyFont="1">
      <alignment horizontal="center" vertical="bottom"/>
    </xf>
    <xf borderId="0" fillId="4" fontId="4" numFmtId="0" xfId="0" applyAlignment="1" applyFont="1">
      <alignment horizontal="center" vertical="bottom"/>
    </xf>
    <xf borderId="0" fillId="6" fontId="1" numFmtId="0" xfId="0" applyAlignment="1" applyFont="1">
      <alignment horizontal="center" vertical="bottom"/>
    </xf>
    <xf borderId="0" fillId="6" fontId="4" numFmtId="0" xfId="0" applyAlignment="1" applyFont="1">
      <alignment horizontal="center" readingOrder="0" vertical="bottom"/>
    </xf>
    <xf borderId="0" fillId="7" fontId="8" numFmtId="0" xfId="0" applyAlignment="1" applyFill="1" applyFont="1">
      <alignment horizontal="center" readingOrder="0" vertical="bottom"/>
    </xf>
    <xf borderId="0" fillId="7" fontId="4" numFmtId="0" xfId="0" applyAlignment="1" applyFont="1">
      <alignment vertical="bottom"/>
    </xf>
    <xf borderId="0" fillId="7" fontId="4" numFmtId="0" xfId="0" applyAlignment="1" applyFont="1">
      <alignment horizontal="center" vertical="bottom"/>
    </xf>
    <xf borderId="0" fillId="7" fontId="4" numFmtId="0" xfId="0" applyAlignment="1" applyFont="1">
      <alignment horizontal="center" readingOrder="0" vertical="bottom"/>
    </xf>
    <xf borderId="0" fillId="8" fontId="9" numFmtId="0" xfId="0" applyAlignment="1" applyFill="1" applyFont="1">
      <alignment horizontal="center" readingOrder="0" vertical="bottom"/>
    </xf>
    <xf borderId="0" fillId="8" fontId="4" numFmtId="0" xfId="0" applyAlignment="1" applyFont="1">
      <alignment vertical="bottom"/>
    </xf>
    <xf borderId="0" fillId="8" fontId="4" numFmtId="0" xfId="0" applyAlignment="1" applyFont="1">
      <alignment horizontal="center" readingOrder="0" vertical="bottom"/>
    </xf>
    <xf borderId="0" fillId="9" fontId="1" numFmtId="0" xfId="0" applyAlignment="1" applyFill="1" applyFont="1">
      <alignment horizontal="center" vertical="bottom"/>
    </xf>
    <xf borderId="0" fillId="9" fontId="4" numFmtId="0" xfId="0" applyAlignment="1" applyFont="1">
      <alignment vertical="bottom"/>
    </xf>
    <xf borderId="0" fillId="9" fontId="4" numFmtId="0" xfId="0" applyAlignment="1" applyFont="1">
      <alignment horizontal="center" vertical="bottom"/>
    </xf>
    <xf borderId="0" fillId="9" fontId="4" numFmtId="0" xfId="0" applyAlignment="1" applyFont="1">
      <alignment horizontal="center" readingOrder="0" vertical="bottom"/>
    </xf>
    <xf borderId="0" fillId="0" fontId="10" numFmtId="0" xfId="0" applyAlignment="1" applyFont="1">
      <alignment horizontal="left" readingOrder="0"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left" vertical="bottom"/>
    </xf>
    <xf borderId="0" fillId="10" fontId="11" numFmtId="0" xfId="0" applyAlignment="1" applyFill="1" applyFont="1">
      <alignment horizontal="center" readingOrder="0" vertical="bottom"/>
    </xf>
    <xf borderId="0" fillId="11" fontId="12" numFmtId="0" xfId="0" applyAlignment="1" applyFill="1" applyFont="1">
      <alignment horizontal="left" readingOrder="0" vertical="bottom"/>
    </xf>
    <xf borderId="0" fillId="11" fontId="5" numFmtId="0" xfId="0" applyAlignment="1" applyFont="1">
      <alignment horizontal="right" vertical="bottom"/>
    </xf>
    <xf borderId="0" fillId="11" fontId="5" numFmtId="0" xfId="0" applyAlignment="1" applyFont="1">
      <alignment horizontal="left" readingOrder="0" vertical="bottom"/>
    </xf>
    <xf borderId="0" fillId="11" fontId="5" numFmtId="0" xfId="0" applyAlignment="1" applyFont="1">
      <alignment horizontal="left" vertical="bottom"/>
    </xf>
    <xf borderId="4" fillId="12" fontId="5" numFmtId="0" xfId="0" applyAlignment="1" applyBorder="1" applyFill="1" applyFont="1">
      <alignment horizontal="right" vertical="bottom"/>
    </xf>
    <xf borderId="0" fillId="0" fontId="13" numFmtId="0" xfId="0" applyAlignment="1" applyFont="1">
      <alignment horizontal="left" readingOrder="0" vertical="bottom"/>
    </xf>
    <xf borderId="0" fillId="0" fontId="13" numFmtId="0" xfId="0" applyAlignment="1" applyFont="1">
      <alignment horizontal="right" readingOrder="0" vertical="bottom"/>
    </xf>
    <xf borderId="0" fillId="0" fontId="13" numFmtId="2" xfId="0" applyAlignment="1" applyFont="1" applyNumberFormat="1">
      <alignment horizontal="right" readingOrder="0" vertical="bottom"/>
    </xf>
    <xf borderId="0" fillId="0" fontId="5" numFmtId="0" xfId="0" applyAlignment="1" applyFont="1">
      <alignment horizontal="center" readingOrder="0" vertical="bottom"/>
    </xf>
    <xf borderId="5" fillId="12" fontId="5" numFmtId="0" xfId="0" applyAlignment="1" applyBorder="1" applyFont="1">
      <alignment horizontal="center" readingOrder="0" vertical="bottom"/>
    </xf>
    <xf borderId="6" fillId="0" fontId="13" numFmtId="0" xfId="0" applyAlignment="1" applyBorder="1" applyFont="1">
      <alignment horizontal="right" readingOrder="0" vertical="bottom"/>
    </xf>
    <xf borderId="7" fillId="0" fontId="5" numFmtId="0" xfId="0" applyAlignment="1" applyBorder="1" applyFont="1">
      <alignment horizontal="left" readingOrder="0" vertical="bottom"/>
    </xf>
    <xf borderId="5" fillId="12" fontId="5" numFmtId="0" xfId="0" applyAlignment="1" applyBorder="1" applyFont="1">
      <alignment horizontal="right" vertical="bottom"/>
    </xf>
    <xf borderId="0" fillId="0" fontId="5" numFmtId="164" xfId="0" applyAlignment="1" applyFont="1" applyNumberFormat="1">
      <alignment horizontal="right" vertical="bottom"/>
    </xf>
    <xf borderId="0" fillId="0" fontId="5" numFmtId="2" xfId="0" applyAlignment="1" applyFont="1" applyNumberFormat="1">
      <alignment horizontal="right" vertical="bottom"/>
    </xf>
    <xf borderId="8" fillId="0" fontId="5" numFmtId="0" xfId="0" applyAlignment="1" applyBorder="1" applyFont="1">
      <alignment horizontal="right" vertical="bottom"/>
    </xf>
    <xf borderId="9" fillId="0" fontId="5" numFmtId="165" xfId="0" applyAlignment="1" applyBorder="1" applyFont="1" applyNumberFormat="1">
      <alignment horizontal="right" vertical="bottom"/>
    </xf>
    <xf borderId="9" fillId="0" fontId="5" numFmtId="2" xfId="0" applyAlignment="1" applyBorder="1" applyFont="1" applyNumberFormat="1">
      <alignment horizontal="right" readingOrder="0" vertical="bottom"/>
    </xf>
    <xf borderId="10" fillId="0" fontId="5" numFmtId="2" xfId="0" applyAlignment="1" applyBorder="1" applyFont="1" applyNumberFormat="1">
      <alignment horizontal="right" vertical="bottom"/>
    </xf>
    <xf borderId="11" fillId="12" fontId="5" numFmtId="0" xfId="0" applyAlignment="1" applyBorder="1" applyFont="1">
      <alignment horizontal="right" vertical="bottom"/>
    </xf>
    <xf borderId="0" fillId="0" fontId="13" numFmtId="11" xfId="0" applyAlignment="1" applyFont="1" applyNumberFormat="1">
      <alignment horizontal="right" readingOrder="0" vertical="bottom"/>
    </xf>
    <xf borderId="0" fillId="13" fontId="13" numFmtId="0" xfId="0" applyAlignment="1" applyFill="1" applyFont="1">
      <alignment horizontal="left" readingOrder="0" vertical="bottom"/>
    </xf>
    <xf borderId="0" fillId="13" fontId="13" numFmtId="0" xfId="0" applyAlignment="1" applyFont="1">
      <alignment horizontal="right" readingOrder="0" vertical="bottom"/>
    </xf>
    <xf borderId="0" fillId="13" fontId="5" numFmtId="0" xfId="0" applyAlignment="1" applyFont="1">
      <alignment horizontal="right" vertical="bottom"/>
    </xf>
    <xf borderId="7" fillId="0" fontId="13" numFmtId="0" xfId="0" applyAlignment="1" applyBorder="1" applyFont="1">
      <alignment horizontal="left" readingOrder="0" vertical="bottom"/>
    </xf>
    <xf borderId="7" fillId="0" fontId="5" numFmtId="0" xfId="0" applyAlignment="1" applyBorder="1" applyFont="1">
      <alignment horizontal="left" vertical="bottom"/>
    </xf>
    <xf borderId="9" fillId="0" fontId="5" numFmtId="165" xfId="0" applyAlignment="1" applyBorder="1" applyFont="1" applyNumberFormat="1">
      <alignment horizontal="right" readingOrder="0" vertical="bottom"/>
    </xf>
    <xf borderId="0" fillId="0" fontId="13" numFmtId="164" xfId="0" applyAlignment="1" applyFont="1" applyNumberFormat="1">
      <alignment horizontal="right" readingOrder="0" vertical="bottom"/>
    </xf>
    <xf borderId="9" fillId="0" fontId="5" numFmtId="0" xfId="0" applyAlignment="1" applyBorder="1" applyFont="1">
      <alignment horizontal="right" vertical="bottom"/>
    </xf>
    <xf borderId="10" fillId="0" fontId="5" numFmtId="0" xfId="0" applyAlignment="1" applyBorder="1" applyFont="1">
      <alignment horizontal="right" vertical="bottom"/>
    </xf>
    <xf borderId="0" fillId="0" fontId="5" numFmtId="166" xfId="0" applyAlignment="1" applyFont="1" applyNumberFormat="1">
      <alignment horizontal="right" vertical="bottom"/>
    </xf>
    <xf borderId="0" fillId="13" fontId="5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12" fillId="14" fontId="5" numFmtId="0" xfId="0" applyAlignment="1" applyBorder="1" applyFill="1" applyFont="1">
      <alignment horizontal="right" vertical="bottom"/>
    </xf>
    <xf borderId="8" fillId="0" fontId="5" numFmtId="0" xfId="0" applyAlignment="1" applyBorder="1" applyFont="1">
      <alignment readingOrder="0"/>
    </xf>
    <xf borderId="10" fillId="0" fontId="2" numFmtId="0" xfId="0" applyBorder="1" applyFont="1"/>
    <xf borderId="5" fillId="0" fontId="5" numFmtId="0" xfId="0" applyAlignment="1" applyBorder="1" applyFont="1">
      <alignment horizontal="right" vertical="bottom"/>
    </xf>
    <xf borderId="5" fillId="0" fontId="13" numFmtId="0" xfId="0" applyAlignment="1" applyBorder="1" applyFont="1">
      <alignment horizontal="right" readingOrder="0" vertical="bottom"/>
    </xf>
    <xf borderId="0" fillId="9" fontId="12" numFmtId="0" xfId="0" applyAlignment="1" applyFont="1">
      <alignment horizontal="left" readingOrder="0" vertical="bottom"/>
    </xf>
    <xf borderId="0" fillId="9" fontId="5" numFmtId="0" xfId="0" applyAlignment="1" applyFont="1">
      <alignment horizontal="right" vertical="bottom"/>
    </xf>
    <xf borderId="0" fillId="9" fontId="12" numFmtId="0" xfId="0" applyAlignment="1" applyFont="1">
      <alignment horizontal="right" readingOrder="0" vertical="bottom"/>
    </xf>
    <xf borderId="0" fillId="9" fontId="12" numFmtId="164" xfId="0" applyAlignment="1" applyFont="1" applyNumberFormat="1">
      <alignment horizontal="right" readingOrder="0" vertical="bottom"/>
    </xf>
    <xf borderId="5" fillId="9" fontId="12" numFmtId="0" xfId="0" applyAlignment="1" applyBorder="1" applyFont="1">
      <alignment horizontal="right" readingOrder="0" vertical="bottom"/>
    </xf>
    <xf borderId="0" fillId="14" fontId="5" numFmtId="0" xfId="0" applyAlignment="1" applyFont="1">
      <alignment horizontal="center" readingOrder="0" vertical="center"/>
    </xf>
    <xf borderId="0" fillId="9" fontId="14" numFmtId="164" xfId="0" applyAlignment="1" applyFont="1" applyNumberFormat="1">
      <alignment horizontal="right" vertical="bottom"/>
    </xf>
    <xf borderId="13" fillId="9" fontId="14" numFmtId="0" xfId="0" applyAlignment="1" applyBorder="1" applyFont="1">
      <alignment horizontal="right" vertical="bottom"/>
    </xf>
    <xf borderId="14" fillId="15" fontId="12" numFmtId="0" xfId="0" applyAlignment="1" applyBorder="1" applyFill="1" applyFont="1">
      <alignment horizontal="right" readingOrder="0" vertical="bottom"/>
    </xf>
    <xf borderId="14" fillId="15" fontId="5" numFmtId="0" xfId="0" applyAlignment="1" applyBorder="1" applyFont="1">
      <alignment horizontal="right" vertical="bottom"/>
    </xf>
    <xf borderId="14" fillId="15" fontId="13" numFmtId="0" xfId="0" applyAlignment="1" applyBorder="1" applyFont="1">
      <alignment horizontal="left" readingOrder="0" vertical="bottom"/>
    </xf>
    <xf borderId="14" fillId="15" fontId="13" numFmtId="0" xfId="0" applyAlignment="1" applyBorder="1" applyFont="1">
      <alignment horizontal="right" readingOrder="0" vertical="bottom"/>
    </xf>
    <xf borderId="14" fillId="16" fontId="12" numFmtId="0" xfId="0" applyAlignment="1" applyBorder="1" applyFill="1" applyFont="1">
      <alignment horizontal="right" readingOrder="0" vertical="bottom"/>
    </xf>
    <xf borderId="14" fillId="17" fontId="13" numFmtId="0" xfId="0" applyAlignment="1" applyBorder="1" applyFill="1" applyFont="1">
      <alignment horizontal="left" readingOrder="0" vertical="bottom"/>
    </xf>
    <xf borderId="14" fillId="17" fontId="13" numFmtId="0" xfId="0" applyAlignment="1" applyBorder="1" applyFont="1">
      <alignment horizontal="right" readingOrder="0" vertical="bottom"/>
    </xf>
    <xf borderId="14" fillId="15" fontId="15" numFmtId="0" xfId="0" applyAlignment="1" applyBorder="1" applyFont="1">
      <alignment horizontal="right" readingOrder="0" vertical="bottom"/>
    </xf>
    <xf borderId="14" fillId="17" fontId="5" numFmtId="0" xfId="0" applyAlignment="1" applyBorder="1" applyFont="1">
      <alignment horizontal="right" readingOrder="0" vertical="bottom"/>
    </xf>
    <xf borderId="14" fillId="17" fontId="12" numFmtId="0" xfId="0" applyAlignment="1" applyBorder="1" applyFont="1">
      <alignment horizontal="left" readingOrder="0" vertical="bottom"/>
    </xf>
    <xf borderId="14" fillId="17" fontId="5" numFmtId="0" xfId="0" applyAlignment="1" applyBorder="1" applyFont="1">
      <alignment horizontal="right" vertical="bottom"/>
    </xf>
    <xf borderId="14" fillId="17" fontId="12" numFmtId="0" xfId="0" applyAlignment="1" applyBorder="1" applyFont="1">
      <alignment horizontal="right" readingOrder="0" vertical="bottom"/>
    </xf>
    <xf borderId="0" fillId="0" fontId="12" numFmtId="0" xfId="0" applyAlignment="1" applyFont="1">
      <alignment horizontal="right" readingOrder="0" vertical="bottom"/>
    </xf>
    <xf borderId="9" fillId="0" fontId="5" numFmtId="2" xfId="0" applyAlignment="1" applyBorder="1" applyFont="1" applyNumberFormat="1">
      <alignment horizontal="right" vertical="bottom"/>
    </xf>
    <xf borderId="0" fillId="18" fontId="12" numFmtId="0" xfId="0" applyAlignment="1" applyFill="1" applyFont="1">
      <alignment horizontal="left" readingOrder="0" vertical="bottom"/>
    </xf>
    <xf borderId="0" fillId="18" fontId="5" numFmtId="0" xfId="0" applyAlignment="1" applyFont="1">
      <alignment horizontal="right" vertical="bottom"/>
    </xf>
    <xf borderId="0" fillId="18" fontId="5" numFmtId="0" xfId="0" applyAlignment="1" applyFont="1">
      <alignment horizontal="left" vertical="bottom"/>
    </xf>
    <xf borderId="15" fillId="0" fontId="13" numFmtId="0" xfId="0" applyAlignment="1" applyBorder="1" applyFont="1">
      <alignment horizontal="left" readingOrder="0" vertical="bottom"/>
    </xf>
    <xf borderId="15" fillId="0" fontId="5" numFmtId="0" xfId="0" applyAlignment="1" applyBorder="1" applyFont="1">
      <alignment horizontal="right" vertical="bottom"/>
    </xf>
    <xf borderId="15" fillId="0" fontId="13" numFmtId="0" xfId="0" applyAlignment="1" applyBorder="1" applyFont="1">
      <alignment horizontal="right" readingOrder="0" vertical="bottom"/>
    </xf>
    <xf borderId="15" fillId="0" fontId="5" numFmtId="1" xfId="0" applyAlignment="1" applyBorder="1" applyFont="1" applyNumberFormat="1">
      <alignment horizontal="right" vertical="bottom"/>
    </xf>
    <xf borderId="15" fillId="0" fontId="13" numFmtId="2" xfId="0" applyAlignment="1" applyBorder="1" applyFont="1" applyNumberFormat="1">
      <alignment horizontal="right" readingOrder="0" vertical="bottom"/>
    </xf>
    <xf borderId="15" fillId="0" fontId="13" numFmtId="1" xfId="0" applyAlignment="1" applyBorder="1" applyFont="1" applyNumberFormat="1">
      <alignment horizontal="right" readingOrder="0" vertical="bottom"/>
    </xf>
    <xf borderId="15" fillId="0" fontId="5" numFmtId="0" xfId="0" applyAlignment="1" applyBorder="1" applyFont="1">
      <alignment horizontal="center" readingOrder="0" vertical="bottom"/>
    </xf>
    <xf borderId="16" fillId="0" fontId="5" numFmtId="0" xfId="0" applyAlignment="1" applyBorder="1" applyFont="1">
      <alignment horizontal="center" readingOrder="0" vertical="bottom"/>
    </xf>
    <xf borderId="11" fillId="0" fontId="5" numFmtId="0" xfId="0" applyAlignment="1" applyBorder="1" applyFont="1">
      <alignment horizontal="right" vertical="bottom"/>
    </xf>
    <xf borderId="0" fillId="19" fontId="5" numFmtId="0" xfId="0" applyAlignment="1" applyFill="1" applyFont="1">
      <alignment horizontal="center" readingOrder="0" vertical="center"/>
    </xf>
    <xf borderId="14" fillId="18" fontId="13" numFmtId="0" xfId="0" applyAlignment="1" applyBorder="1" applyFont="1">
      <alignment horizontal="left" readingOrder="0" vertical="bottom"/>
    </xf>
    <xf borderId="14" fillId="18" fontId="13" numFmtId="0" xfId="0" applyAlignment="1" applyBorder="1" applyFont="1">
      <alignment horizontal="right" readingOrder="0" vertical="bottom"/>
    </xf>
    <xf borderId="1" fillId="20" fontId="16" numFmtId="0" xfId="0" applyAlignment="1" applyBorder="1" applyFill="1" applyFont="1">
      <alignment horizontal="center" readingOrder="0" vertical="bottom"/>
    </xf>
    <xf borderId="14" fillId="7" fontId="16" numFmtId="0" xfId="0" applyAlignment="1" applyBorder="1" applyFont="1">
      <alignment horizontal="center" readingOrder="0" vertical="bottom"/>
    </xf>
    <xf borderId="14" fillId="21" fontId="16" numFmtId="0" xfId="0" applyAlignment="1" applyBorder="1" applyFill="1" applyFont="1">
      <alignment horizontal="center" readingOrder="0" vertical="bottom"/>
    </xf>
    <xf borderId="14" fillId="7" fontId="16" numFmtId="0" xfId="0" applyAlignment="1" applyBorder="1" applyFont="1">
      <alignment horizontal="left" readingOrder="0" vertical="bottom"/>
    </xf>
    <xf borderId="14" fillId="7" fontId="16" numFmtId="166" xfId="0" applyAlignment="1" applyBorder="1" applyFont="1" applyNumberFormat="1">
      <alignment horizontal="right" readingOrder="0" vertical="bottom"/>
    </xf>
    <xf borderId="0" fillId="0" fontId="13" numFmtId="0" xfId="0" applyAlignment="1" applyFont="1">
      <alignment horizontal="center" readingOrder="0" vertical="bottom"/>
    </xf>
    <xf borderId="4" fillId="0" fontId="5" numFmtId="0" xfId="0" applyAlignment="1" applyBorder="1" applyFont="1">
      <alignment horizontal="right" vertical="bottom"/>
    </xf>
    <xf borderId="5" fillId="0" fontId="5" numFmtId="0" xfId="0" applyAlignment="1" applyBorder="1" applyFont="1">
      <alignment horizontal="center" readingOrder="0" vertical="bottom"/>
    </xf>
    <xf borderId="0" fillId="22" fontId="12" numFmtId="0" xfId="0" applyAlignment="1" applyFill="1" applyFont="1">
      <alignment horizontal="left" readingOrder="0" vertical="bottom"/>
    </xf>
    <xf borderId="0" fillId="22" fontId="5" numFmtId="0" xfId="0" applyAlignment="1" applyFont="1">
      <alignment horizontal="right" vertical="bottom"/>
    </xf>
    <xf borderId="0" fillId="22" fontId="5" numFmtId="0" xfId="0" applyAlignment="1" applyFont="1">
      <alignment horizontal="left" vertical="bottom"/>
    </xf>
    <xf borderId="0" fillId="0" fontId="5" numFmtId="2" xfId="0" applyAlignment="1" applyFont="1" applyNumberFormat="1">
      <alignment horizontal="right" readingOrder="0" vertical="bottom"/>
    </xf>
    <xf borderId="0" fillId="9" fontId="12" numFmtId="2" xfId="0" applyAlignment="1" applyFont="1" applyNumberFormat="1">
      <alignment horizontal="right" readingOrder="0" vertical="bottom"/>
    </xf>
    <xf borderId="0" fillId="9" fontId="12" numFmtId="165" xfId="0" applyAlignment="1" applyFont="1" applyNumberFormat="1">
      <alignment horizontal="right" readingOrder="0" vertical="bottom"/>
    </xf>
    <xf borderId="14" fillId="0" fontId="5" numFmtId="0" xfId="0" applyBorder="1" applyFont="1"/>
    <xf borderId="14" fillId="0" fontId="14" numFmtId="0" xfId="0" applyAlignment="1" applyBorder="1" applyFont="1">
      <alignment readingOrder="0"/>
    </xf>
    <xf borderId="14" fillId="0" fontId="1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5.png"/><Relationship Id="rId3" Type="http://schemas.openxmlformats.org/officeDocument/2006/relationships/image" Target="../media/image3.png"/><Relationship Id="rId4" Type="http://schemas.openxmlformats.org/officeDocument/2006/relationships/image" Target="../media/image8.png"/><Relationship Id="rId5" Type="http://schemas.openxmlformats.org/officeDocument/2006/relationships/image" Target="../media/image4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5.png"/><Relationship Id="rId3" Type="http://schemas.openxmlformats.org/officeDocument/2006/relationships/image" Target="../media/image3.png"/><Relationship Id="rId4" Type="http://schemas.openxmlformats.org/officeDocument/2006/relationships/image" Target="../media/image8.png"/><Relationship Id="rId5" Type="http://schemas.openxmlformats.org/officeDocument/2006/relationships/image" Target="../media/image4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3.png"/><Relationship Id="rId5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962025</xdr:colOff>
      <xdr:row>44</xdr:row>
      <xdr:rowOff>209550</xdr:rowOff>
    </xdr:from>
    <xdr:ext cx="7296150" cy="8286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523875</xdr:colOff>
      <xdr:row>78</xdr:row>
      <xdr:rowOff>9525</xdr:rowOff>
    </xdr:from>
    <xdr:ext cx="4876800" cy="2905125"/>
    <xdr:pic>
      <xdr:nvPicPr>
        <xdr:cNvPr id="0" name="image2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56</xdr:row>
      <xdr:rowOff>0</xdr:rowOff>
    </xdr:from>
    <xdr:ext cx="4876800" cy="5905500"/>
    <xdr:pic>
      <xdr:nvPicPr>
        <xdr:cNvPr id="0" name="image5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78</xdr:row>
      <xdr:rowOff>9525</xdr:rowOff>
    </xdr:from>
    <xdr:ext cx="8829675" cy="1143000"/>
    <xdr:pic>
      <xdr:nvPicPr>
        <xdr:cNvPr id="0" name="image3.png" title="Imagen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1171575</xdr:colOff>
      <xdr:row>56</xdr:row>
      <xdr:rowOff>133350</xdr:rowOff>
    </xdr:from>
    <xdr:ext cx="4876800" cy="3286125"/>
    <xdr:pic>
      <xdr:nvPicPr>
        <xdr:cNvPr id="0" name="image8.png" title="Imagen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285750</xdr:colOff>
      <xdr:row>72</xdr:row>
      <xdr:rowOff>190500</xdr:rowOff>
    </xdr:from>
    <xdr:ext cx="6838950" cy="809625"/>
    <xdr:pic>
      <xdr:nvPicPr>
        <xdr:cNvPr id="0" name="image4.png" title="Imagen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285750</xdr:colOff>
      <xdr:row>57</xdr:row>
      <xdr:rowOff>190500</xdr:rowOff>
    </xdr:from>
    <xdr:ext cx="4876800" cy="2905125"/>
    <xdr:pic>
      <xdr:nvPicPr>
        <xdr:cNvPr id="0" name="image2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58</xdr:row>
      <xdr:rowOff>0</xdr:rowOff>
    </xdr:from>
    <xdr:ext cx="4876800" cy="5905500"/>
    <xdr:pic>
      <xdr:nvPicPr>
        <xdr:cNvPr id="0" name="image5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561975</xdr:colOff>
      <xdr:row>81</xdr:row>
      <xdr:rowOff>9525</xdr:rowOff>
    </xdr:from>
    <xdr:ext cx="8829675" cy="1143000"/>
    <xdr:pic>
      <xdr:nvPicPr>
        <xdr:cNvPr id="0" name="image3.png" title="Imagen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933450</xdr:colOff>
      <xdr:row>81</xdr:row>
      <xdr:rowOff>47625</xdr:rowOff>
    </xdr:from>
    <xdr:ext cx="4876800" cy="3286125"/>
    <xdr:pic>
      <xdr:nvPicPr>
        <xdr:cNvPr id="0" name="image8.png" title="Imagen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361950</xdr:colOff>
      <xdr:row>72</xdr:row>
      <xdr:rowOff>200025</xdr:rowOff>
    </xdr:from>
    <xdr:ext cx="6838950" cy="809625"/>
    <xdr:pic>
      <xdr:nvPicPr>
        <xdr:cNvPr id="0" name="image4.png" title="Imagen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0</xdr:colOff>
      <xdr:row>4</xdr:row>
      <xdr:rowOff>0</xdr:rowOff>
    </xdr:from>
    <xdr:ext cx="6810375" cy="4486275"/>
    <xdr:pic>
      <xdr:nvPicPr>
        <xdr:cNvPr id="0" name="image6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914400</xdr:colOff>
      <xdr:row>39</xdr:row>
      <xdr:rowOff>76200</xdr:rowOff>
    </xdr:from>
    <xdr:ext cx="4876800" cy="5676900"/>
    <xdr:pic>
      <xdr:nvPicPr>
        <xdr:cNvPr id="0" name="image7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342900</xdr:colOff>
      <xdr:row>42</xdr:row>
      <xdr:rowOff>95250</xdr:rowOff>
    </xdr:from>
    <xdr:ext cx="4876800" cy="2905125"/>
    <xdr:pic>
      <xdr:nvPicPr>
        <xdr:cNvPr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228600</xdr:colOff>
      <xdr:row>57</xdr:row>
      <xdr:rowOff>28575</xdr:rowOff>
    </xdr:from>
    <xdr:ext cx="6838950" cy="809625"/>
    <xdr:pic>
      <xdr:nvPicPr>
        <xdr:cNvPr id="0" name="image4.png" title="Imagen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342900</xdr:colOff>
      <xdr:row>62</xdr:row>
      <xdr:rowOff>152400</xdr:rowOff>
    </xdr:from>
    <xdr:ext cx="6934200" cy="895350"/>
    <xdr:pic>
      <xdr:nvPicPr>
        <xdr:cNvPr id="0" name="image3.png" title="Imagen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1504950</xdr:colOff>
      <xdr:row>68</xdr:row>
      <xdr:rowOff>66675</xdr:rowOff>
    </xdr:from>
    <xdr:ext cx="4876800" cy="3286125"/>
    <xdr:pic>
      <xdr:nvPicPr>
        <xdr:cNvPr id="0" name="image8.png" title="Imagen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64.5"/>
    <col customWidth="1" min="3" max="3" width="19.25"/>
    <col customWidth="1" min="4" max="4" width="22.5"/>
    <col customWidth="1" min="7" max="7" width="14.0"/>
  </cols>
  <sheetData>
    <row r="2">
      <c r="B2" s="1" t="s">
        <v>0</v>
      </c>
      <c r="C2" s="2"/>
      <c r="D2" s="3"/>
    </row>
    <row r="3">
      <c r="B3" s="4" t="s">
        <v>1</v>
      </c>
      <c r="C3" s="5" t="s">
        <v>2</v>
      </c>
      <c r="D3" s="6" t="s">
        <v>3</v>
      </c>
    </row>
    <row r="4">
      <c r="B4" s="7" t="s">
        <v>4</v>
      </c>
      <c r="C4" s="8">
        <v>1.0</v>
      </c>
      <c r="D4" s="6"/>
    </row>
    <row r="5">
      <c r="B5" s="7" t="s">
        <v>5</v>
      </c>
      <c r="C5" s="8">
        <v>-9.0</v>
      </c>
      <c r="D5" s="6"/>
    </row>
    <row r="6">
      <c r="B6" s="7" t="s">
        <v>6</v>
      </c>
      <c r="C6" s="8">
        <v>12000.0</v>
      </c>
      <c r="D6" s="6"/>
    </row>
    <row r="7">
      <c r="B7" s="7" t="s">
        <v>7</v>
      </c>
      <c r="C7" s="8">
        <v>-14.0</v>
      </c>
      <c r="D7" s="6"/>
      <c r="E7" s="9" t="s">
        <v>8</v>
      </c>
      <c r="F7" s="3"/>
      <c r="G7" s="9" t="s">
        <v>9</v>
      </c>
      <c r="H7" s="3"/>
    </row>
    <row r="8">
      <c r="B8" s="7" t="s">
        <v>10</v>
      </c>
      <c r="C8" s="10">
        <v>13.0</v>
      </c>
      <c r="D8" s="6"/>
    </row>
    <row r="9">
      <c r="B9" s="11" t="s">
        <v>11</v>
      </c>
      <c r="C9" s="8">
        <v>38.0</v>
      </c>
      <c r="D9" s="6"/>
    </row>
    <row r="10">
      <c r="B10" s="7" t="s">
        <v>12</v>
      </c>
      <c r="C10" s="8">
        <v>23.5</v>
      </c>
      <c r="D10" s="6"/>
    </row>
    <row r="11">
      <c r="B11" s="11" t="s">
        <v>13</v>
      </c>
      <c r="C11" s="10">
        <v>10.0</v>
      </c>
      <c r="D11" s="6"/>
      <c r="E11" s="9" t="s">
        <v>14</v>
      </c>
      <c r="F11" s="2"/>
      <c r="G11" s="2"/>
      <c r="H11" s="3"/>
    </row>
    <row r="12">
      <c r="B12" s="11" t="s">
        <v>15</v>
      </c>
      <c r="C12" s="8">
        <v>23.5</v>
      </c>
      <c r="D12" s="6"/>
      <c r="E12" s="9" t="s">
        <v>16</v>
      </c>
      <c r="F12" s="3"/>
    </row>
    <row r="13">
      <c r="B13" s="11" t="s">
        <v>17</v>
      </c>
      <c r="C13" s="10">
        <v>12.5</v>
      </c>
      <c r="D13" s="6"/>
    </row>
    <row r="14">
      <c r="B14" s="12" t="s">
        <v>18</v>
      </c>
      <c r="C14" s="13"/>
      <c r="D14" s="6"/>
      <c r="E14" s="14"/>
      <c r="F14" s="14"/>
      <c r="G14" s="14"/>
      <c r="H14" s="14"/>
    </row>
    <row r="15">
      <c r="B15" s="15" t="s">
        <v>19</v>
      </c>
      <c r="C15" s="13"/>
      <c r="D15" s="6" t="s">
        <v>20</v>
      </c>
      <c r="E15" s="9" t="s">
        <v>21</v>
      </c>
      <c r="F15" s="2"/>
      <c r="G15" s="2"/>
      <c r="H15" s="3"/>
      <c r="J15" s="14"/>
      <c r="K15" s="14"/>
    </row>
    <row r="16">
      <c r="B16" s="16" t="s">
        <v>22</v>
      </c>
      <c r="C16" s="8">
        <v>10.0</v>
      </c>
      <c r="D16" s="17"/>
    </row>
    <row r="17">
      <c r="B17" s="18" t="s">
        <v>23</v>
      </c>
      <c r="C17" s="2"/>
      <c r="D17" s="3"/>
    </row>
    <row r="18">
      <c r="B18" s="15" t="s">
        <v>24</v>
      </c>
      <c r="C18" s="8">
        <v>-25.0</v>
      </c>
      <c r="D18" s="19"/>
      <c r="E18" s="9" t="s">
        <v>25</v>
      </c>
      <c r="F18" s="2"/>
      <c r="G18" s="3"/>
      <c r="H18" s="14">
        <v>18.8</v>
      </c>
    </row>
    <row r="19">
      <c r="B19" s="20" t="s">
        <v>26</v>
      </c>
      <c r="C19" s="8">
        <v>-41.02</v>
      </c>
      <c r="D19" s="6"/>
      <c r="E19" s="9" t="s">
        <v>27</v>
      </c>
      <c r="F19" s="2"/>
      <c r="G19" s="2"/>
      <c r="H19" s="3"/>
      <c r="I19" s="9" t="s">
        <v>28</v>
      </c>
      <c r="J19" s="3"/>
    </row>
    <row r="20">
      <c r="B20" s="15" t="s">
        <v>29</v>
      </c>
      <c r="C20" s="8">
        <v>21.0</v>
      </c>
      <c r="D20" s="19"/>
    </row>
    <row r="21">
      <c r="B21" s="15" t="s">
        <v>30</v>
      </c>
      <c r="C21" s="8">
        <v>20.0</v>
      </c>
      <c r="D21" s="6"/>
    </row>
    <row r="22">
      <c r="B22" s="21" t="s">
        <v>31</v>
      </c>
      <c r="C22" s="22">
        <v>-18.02</v>
      </c>
      <c r="D22" s="6"/>
      <c r="E22" s="9" t="s">
        <v>32</v>
      </c>
      <c r="F22" s="2"/>
      <c r="G22" s="2"/>
      <c r="H22" s="3"/>
      <c r="I22" s="9" t="s">
        <v>33</v>
      </c>
      <c r="J22" s="2"/>
      <c r="K22" s="2"/>
      <c r="L22" s="2"/>
      <c r="M22" s="2"/>
      <c r="N22" s="3"/>
    </row>
    <row r="23">
      <c r="B23" s="15" t="s">
        <v>34</v>
      </c>
      <c r="C23" s="8">
        <v>5.5</v>
      </c>
      <c r="D23" s="19"/>
    </row>
    <row r="24">
      <c r="B24" s="18" t="s">
        <v>35</v>
      </c>
      <c r="C24" s="2"/>
      <c r="D24" s="3"/>
    </row>
    <row r="25">
      <c r="B25" s="15" t="s">
        <v>36</v>
      </c>
      <c r="C25" s="10">
        <v>-25.0</v>
      </c>
      <c r="D25" s="6"/>
      <c r="E25" s="9" t="s">
        <v>37</v>
      </c>
      <c r="F25" s="2"/>
      <c r="G25" s="3"/>
    </row>
    <row r="26">
      <c r="B26" s="20" t="s">
        <v>26</v>
      </c>
      <c r="C26" s="8">
        <v>-41.02</v>
      </c>
      <c r="D26" s="6"/>
    </row>
    <row r="27">
      <c r="B27" s="15" t="s">
        <v>38</v>
      </c>
      <c r="C27" s="8">
        <v>21.5</v>
      </c>
      <c r="D27" s="6"/>
    </row>
    <row r="28">
      <c r="B28" s="15" t="s">
        <v>39</v>
      </c>
      <c r="C28" s="8">
        <v>20.0</v>
      </c>
      <c r="D28" s="6"/>
    </row>
    <row r="29">
      <c r="B29" s="21" t="s">
        <v>40</v>
      </c>
      <c r="C29" s="22">
        <v>-17.52</v>
      </c>
      <c r="D29" s="6"/>
      <c r="E29" s="9" t="s">
        <v>32</v>
      </c>
      <c r="F29" s="2"/>
      <c r="G29" s="2"/>
      <c r="H29" s="3"/>
      <c r="I29" s="9" t="s">
        <v>41</v>
      </c>
      <c r="J29" s="2"/>
      <c r="K29" s="2"/>
      <c r="L29" s="2"/>
      <c r="M29" s="2"/>
      <c r="N29" s="3"/>
    </row>
    <row r="30">
      <c r="B30" s="15" t="s">
        <v>42</v>
      </c>
      <c r="C30" s="8">
        <v>6.0</v>
      </c>
      <c r="D30" s="6"/>
      <c r="E30" s="9" t="s">
        <v>43</v>
      </c>
      <c r="F30" s="2"/>
      <c r="G30" s="2"/>
      <c r="H30" s="3"/>
      <c r="I30" s="23">
        <f>2.5</f>
        <v>2.5</v>
      </c>
    </row>
    <row r="31">
      <c r="B31" s="24" t="s">
        <v>44</v>
      </c>
      <c r="C31" s="13"/>
      <c r="D31" s="6"/>
    </row>
    <row r="32">
      <c r="B32" s="25" t="s">
        <v>19</v>
      </c>
      <c r="C32" s="13"/>
      <c r="D32" s="26"/>
    </row>
    <row r="33">
      <c r="B33" s="25" t="s">
        <v>24</v>
      </c>
      <c r="C33" s="10">
        <v>-28.0</v>
      </c>
      <c r="D33" s="26"/>
    </row>
    <row r="34">
      <c r="B34" s="27" t="s">
        <v>26</v>
      </c>
      <c r="C34" s="10">
        <v>-44.02</v>
      </c>
      <c r="D34" s="6"/>
    </row>
    <row r="35">
      <c r="B35" s="25" t="s">
        <v>45</v>
      </c>
      <c r="C35" s="8">
        <v>25.0</v>
      </c>
      <c r="D35" s="26"/>
    </row>
    <row r="36">
      <c r="B36" s="25" t="s">
        <v>39</v>
      </c>
      <c r="C36" s="10">
        <v>21.5</v>
      </c>
      <c r="D36" s="26"/>
    </row>
    <row r="37">
      <c r="B37" s="27" t="s">
        <v>46</v>
      </c>
      <c r="C37" s="10">
        <v>-19.52</v>
      </c>
      <c r="D37" s="6"/>
      <c r="E37" s="9" t="s">
        <v>32</v>
      </c>
      <c r="F37" s="2"/>
      <c r="G37" s="2"/>
      <c r="H37" s="3"/>
      <c r="I37" s="9" t="s">
        <v>41</v>
      </c>
      <c r="J37" s="2"/>
      <c r="K37" s="2"/>
      <c r="L37" s="2"/>
      <c r="M37" s="2"/>
      <c r="N37" s="3"/>
    </row>
    <row r="38">
      <c r="B38" s="28" t="s">
        <v>47</v>
      </c>
      <c r="C38" s="8">
        <v>5.5</v>
      </c>
      <c r="D38" s="6"/>
    </row>
    <row r="39">
      <c r="B39" s="29" t="s">
        <v>48</v>
      </c>
      <c r="C39" s="30"/>
      <c r="D39" s="30"/>
    </row>
    <row r="40">
      <c r="B40" s="31" t="s">
        <v>49</v>
      </c>
      <c r="C40" s="32">
        <v>0.18</v>
      </c>
      <c r="D40" s="30"/>
    </row>
    <row r="41">
      <c r="B41" s="32" t="s">
        <v>50</v>
      </c>
      <c r="C41" s="32">
        <v>0.185</v>
      </c>
      <c r="D41" s="30"/>
    </row>
    <row r="42">
      <c r="B42" s="32" t="s">
        <v>51</v>
      </c>
      <c r="C42" s="31">
        <v>18.0</v>
      </c>
      <c r="D42" s="30"/>
    </row>
    <row r="43">
      <c r="B43" s="31" t="s">
        <v>52</v>
      </c>
      <c r="C43" s="31">
        <v>0.1</v>
      </c>
      <c r="D43" s="30"/>
    </row>
    <row r="44">
      <c r="B44" s="31" t="s">
        <v>53</v>
      </c>
      <c r="C44" s="32">
        <v>1304.0</v>
      </c>
      <c r="D44" s="32" t="s">
        <v>54</v>
      </c>
    </row>
    <row r="45">
      <c r="B45" s="31" t="s">
        <v>55</v>
      </c>
      <c r="C45" s="32">
        <v>0.093</v>
      </c>
      <c r="D45" s="30"/>
      <c r="H45" s="9" t="s">
        <v>56</v>
      </c>
      <c r="I45" s="2"/>
      <c r="J45" s="2"/>
      <c r="K45" s="3"/>
    </row>
    <row r="46">
      <c r="B46" s="31" t="s">
        <v>57</v>
      </c>
      <c r="C46" s="31">
        <v>85.0</v>
      </c>
      <c r="D46" s="30"/>
    </row>
    <row r="47">
      <c r="B47" s="31" t="s">
        <v>58</v>
      </c>
      <c r="C47" s="31">
        <f>1.8*10^-8</f>
        <v>0.000000018</v>
      </c>
      <c r="D47" s="30"/>
    </row>
    <row r="48">
      <c r="B48" s="31" t="s">
        <v>59</v>
      </c>
      <c r="C48" s="32">
        <v>0.86</v>
      </c>
      <c r="D48" s="30"/>
      <c r="E48" s="9" t="s">
        <v>60</v>
      </c>
      <c r="F48" s="2"/>
      <c r="G48" s="3"/>
    </row>
    <row r="49">
      <c r="B49" s="33" t="s">
        <v>61</v>
      </c>
      <c r="C49" s="34"/>
      <c r="D49" s="34"/>
    </row>
    <row r="50">
      <c r="B50" s="35" t="s">
        <v>62</v>
      </c>
      <c r="C50" s="35">
        <v>20.0</v>
      </c>
      <c r="D50" s="35" t="s">
        <v>63</v>
      </c>
    </row>
    <row r="51">
      <c r="B51" s="35" t="s">
        <v>64</v>
      </c>
      <c r="C51" s="35">
        <v>-340.0</v>
      </c>
      <c r="D51" s="34"/>
    </row>
    <row r="52">
      <c r="B52" s="35" t="s">
        <v>65</v>
      </c>
      <c r="C52" s="35">
        <v>-17.0</v>
      </c>
      <c r="D52" s="34"/>
    </row>
    <row r="53">
      <c r="B53" s="35" t="s">
        <v>66</v>
      </c>
      <c r="C53" s="35">
        <v>2.9</v>
      </c>
      <c r="D53" s="34"/>
    </row>
    <row r="54">
      <c r="B54" s="35" t="s">
        <v>67</v>
      </c>
      <c r="C54" s="35">
        <v>0.6</v>
      </c>
      <c r="D54" s="34"/>
    </row>
    <row r="55">
      <c r="B55" s="36" t="s">
        <v>68</v>
      </c>
      <c r="C55" s="37"/>
      <c r="D55" s="37"/>
    </row>
    <row r="56">
      <c r="B56" s="38" t="s">
        <v>69</v>
      </c>
      <c r="C56" s="38">
        <v>1.0</v>
      </c>
      <c r="D56" s="37"/>
    </row>
    <row r="57">
      <c r="B57" s="38" t="s">
        <v>70</v>
      </c>
      <c r="C57" s="39">
        <v>0.86</v>
      </c>
      <c r="D57" s="37"/>
    </row>
    <row r="58">
      <c r="B58" s="38" t="s">
        <v>71</v>
      </c>
      <c r="C58" s="38">
        <f>-(1550^2)*C42/(2*PI()*300000)</f>
        <v>-22.94218505</v>
      </c>
      <c r="D58" s="37"/>
    </row>
    <row r="59">
      <c r="B59" s="38" t="s">
        <v>72</v>
      </c>
      <c r="C59" s="38">
        <v>40.0</v>
      </c>
      <c r="D59" s="37"/>
    </row>
    <row r="60">
      <c r="B60" s="38" t="s">
        <v>73</v>
      </c>
      <c r="C60" s="38">
        <f>63.1*10^9</f>
        <v>63100000000</v>
      </c>
      <c r="D60" s="37"/>
      <c r="E60" s="9" t="s">
        <v>74</v>
      </c>
      <c r="F60" s="3"/>
    </row>
    <row r="61">
      <c r="B61" s="39" t="s">
        <v>75</v>
      </c>
      <c r="C61" s="38">
        <f>12.5*10^9</f>
        <v>12500000000</v>
      </c>
      <c r="D61" s="37"/>
    </row>
    <row r="63">
      <c r="B63" s="4" t="s">
        <v>76</v>
      </c>
      <c r="C63" s="5" t="s">
        <v>2</v>
      </c>
      <c r="D63" s="6" t="s">
        <v>3</v>
      </c>
    </row>
    <row r="64">
      <c r="B64" s="7" t="s">
        <v>4</v>
      </c>
      <c r="C64" s="8">
        <v>1.0</v>
      </c>
      <c r="D64" s="6"/>
    </row>
    <row r="65">
      <c r="B65" s="7" t="s">
        <v>5</v>
      </c>
      <c r="C65" s="8">
        <v>-9.0</v>
      </c>
      <c r="D65" s="6"/>
    </row>
    <row r="66">
      <c r="B66" s="7" t="s">
        <v>6</v>
      </c>
      <c r="C66" s="8">
        <v>77000.0</v>
      </c>
      <c r="D66" s="6"/>
    </row>
    <row r="67">
      <c r="B67" s="7" t="s">
        <v>77</v>
      </c>
      <c r="C67" s="8">
        <v>-20.0</v>
      </c>
      <c r="D67" s="6"/>
    </row>
    <row r="68">
      <c r="B68" s="7" t="s">
        <v>10</v>
      </c>
      <c r="C68" s="10">
        <v>13.0</v>
      </c>
      <c r="D68" s="6"/>
    </row>
    <row r="69">
      <c r="B69" s="11" t="s">
        <v>11</v>
      </c>
      <c r="C69" s="8">
        <v>38.0</v>
      </c>
      <c r="D69" s="6"/>
    </row>
    <row r="70">
      <c r="B70" s="7" t="s">
        <v>12</v>
      </c>
      <c r="C70" s="8">
        <v>11.8</v>
      </c>
      <c r="D70" s="6"/>
    </row>
    <row r="71">
      <c r="B71" s="11" t="s">
        <v>13</v>
      </c>
      <c r="C71" s="8">
        <v>30.0</v>
      </c>
      <c r="D71" s="6"/>
    </row>
    <row r="72">
      <c r="B72" s="11" t="s">
        <v>15</v>
      </c>
      <c r="C72" s="8">
        <v>11.8</v>
      </c>
      <c r="D72" s="6"/>
    </row>
    <row r="73">
      <c r="B73" s="11" t="s">
        <v>17</v>
      </c>
      <c r="C73" s="10">
        <v>12.5</v>
      </c>
      <c r="D73" s="6"/>
    </row>
    <row r="74">
      <c r="B74" s="14" t="s">
        <v>78</v>
      </c>
      <c r="C74" s="23">
        <f>31.6*10^9</f>
        <v>31600000000</v>
      </c>
    </row>
  </sheetData>
  <mergeCells count="22">
    <mergeCell ref="B2:D2"/>
    <mergeCell ref="E7:F7"/>
    <mergeCell ref="G7:H7"/>
    <mergeCell ref="E11:H11"/>
    <mergeCell ref="E12:F12"/>
    <mergeCell ref="E15:H15"/>
    <mergeCell ref="B17:D17"/>
    <mergeCell ref="I19:J19"/>
    <mergeCell ref="H45:K45"/>
    <mergeCell ref="E48:G48"/>
    <mergeCell ref="E60:F60"/>
    <mergeCell ref="E29:H29"/>
    <mergeCell ref="E37:H37"/>
    <mergeCell ref="I29:N29"/>
    <mergeCell ref="I37:N37"/>
    <mergeCell ref="E18:G18"/>
    <mergeCell ref="E19:H19"/>
    <mergeCell ref="E22:H22"/>
    <mergeCell ref="I22:N22"/>
    <mergeCell ref="B24:D24"/>
    <mergeCell ref="E25:G25"/>
    <mergeCell ref="E30:H3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0"/>
    <col customWidth="1" min="2" max="2" width="23.0"/>
    <col customWidth="1" min="3" max="3" width="22.88"/>
    <col customWidth="1" min="4" max="4" width="27.38"/>
    <col customWidth="1" min="5" max="5" width="21.38"/>
    <col customWidth="1" min="6" max="6" width="20.13"/>
    <col customWidth="1" min="7" max="7" width="15.13"/>
    <col customWidth="1" min="8" max="8" width="24.38"/>
    <col customWidth="1" min="9" max="9" width="26.0"/>
    <col customWidth="1" min="10" max="10" width="26.88"/>
    <col customWidth="1" min="11" max="11" width="25.75"/>
    <col customWidth="1" min="12" max="12" width="15.25"/>
    <col customWidth="1" min="13" max="13" width="16.25"/>
    <col customWidth="1" min="14" max="14" width="17.13"/>
    <col customWidth="1" min="15" max="15" width="23.75"/>
    <col customWidth="1" min="16" max="16" width="25.5"/>
  </cols>
  <sheetData>
    <row r="1">
      <c r="A1" s="40" t="s">
        <v>79</v>
      </c>
      <c r="D1" s="41"/>
      <c r="E1" s="41"/>
      <c r="F1" s="42"/>
      <c r="G1" s="41"/>
      <c r="H1" s="41"/>
      <c r="I1" s="41"/>
      <c r="J1" s="41"/>
      <c r="K1" s="41"/>
      <c r="L1" s="42"/>
      <c r="M1" s="41"/>
      <c r="N1" s="41"/>
      <c r="O1" s="41"/>
      <c r="P1" s="41"/>
      <c r="Q1" s="41"/>
    </row>
    <row r="2">
      <c r="A2" s="43" t="s">
        <v>80</v>
      </c>
      <c r="B2" s="43" t="s">
        <v>81</v>
      </c>
      <c r="C2" s="43" t="s">
        <v>82</v>
      </c>
      <c r="D2" s="43" t="s">
        <v>83</v>
      </c>
      <c r="E2" s="43" t="s">
        <v>84</v>
      </c>
      <c r="F2" s="43" t="s">
        <v>85</v>
      </c>
      <c r="G2" s="43" t="s">
        <v>86</v>
      </c>
      <c r="H2" s="43" t="s">
        <v>87</v>
      </c>
      <c r="I2" s="43" t="s">
        <v>88</v>
      </c>
      <c r="J2" s="43" t="s">
        <v>89</v>
      </c>
      <c r="K2" s="43" t="s">
        <v>90</v>
      </c>
      <c r="L2" s="43" t="s">
        <v>91</v>
      </c>
      <c r="M2" s="43" t="s">
        <v>92</v>
      </c>
      <c r="N2" s="43" t="s">
        <v>93</v>
      </c>
      <c r="O2" s="43" t="s">
        <v>94</v>
      </c>
      <c r="P2" s="43" t="s">
        <v>95</v>
      </c>
      <c r="Q2" s="43" t="s">
        <v>96</v>
      </c>
    </row>
    <row r="3">
      <c r="A3" s="44" t="s">
        <v>97</v>
      </c>
      <c r="B3" s="45"/>
      <c r="C3" s="45"/>
      <c r="D3" s="45"/>
      <c r="E3" s="45"/>
      <c r="F3" s="46">
        <v>400.0</v>
      </c>
      <c r="G3" s="45"/>
      <c r="H3" s="45"/>
      <c r="I3" s="45"/>
      <c r="J3" s="45"/>
      <c r="K3" s="45"/>
      <c r="L3" s="47"/>
      <c r="M3" s="45"/>
      <c r="N3" s="45"/>
      <c r="O3" s="45"/>
      <c r="P3" s="45"/>
      <c r="Q3" s="48"/>
    </row>
    <row r="4">
      <c r="A4" s="49" t="s">
        <v>98</v>
      </c>
      <c r="B4" s="41"/>
      <c r="C4" s="41"/>
      <c r="D4" s="41"/>
      <c r="E4" s="50">
        <f>'Parámetros'!C5</f>
        <v>-9</v>
      </c>
      <c r="F4" s="49"/>
      <c r="G4" s="41"/>
      <c r="H4" s="50">
        <f>'Parámetros'!C9</f>
        <v>38</v>
      </c>
      <c r="I4" s="51">
        <f>10^(H4/10)</f>
        <v>6309.573445</v>
      </c>
      <c r="J4" s="50">
        <f>H4</f>
        <v>38</v>
      </c>
      <c r="K4" s="51">
        <f>10^(J4/10)</f>
        <v>6309.573445</v>
      </c>
      <c r="L4" s="52" t="s">
        <v>99</v>
      </c>
      <c r="M4" s="52" t="s">
        <v>99</v>
      </c>
      <c r="N4" s="52" t="s">
        <v>99</v>
      </c>
      <c r="O4" s="52" t="s">
        <v>99</v>
      </c>
      <c r="P4" s="52" t="s">
        <v>99</v>
      </c>
      <c r="Q4" s="53"/>
    </row>
    <row r="5">
      <c r="A5" s="49" t="s">
        <v>100</v>
      </c>
      <c r="B5" s="41"/>
      <c r="C5" s="41"/>
      <c r="D5" s="50">
        <f>-'Parámetros'!C16</f>
        <v>-10</v>
      </c>
      <c r="E5" s="54">
        <f t="shared" ref="E5:E8" si="1">D5+E4</f>
        <v>-19</v>
      </c>
      <c r="F5" s="55">
        <f>'Parámetros'!C29</f>
        <v>-17.52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56"/>
    </row>
    <row r="6">
      <c r="A6" s="49" t="s">
        <v>101</v>
      </c>
      <c r="B6" s="41"/>
      <c r="C6" s="41"/>
      <c r="D6" s="50">
        <f>'Parámetros'!C27</f>
        <v>21.5</v>
      </c>
      <c r="E6" s="50">
        <f t="shared" si="1"/>
        <v>2.5</v>
      </c>
      <c r="F6" s="49"/>
      <c r="G6" s="41">
        <f>'Parámetros'!C30</f>
        <v>6</v>
      </c>
      <c r="H6" s="57">
        <f>E5+158.9-10*LOG10('Parámetros'!C13*10^9)-G6</f>
        <v>32.93089987</v>
      </c>
      <c r="I6" s="58">
        <f>10^(H6/10)</f>
        <v>1963.767133</v>
      </c>
      <c r="J6" s="58">
        <f>10*LOG10(K6)</f>
        <v>31.75409084</v>
      </c>
      <c r="K6" s="58">
        <f>1/((1/K4)+(1/I6))</f>
        <v>1497.645701</v>
      </c>
      <c r="L6" s="59">
        <f>(2/3)^3*'Parámetros'!C56*('Parámetros'!C57)^2*'No linealidades'!D3*(10^(E7/10)*0.001)^2*LOG10(PI()^2*ABS('Parámetros'!C58*10^(-24))*'No linealidades'!D3*('Parámetros'!C59)^2*'Parámetros'!C60^2)/(PI()*ABS('Parámetros'!C58*10^(-24))*'Parámetros'!C60^3)*'Parámetros'!C13*10^9
</f>
        <v>0.00004902483931</v>
      </c>
      <c r="M6" s="60">
        <f>10*LOG10(N6)</f>
        <v>43.09583821</v>
      </c>
      <c r="N6" s="61">
        <f>1/L6</f>
        <v>20397.82311</v>
      </c>
      <c r="O6" s="60">
        <f t="shared" ref="O6:P6" si="2">M6</f>
        <v>43.09583821</v>
      </c>
      <c r="P6" s="62">
        <f t="shared" si="2"/>
        <v>20397.82311</v>
      </c>
      <c r="Q6" s="63">
        <f>10*LOG10(HARMEAN(K6,P6)/2)</f>
        <v>31.44638657</v>
      </c>
    </row>
    <row r="7">
      <c r="A7" s="49" t="s">
        <v>102</v>
      </c>
      <c r="B7" s="41"/>
      <c r="C7" s="41"/>
      <c r="D7" s="50">
        <v>0.0</v>
      </c>
      <c r="E7" s="50">
        <f t="shared" si="1"/>
        <v>2.5</v>
      </c>
      <c r="F7" s="42"/>
      <c r="G7" s="50"/>
      <c r="H7" s="50"/>
      <c r="I7" s="50"/>
      <c r="J7" s="50"/>
      <c r="K7" s="50"/>
      <c r="L7" s="64"/>
      <c r="M7" s="50"/>
      <c r="N7" s="50"/>
      <c r="O7" s="50"/>
      <c r="P7" s="50"/>
      <c r="Q7" s="56"/>
    </row>
    <row r="8">
      <c r="A8" s="65" t="s">
        <v>103</v>
      </c>
      <c r="B8" s="66">
        <v>80.0</v>
      </c>
      <c r="C8" s="66">
        <f>'Parámetros'!C41</f>
        <v>0.185</v>
      </c>
      <c r="D8" s="66">
        <f>-B8*C8</f>
        <v>-14.8</v>
      </c>
      <c r="E8" s="66">
        <f t="shared" si="1"/>
        <v>-12.3</v>
      </c>
      <c r="F8" s="65" t="str">
        <f>IF(E8&gt;='Parámetros'!C18,"V","F")</f>
        <v>V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56"/>
    </row>
    <row r="9">
      <c r="A9" s="44" t="s">
        <v>104</v>
      </c>
      <c r="B9" s="45"/>
      <c r="C9" s="45"/>
      <c r="D9" s="45"/>
      <c r="E9" s="45"/>
      <c r="F9" s="47"/>
      <c r="G9" s="45"/>
      <c r="H9" s="45"/>
      <c r="I9" s="45"/>
      <c r="J9" s="45"/>
      <c r="K9" s="45"/>
      <c r="L9" s="45"/>
      <c r="M9" s="45"/>
      <c r="N9" s="45"/>
      <c r="O9" s="45"/>
      <c r="P9" s="45"/>
      <c r="Q9" s="56"/>
    </row>
    <row r="10">
      <c r="A10" s="49" t="s">
        <v>105</v>
      </c>
      <c r="B10" s="41"/>
      <c r="C10" s="41"/>
      <c r="D10" s="50">
        <f>-(E8+'Parámetros'!H18)</f>
        <v>-6.5</v>
      </c>
      <c r="E10" s="54">
        <f>E8+D10</f>
        <v>-18.8</v>
      </c>
      <c r="F10" s="68">
        <f>'Parámetros'!C22</f>
        <v>-18.02</v>
      </c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56"/>
    </row>
    <row r="11">
      <c r="A11" s="49" t="s">
        <v>106</v>
      </c>
      <c r="B11" s="41"/>
      <c r="C11" s="41"/>
      <c r="D11" s="50">
        <f>'Parámetros'!C20</f>
        <v>21</v>
      </c>
      <c r="E11" s="50">
        <f t="shared" ref="E11:E16" si="3">D11+E10</f>
        <v>2.2</v>
      </c>
      <c r="F11" s="49"/>
      <c r="G11" s="41">
        <f>'Parámetros'!C23</f>
        <v>5.5</v>
      </c>
      <c r="H11" s="57">
        <f>E10+158.9-10*LOG10('Parámetros'!C13*10^9)-G11</f>
        <v>33.63089987</v>
      </c>
      <c r="I11" s="57">
        <f>10^(H11/10)</f>
        <v>2307.225203</v>
      </c>
      <c r="J11" s="57">
        <f>10*LOG10(K11)</f>
        <v>29.58159145</v>
      </c>
      <c r="K11" s="57">
        <f>1/(1/I11+1/K6)</f>
        <v>908.1532577</v>
      </c>
      <c r="L11" s="52" t="s">
        <v>99</v>
      </c>
      <c r="M11" s="52" t="s">
        <v>99</v>
      </c>
      <c r="N11" s="52" t="s">
        <v>99</v>
      </c>
      <c r="O11" s="52" t="s">
        <v>99</v>
      </c>
      <c r="P11" s="52" t="s">
        <v>99</v>
      </c>
      <c r="Q11" s="63">
        <f>10*LOG10(HARMEAN(K11,P6)/2)</f>
        <v>29.39241525</v>
      </c>
    </row>
    <row r="12">
      <c r="A12" s="49" t="s">
        <v>107</v>
      </c>
      <c r="B12" s="41"/>
      <c r="C12" s="41"/>
      <c r="D12" s="50">
        <f>-'Parámetros'!C16</f>
        <v>-10</v>
      </c>
      <c r="E12" s="50">
        <f t="shared" si="3"/>
        <v>-7.8</v>
      </c>
      <c r="F12" s="42"/>
      <c r="G12" s="50"/>
      <c r="H12" s="50"/>
      <c r="I12" s="50"/>
      <c r="J12" s="50"/>
      <c r="K12" s="50"/>
      <c r="L12" s="41"/>
      <c r="M12" s="41"/>
      <c r="N12" s="41"/>
      <c r="O12" s="41"/>
      <c r="P12" s="41"/>
      <c r="Q12" s="56"/>
    </row>
    <row r="13">
      <c r="A13" s="49" t="s">
        <v>108</v>
      </c>
      <c r="B13" s="41"/>
      <c r="C13" s="41"/>
      <c r="D13" s="50">
        <f>-'Parámetros'!C16</f>
        <v>-10</v>
      </c>
      <c r="E13" s="54">
        <f t="shared" si="3"/>
        <v>-17.8</v>
      </c>
      <c r="F13" s="69">
        <f>'Parámetros'!C29</f>
        <v>-17.52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56"/>
    </row>
    <row r="14">
      <c r="A14" s="49" t="s">
        <v>101</v>
      </c>
      <c r="B14" s="41"/>
      <c r="C14" s="41"/>
      <c r="D14" s="50">
        <f>'Parámetros'!C27</f>
        <v>21.5</v>
      </c>
      <c r="E14" s="50">
        <f t="shared" si="3"/>
        <v>3.7</v>
      </c>
      <c r="F14" s="42"/>
      <c r="G14" s="41">
        <f>'Parámetros'!C30</f>
        <v>6</v>
      </c>
      <c r="H14" s="57">
        <f>E13+158.9-10*LOG10('Parámetros'!C13*10^9)-G14</f>
        <v>34.13089987</v>
      </c>
      <c r="I14" s="57">
        <f>10^(H14/10)</f>
        <v>2588.749255</v>
      </c>
      <c r="J14" s="57">
        <f>10*LOG10(K14)</f>
        <v>28.27565607</v>
      </c>
      <c r="K14" s="57">
        <f>1/(1/I14+1/K11)</f>
        <v>672.3038635</v>
      </c>
      <c r="L14" s="59">
        <f>(2/3)^3*'Parámetros'!C56*('Parámetros'!C57)^2*'No linealidades'!D4*(10^(E15/10)*0.001)^2*LOG10(PI()^2*ABS('Parámetros'!C58*10^(-24))*'No linealidades'!D4*('Parámetros'!C59)^2*'Parámetros'!C60^2)/(PI()*ABS('Parámetros'!C58*10^(-24))*'Parámetros'!C60^3)*'Parámetros'!C13*10^9
</f>
        <v>0.00001985679163</v>
      </c>
      <c r="M14" s="60">
        <f>10*LOG10(N14)</f>
        <v>47.02090921</v>
      </c>
      <c r="N14" s="61">
        <f>1/L14</f>
        <v>50360.60298</v>
      </c>
      <c r="O14" s="70">
        <f>10*LOG10(P14)</f>
        <v>41.61896578</v>
      </c>
      <c r="P14" s="62">
        <f>HARMEAN(N6,N14)/2</f>
        <v>14517.65857</v>
      </c>
      <c r="Q14" s="56">
        <f>10*LOG10(HARMEAN(K14,P14)/2)</f>
        <v>28.07905486</v>
      </c>
    </row>
    <row r="15">
      <c r="A15" s="49" t="s">
        <v>102</v>
      </c>
      <c r="B15" s="41"/>
      <c r="C15" s="41"/>
      <c r="D15" s="50">
        <f>-(E14-'Parámetros'!I30)</f>
        <v>-1.2</v>
      </c>
      <c r="E15" s="50">
        <f t="shared" si="3"/>
        <v>2.5</v>
      </c>
      <c r="F15" s="49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56"/>
    </row>
    <row r="16">
      <c r="A16" s="65" t="s">
        <v>103</v>
      </c>
      <c r="B16" s="66">
        <v>13.0</v>
      </c>
      <c r="C16" s="66">
        <f>'Parámetros'!C41</f>
        <v>0.185</v>
      </c>
      <c r="D16" s="66">
        <f>-B16*C16</f>
        <v>-2.405</v>
      </c>
      <c r="E16" s="66">
        <f t="shared" si="3"/>
        <v>0.095</v>
      </c>
      <c r="F16" s="65" t="str">
        <f>IF(E16&gt;='Parámetros'!C18,"V","F")</f>
        <v>V</v>
      </c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56"/>
    </row>
    <row r="17">
      <c r="A17" s="44" t="s">
        <v>109</v>
      </c>
      <c r="B17" s="45"/>
      <c r="C17" s="45"/>
      <c r="D17" s="45"/>
      <c r="E17" s="45"/>
      <c r="F17" s="47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56"/>
    </row>
    <row r="18">
      <c r="A18" s="49" t="s">
        <v>105</v>
      </c>
      <c r="B18" s="41"/>
      <c r="C18" s="41"/>
      <c r="D18" s="50">
        <f>-(E16+'Parámetros'!H18)</f>
        <v>-18.895</v>
      </c>
      <c r="E18" s="54">
        <f>E16+D18</f>
        <v>-18.8</v>
      </c>
      <c r="F18" s="68">
        <f>'Parámetros'!C22</f>
        <v>-18.02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56"/>
    </row>
    <row r="19">
      <c r="A19" s="49" t="s">
        <v>106</v>
      </c>
      <c r="B19" s="41"/>
      <c r="C19" s="41"/>
      <c r="D19" s="50">
        <f>'Parámetros'!C20</f>
        <v>21</v>
      </c>
      <c r="E19" s="50">
        <f t="shared" ref="E19:E24" si="4">D19+E18</f>
        <v>2.2</v>
      </c>
      <c r="F19" s="42"/>
      <c r="G19" s="50">
        <f>'Parámetros'!C23</f>
        <v>5.5</v>
      </c>
      <c r="H19" s="71">
        <f>E18+158.9-10*LOG10('Parámetros'!C13*10^9)-G19</f>
        <v>33.63089987</v>
      </c>
      <c r="I19" s="71">
        <f>10^(H19/10)</f>
        <v>2307.225203</v>
      </c>
      <c r="J19" s="71">
        <f>10*LOG10(K19)</f>
        <v>27.16507968</v>
      </c>
      <c r="K19" s="71">
        <f>1/(1/I19+1/K14)</f>
        <v>520.6045597</v>
      </c>
      <c r="L19" s="52" t="s">
        <v>99</v>
      </c>
      <c r="M19" s="52" t="s">
        <v>99</v>
      </c>
      <c r="N19" s="52" t="s">
        <v>99</v>
      </c>
      <c r="O19" s="52" t="s">
        <v>99</v>
      </c>
      <c r="P19" s="52" t="s">
        <v>99</v>
      </c>
      <c r="Q19" s="63">
        <f>10*LOG10(HARMEAN(K19,P14)/2)</f>
        <v>27.01206866</v>
      </c>
    </row>
    <row r="20">
      <c r="A20" s="49" t="s">
        <v>107</v>
      </c>
      <c r="B20" s="41"/>
      <c r="C20" s="41"/>
      <c r="D20" s="50">
        <f>-'Parámetros'!C16</f>
        <v>-10</v>
      </c>
      <c r="E20" s="50">
        <f t="shared" si="4"/>
        <v>-7.8</v>
      </c>
      <c r="F20" s="42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56"/>
    </row>
    <row r="21">
      <c r="A21" s="49" t="s">
        <v>108</v>
      </c>
      <c r="B21" s="41"/>
      <c r="C21" s="41"/>
      <c r="D21" s="50">
        <f>-'Parámetros'!C16</f>
        <v>-10</v>
      </c>
      <c r="E21" s="54">
        <f t="shared" si="4"/>
        <v>-17.8</v>
      </c>
      <c r="F21" s="69">
        <f>'Parámetros'!C29</f>
        <v>-17.52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56"/>
    </row>
    <row r="22">
      <c r="A22" s="49" t="s">
        <v>101</v>
      </c>
      <c r="B22" s="41"/>
      <c r="C22" s="41"/>
      <c r="D22" s="50">
        <f>'Parámetros'!C27</f>
        <v>21.5</v>
      </c>
      <c r="E22" s="50">
        <f t="shared" si="4"/>
        <v>3.7</v>
      </c>
      <c r="F22" s="49"/>
      <c r="G22" s="41">
        <f>'Parámetros'!C30</f>
        <v>6</v>
      </c>
      <c r="H22" s="57">
        <f>E21+158.9-10*LOG10('Parámetros'!C13*10^9)-G22</f>
        <v>34.13089987</v>
      </c>
      <c r="I22" s="57">
        <f>10^(H22/10)</f>
        <v>2588.749255</v>
      </c>
      <c r="J22" s="57">
        <f>10*LOG10(K22)</f>
        <v>26.36927811</v>
      </c>
      <c r="K22" s="57">
        <f>1/(1/I22+1/K19)</f>
        <v>433.4388257</v>
      </c>
      <c r="L22" s="59">
        <f>(2/3)^3*'Parámetros'!C56*('Parámetros'!C57)^2*'No linealidades'!D5*(10^(E23/10)*0.001)^2*LOG10(PI()^2*ABS('Parámetros'!C58*10^(-24))*'No linealidades'!D5*('Parámetros'!C59)^2*'Parámetros'!C60^2)/(PI()*ABS('Parámetros'!C58*10^(-24))*'Parámetros'!C60^3)*'Parámetros'!C13*10^9
</f>
        <v>0.00004766479222</v>
      </c>
      <c r="M22" s="72">
        <f>10*LOG10(N22)</f>
        <v>43.21802296</v>
      </c>
      <c r="N22" s="72">
        <f>1/L22</f>
        <v>20979.84599</v>
      </c>
      <c r="O22" s="72">
        <f>10*LOG10(P22)</f>
        <v>39.33501051</v>
      </c>
      <c r="P22" s="73">
        <f>HARMEAN(N6,N14,N22)/3</f>
        <v>8580.271902</v>
      </c>
      <c r="Q22" s="56">
        <f>10*LOG10(HARMEAN(K22,P22)/2)</f>
        <v>26.15525245</v>
      </c>
    </row>
    <row r="23">
      <c r="A23" s="49" t="s">
        <v>102</v>
      </c>
      <c r="B23" s="41"/>
      <c r="C23" s="41"/>
      <c r="D23" s="50">
        <f>-(E22-'Parámetros'!I30)</f>
        <v>-1.2</v>
      </c>
      <c r="E23" s="50">
        <f t="shared" si="4"/>
        <v>2.5</v>
      </c>
      <c r="F23" s="42"/>
      <c r="G23" s="50"/>
      <c r="H23" s="50"/>
      <c r="I23" s="50"/>
      <c r="J23" s="50"/>
      <c r="K23" s="50"/>
      <c r="L23" s="64"/>
      <c r="M23" s="50"/>
      <c r="N23" s="50"/>
      <c r="O23" s="50"/>
      <c r="P23" s="50"/>
      <c r="Q23" s="56"/>
    </row>
    <row r="24">
      <c r="A24" s="65" t="s">
        <v>103</v>
      </c>
      <c r="B24" s="66">
        <v>67.0</v>
      </c>
      <c r="C24" s="66">
        <f>'Parámetros'!C41</f>
        <v>0.185</v>
      </c>
      <c r="D24" s="66">
        <f>-B24*C24</f>
        <v>-12.395</v>
      </c>
      <c r="E24" s="66">
        <f t="shared" si="4"/>
        <v>-9.895</v>
      </c>
      <c r="F24" s="65" t="str">
        <f>IF(E24&gt;='Parámetros'!C18,"V","F")</f>
        <v>V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56"/>
    </row>
    <row r="25">
      <c r="A25" s="44" t="s">
        <v>110</v>
      </c>
      <c r="B25" s="45"/>
      <c r="C25" s="45"/>
      <c r="D25" s="45"/>
      <c r="E25" s="45"/>
      <c r="F25" s="47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56"/>
    </row>
    <row r="26">
      <c r="A26" s="49" t="s">
        <v>105</v>
      </c>
      <c r="B26" s="41"/>
      <c r="C26" s="41"/>
      <c r="D26" s="50">
        <f>-(E24+'Parámetros'!H18)</f>
        <v>-8.905</v>
      </c>
      <c r="E26" s="54">
        <f>E24+D26</f>
        <v>-18.8</v>
      </c>
      <c r="F26" s="68">
        <f>'Parámetros'!C22</f>
        <v>-18.02</v>
      </c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56"/>
    </row>
    <row r="27">
      <c r="A27" s="49" t="s">
        <v>106</v>
      </c>
      <c r="B27" s="41"/>
      <c r="C27" s="41"/>
      <c r="D27" s="50">
        <f>'Parámetros'!C20</f>
        <v>21</v>
      </c>
      <c r="E27" s="50">
        <f t="shared" ref="E27:E32" si="5">D27+E26</f>
        <v>2.2</v>
      </c>
      <c r="F27" s="42"/>
      <c r="G27" s="50">
        <f>'Parámetros'!C23</f>
        <v>5.5</v>
      </c>
      <c r="H27" s="71">
        <f>E26+158.9-10*LOG10('Parámetros'!C13*10^9)-G27</f>
        <v>33.63089987</v>
      </c>
      <c r="I27" s="71">
        <f>10^(H27/10)</f>
        <v>2307.225203</v>
      </c>
      <c r="J27" s="71">
        <f>10*LOG10(K27)</f>
        <v>25.62161998</v>
      </c>
      <c r="K27" s="71">
        <f>1/(1/I27+1/K22)</f>
        <v>364.8900311</v>
      </c>
      <c r="L27" s="52" t="s">
        <v>99</v>
      </c>
      <c r="M27" s="52" t="s">
        <v>99</v>
      </c>
      <c r="N27" s="52" t="s">
        <v>99</v>
      </c>
      <c r="O27" s="52" t="s">
        <v>99</v>
      </c>
      <c r="P27" s="52" t="s">
        <v>99</v>
      </c>
      <c r="Q27" s="63">
        <f>10*LOG10(HARMEAN(K27,P22)/2)</f>
        <v>25.44074842</v>
      </c>
    </row>
    <row r="28">
      <c r="A28" s="49" t="s">
        <v>107</v>
      </c>
      <c r="B28" s="41"/>
      <c r="C28" s="41"/>
      <c r="D28" s="50">
        <f>-'Parámetros'!C16</f>
        <v>-10</v>
      </c>
      <c r="E28" s="50">
        <f t="shared" si="5"/>
        <v>-7.8</v>
      </c>
      <c r="F28" s="42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56"/>
    </row>
    <row r="29">
      <c r="A29" s="49" t="s">
        <v>108</v>
      </c>
      <c r="B29" s="41"/>
      <c r="C29" s="41"/>
      <c r="D29" s="50">
        <f>-'Parámetros'!C16</f>
        <v>-10</v>
      </c>
      <c r="E29" s="54">
        <f t="shared" si="5"/>
        <v>-17.8</v>
      </c>
      <c r="F29" s="69">
        <f>'Parámetros'!C29</f>
        <v>-17.52</v>
      </c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56"/>
    </row>
    <row r="30">
      <c r="A30" s="49" t="s">
        <v>101</v>
      </c>
      <c r="B30" s="41"/>
      <c r="C30" s="41"/>
      <c r="D30" s="50">
        <f>'Parámetros'!C27</f>
        <v>21.5</v>
      </c>
      <c r="E30" s="50">
        <f t="shared" si="5"/>
        <v>3.7</v>
      </c>
      <c r="F30" s="49"/>
      <c r="G30" s="41">
        <f>'Parámetros'!C30</f>
        <v>6</v>
      </c>
      <c r="H30" s="57">
        <f>E29+158.9-10*LOG10('Parámetros'!C13*10^9)-G30</f>
        <v>34.13089987</v>
      </c>
      <c r="I30" s="57">
        <f>10^(H30/10)</f>
        <v>2588.749255</v>
      </c>
      <c r="J30" s="74">
        <f>10*LOG10(K30)</f>
        <v>25.04894529</v>
      </c>
      <c r="K30" s="57">
        <f>1/(1/I30+1/K27)</f>
        <v>319.8118337</v>
      </c>
      <c r="L30" s="59">
        <f>(2/3)^3*'Parámetros'!C56*('Parámetros'!C57)^2*'No linealidades'!D6*(10^(E31/10)*0.001)^2*LOG10(PI()^2*ABS('Parámetros'!C58*10^(-24))*'No linealidades'!D6*('Parámetros'!C59)^2*'Parámetros'!C60^2)/(PI()*ABS('Parámetros'!C58*10^(-24))*'Parámetros'!C60^3)*'Parámetros'!C13*10^9
</f>
        <v>0.00003791659751</v>
      </c>
      <c r="M30" s="72">
        <f>10*LOG10(N30)</f>
        <v>44.21170641</v>
      </c>
      <c r="N30" s="72">
        <f>1/L30</f>
        <v>26373.67447</v>
      </c>
      <c r="O30" s="72">
        <f>10*LOG10(P30)</f>
        <v>38.11175476</v>
      </c>
      <c r="P30" s="73">
        <f>HARMEAN(N6,N14,N22,N30)/4</f>
        <v>6474.041461</v>
      </c>
      <c r="Q30" s="56">
        <f>10*LOG10(HARMEAN(K30,P30)/2)</f>
        <v>24.83953841</v>
      </c>
    </row>
    <row r="31">
      <c r="A31" s="49" t="s">
        <v>102</v>
      </c>
      <c r="B31" s="41"/>
      <c r="C31" s="41"/>
      <c r="D31" s="50">
        <f>-(E30-'Parámetros'!I30)</f>
        <v>-1.2</v>
      </c>
      <c r="E31" s="50">
        <f t="shared" si="5"/>
        <v>2.5</v>
      </c>
      <c r="F31" s="42"/>
      <c r="G31" s="50"/>
      <c r="H31" s="50"/>
      <c r="I31" s="50"/>
      <c r="J31" s="50"/>
      <c r="K31" s="50"/>
      <c r="L31" s="64"/>
      <c r="M31" s="50"/>
      <c r="N31" s="50"/>
      <c r="O31" s="50"/>
      <c r="P31" s="50"/>
      <c r="Q31" s="56"/>
    </row>
    <row r="32">
      <c r="A32" s="65" t="s">
        <v>103</v>
      </c>
      <c r="B32" s="66">
        <v>34.0</v>
      </c>
      <c r="C32" s="66">
        <f>'Parámetros'!C41</f>
        <v>0.185</v>
      </c>
      <c r="D32" s="66">
        <f>-B32*C32</f>
        <v>-6.29</v>
      </c>
      <c r="E32" s="66">
        <f t="shared" si="5"/>
        <v>-3.79</v>
      </c>
      <c r="F32" s="65" t="str">
        <f>IF(E32&gt;='Parámetros'!C18,"V","F")</f>
        <v>V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56"/>
    </row>
    <row r="33">
      <c r="A33" s="44" t="s">
        <v>111</v>
      </c>
      <c r="B33" s="45"/>
      <c r="C33" s="45"/>
      <c r="D33" s="45"/>
      <c r="E33" s="45"/>
      <c r="F33" s="47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56"/>
    </row>
    <row r="34">
      <c r="A34" s="49" t="s">
        <v>105</v>
      </c>
      <c r="B34" s="41"/>
      <c r="C34" s="41"/>
      <c r="D34" s="50">
        <f>-(E32+'Parámetros'!H18)</f>
        <v>-15.01</v>
      </c>
      <c r="E34" s="54">
        <f>D34+E32</f>
        <v>-18.8</v>
      </c>
      <c r="F34" s="68">
        <f>'Parámetros'!C22</f>
        <v>-18.02</v>
      </c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56"/>
    </row>
    <row r="35">
      <c r="A35" s="49" t="s">
        <v>106</v>
      </c>
      <c r="B35" s="41"/>
      <c r="C35" s="41"/>
      <c r="D35" s="50">
        <f>'Parámetros'!C20</f>
        <v>21</v>
      </c>
      <c r="E35" s="50">
        <f t="shared" ref="E35:E40" si="6">D35+E34</f>
        <v>2.2</v>
      </c>
      <c r="F35" s="42"/>
      <c r="G35" s="50">
        <f>'Parámetros'!C23</f>
        <v>5.5</v>
      </c>
      <c r="H35" s="71">
        <f>E34+158.9-10*LOG10('Parámetros'!C13*10^9)-G35</f>
        <v>33.63089987</v>
      </c>
      <c r="I35" s="71">
        <f>10^(H35/10)</f>
        <v>2307.225203</v>
      </c>
      <c r="J35" s="71">
        <f>10*LOG10(K35)</f>
        <v>24.48518321</v>
      </c>
      <c r="K35" s="71">
        <f>1/(1/I35+1/K30)</f>
        <v>280.878386</v>
      </c>
      <c r="L35" s="52" t="s">
        <v>99</v>
      </c>
      <c r="M35" s="52" t="s">
        <v>99</v>
      </c>
      <c r="N35" s="52" t="s">
        <v>99</v>
      </c>
      <c r="O35" s="52" t="s">
        <v>99</v>
      </c>
      <c r="P35" s="52" t="s">
        <v>99</v>
      </c>
      <c r="Q35" s="63">
        <f>10*LOG10(HARMEAN(K35,P30)/2)</f>
        <v>24.30073597</v>
      </c>
    </row>
    <row r="36">
      <c r="A36" s="49" t="s">
        <v>107</v>
      </c>
      <c r="B36" s="41"/>
      <c r="C36" s="41"/>
      <c r="D36" s="50">
        <f>-'Parámetros'!C16</f>
        <v>-10</v>
      </c>
      <c r="E36" s="50">
        <f t="shared" si="6"/>
        <v>-7.8</v>
      </c>
      <c r="F36" s="42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56"/>
    </row>
    <row r="37">
      <c r="A37" s="49" t="s">
        <v>108</v>
      </c>
      <c r="B37" s="41"/>
      <c r="C37" s="41"/>
      <c r="D37" s="50">
        <f>-'Parámetros'!C16</f>
        <v>-10</v>
      </c>
      <c r="E37" s="54">
        <f t="shared" si="6"/>
        <v>-17.8</v>
      </c>
      <c r="F37" s="69">
        <f>'Parámetros'!C29</f>
        <v>-17.52</v>
      </c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56"/>
    </row>
    <row r="38">
      <c r="A38" s="49" t="s">
        <v>101</v>
      </c>
      <c r="B38" s="41"/>
      <c r="C38" s="41"/>
      <c r="D38" s="50">
        <f>'Parámetros'!C27</f>
        <v>21.5</v>
      </c>
      <c r="E38" s="50">
        <f t="shared" si="6"/>
        <v>3.7</v>
      </c>
      <c r="F38" s="49"/>
      <c r="G38" s="41">
        <f>'Parámetros'!C30</f>
        <v>6</v>
      </c>
      <c r="H38" s="57">
        <f>E37+158.9-10*LOG10('Parámetros'!C13*10^9)-G38</f>
        <v>34.13089987</v>
      </c>
      <c r="I38" s="57">
        <f>10^(H38/10)</f>
        <v>2588.749255</v>
      </c>
      <c r="J38" s="57">
        <f>10*LOG10(K38)</f>
        <v>24.03782761</v>
      </c>
      <c r="K38" s="57">
        <f>1/(1/I38+1/K35)</f>
        <v>253.3860847</v>
      </c>
      <c r="L38" s="59">
        <f>(2/3)^3*'Parámetros'!C56*('Parámetros'!C57)^2*'No linealidades'!D7*(10^(E39/10)*0.001)^2*LOG10(PI()^2*ABS('Parámetros'!C58*10^(-24))*'No linealidades'!D7*('Parámetros'!C59)^2*'Parámetros'!C60^2)/(PI()*ABS('Parámetros'!C58*10^(-24))*'Parámetros'!C60^3)*'Parámetros'!C13*10^9
</f>
        <v>0.00004868303593</v>
      </c>
      <c r="M38" s="72">
        <f>10*LOG10(N38)</f>
        <v>43.12622346</v>
      </c>
      <c r="N38" s="72">
        <f>1/L38</f>
        <v>20541.03613</v>
      </c>
      <c r="O38" s="72">
        <f>10*LOG10(P38)</f>
        <v>37.14265463</v>
      </c>
      <c r="P38" s="73">
        <f>HARMEAN(N6,N14,N22,N30)/5</f>
        <v>5179.233169</v>
      </c>
      <c r="Q38" s="56">
        <f>10*LOG10(HARMEAN(K38,P38)/2)</f>
        <v>23.83038956</v>
      </c>
    </row>
    <row r="39">
      <c r="A39" s="49" t="s">
        <v>102</v>
      </c>
      <c r="B39" s="41"/>
      <c r="C39" s="41"/>
      <c r="D39" s="50">
        <f>-(E38-'Parámetros'!I30)</f>
        <v>-1.2</v>
      </c>
      <c r="E39" s="50">
        <f t="shared" si="6"/>
        <v>2.5</v>
      </c>
      <c r="F39" s="42"/>
      <c r="G39" s="50"/>
      <c r="H39" s="50"/>
      <c r="I39" s="50"/>
      <c r="J39" s="50"/>
      <c r="K39" s="50"/>
      <c r="L39" s="64"/>
      <c r="M39" s="50"/>
      <c r="N39" s="50"/>
      <c r="O39" s="50"/>
      <c r="P39" s="50"/>
      <c r="Q39" s="56"/>
    </row>
    <row r="40">
      <c r="A40" s="65" t="s">
        <v>103</v>
      </c>
      <c r="B40" s="66">
        <v>76.0</v>
      </c>
      <c r="C40" s="66">
        <f>'Parámetros'!C41</f>
        <v>0.185</v>
      </c>
      <c r="D40" s="66">
        <f>-B40*C40</f>
        <v>-14.06</v>
      </c>
      <c r="E40" s="66">
        <f t="shared" si="6"/>
        <v>-11.56</v>
      </c>
      <c r="F40" s="65" t="str">
        <f>IF(E40&gt;='Parámetros'!C18,"V","F")</f>
        <v>V</v>
      </c>
      <c r="G40" s="67"/>
      <c r="H40" s="67"/>
      <c r="I40" s="75"/>
      <c r="J40" s="67"/>
      <c r="K40" s="67"/>
      <c r="L40" s="67"/>
      <c r="M40" s="67"/>
      <c r="N40" s="67"/>
      <c r="O40" s="67"/>
      <c r="P40" s="67"/>
      <c r="Q40" s="56"/>
    </row>
    <row r="41">
      <c r="A41" s="44" t="s">
        <v>112</v>
      </c>
      <c r="B41" s="45"/>
      <c r="C41" s="45"/>
      <c r="D41" s="45"/>
      <c r="E41" s="45"/>
      <c r="F41" s="47"/>
      <c r="G41" s="45"/>
      <c r="H41" s="45"/>
      <c r="I41" s="76"/>
      <c r="J41" s="45"/>
      <c r="K41" s="45"/>
      <c r="L41" s="45"/>
      <c r="M41" s="45"/>
      <c r="N41" s="45"/>
      <c r="O41" s="45"/>
      <c r="P41" s="45"/>
      <c r="Q41" s="56"/>
    </row>
    <row r="42">
      <c r="A42" s="49" t="s">
        <v>105</v>
      </c>
      <c r="B42" s="41"/>
      <c r="C42" s="41"/>
      <c r="D42" s="50">
        <f>-(E40+'Parámetros'!H18)</f>
        <v>-7.24</v>
      </c>
      <c r="E42" s="54">
        <f>E40+D42</f>
        <v>-18.8</v>
      </c>
      <c r="F42" s="68">
        <f>'Parámetros'!C22</f>
        <v>-18.02</v>
      </c>
      <c r="G42" s="41"/>
      <c r="H42" s="41"/>
      <c r="I42" s="77"/>
      <c r="J42" s="41"/>
      <c r="K42" s="41"/>
      <c r="L42" s="41"/>
      <c r="M42" s="41"/>
      <c r="N42" s="41"/>
      <c r="O42" s="41"/>
      <c r="P42" s="41"/>
      <c r="Q42" s="56"/>
    </row>
    <row r="43">
      <c r="A43" s="49" t="s">
        <v>106</v>
      </c>
      <c r="B43" s="41"/>
      <c r="C43" s="41"/>
      <c r="D43" s="50">
        <f>'Parámetros'!C20</f>
        <v>21</v>
      </c>
      <c r="E43" s="50">
        <f t="shared" ref="E43:E48" si="7">D43+E42</f>
        <v>2.2</v>
      </c>
      <c r="F43" s="42"/>
      <c r="G43" s="50">
        <f>'Parámetros'!C23</f>
        <v>5.5</v>
      </c>
      <c r="H43" s="71">
        <f>E42+158.9-10*LOG10('Parámetros'!C13*10^9)-G43</f>
        <v>33.63089987</v>
      </c>
      <c r="I43" s="71">
        <f>10^(H43/10)</f>
        <v>2307.225203</v>
      </c>
      <c r="J43" s="71">
        <f>10*LOG10(K43)</f>
        <v>23.58529092</v>
      </c>
      <c r="K43" s="71">
        <f>1/(1/I43+1/K38)</f>
        <v>228.3121861</v>
      </c>
      <c r="L43" s="52" t="s">
        <v>99</v>
      </c>
      <c r="M43" s="52" t="s">
        <v>99</v>
      </c>
      <c r="N43" s="52" t="s">
        <v>99</v>
      </c>
      <c r="O43" s="52" t="s">
        <v>99</v>
      </c>
      <c r="P43" s="52" t="s">
        <v>99</v>
      </c>
      <c r="Q43" s="63">
        <f>10*LOG10(HARMEAN(K43,P38)/2)</f>
        <v>23.39794385</v>
      </c>
    </row>
    <row r="44">
      <c r="A44" s="49" t="s">
        <v>107</v>
      </c>
      <c r="B44" s="41"/>
      <c r="C44" s="41"/>
      <c r="D44" s="50">
        <f>-'Parámetros'!C16</f>
        <v>-10</v>
      </c>
      <c r="E44" s="50">
        <f t="shared" si="7"/>
        <v>-7.8</v>
      </c>
      <c r="F44" s="42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56"/>
    </row>
    <row r="45">
      <c r="A45" s="49" t="s">
        <v>108</v>
      </c>
      <c r="B45" s="41"/>
      <c r="C45" s="41"/>
      <c r="D45" s="50">
        <f>-'Parámetros'!C16</f>
        <v>-10</v>
      </c>
      <c r="E45" s="54">
        <f t="shared" si="7"/>
        <v>-17.8</v>
      </c>
      <c r="F45" s="69">
        <f>'Parámetros'!C29</f>
        <v>-17.52</v>
      </c>
      <c r="G45" s="41"/>
      <c r="H45" s="41"/>
      <c r="I45" s="77"/>
      <c r="J45" s="41"/>
      <c r="K45" s="41"/>
      <c r="L45" s="41"/>
      <c r="M45" s="41"/>
      <c r="N45" s="41"/>
      <c r="O45" s="41"/>
      <c r="P45" s="41"/>
      <c r="Q45" s="56"/>
    </row>
    <row r="46">
      <c r="A46" s="49" t="s">
        <v>101</v>
      </c>
      <c r="B46" s="41"/>
      <c r="C46" s="41"/>
      <c r="D46" s="50">
        <f>'Parámetros'!C27</f>
        <v>21.5</v>
      </c>
      <c r="E46" s="50">
        <f t="shared" si="7"/>
        <v>3.7</v>
      </c>
      <c r="F46" s="49"/>
      <c r="G46" s="41">
        <f>'Parámetros'!C30</f>
        <v>6</v>
      </c>
      <c r="H46" s="57">
        <f>E45+158.9-10*LOG10('Parámetros'!C13*10^9)-G46</f>
        <v>34.13089987</v>
      </c>
      <c r="I46" s="57">
        <f>10^(H46/10)</f>
        <v>2588.749255</v>
      </c>
      <c r="J46" s="57">
        <f>10*LOG10(K46)</f>
        <v>23.2182276</v>
      </c>
      <c r="K46" s="57">
        <f>1/(1/I46+1/K43)</f>
        <v>209.808346</v>
      </c>
      <c r="L46" s="59">
        <f>(2/3)^3*'Parámetros'!C56*('Parámetros'!C57)^2*'No linealidades'!D8*(10^(E47/10)*0.001)^2*LOG10(PI()^2*ABS('Parámetros'!C58*10^(-24))*'No linealidades'!D8*('Parámetros'!C59)^2*'Parámetros'!C60^2)/(PI()*ABS('Parámetros'!C58*10^(-24))*'Parámetros'!C60^3)*'Parámetros'!C13*10^9
</f>
        <v>0.00004910159713</v>
      </c>
      <c r="M46" s="72">
        <f>10*LOG10(N46)</f>
        <v>43.08904381</v>
      </c>
      <c r="N46" s="72">
        <f>1/L46</f>
        <v>20365.93631</v>
      </c>
      <c r="O46" s="72">
        <f>10*LOG10(P46)</f>
        <v>36.1211646</v>
      </c>
      <c r="P46" s="73">
        <f>HARMEAN(N6,N14,N22,N30,N46)/6</f>
        <v>4093.704212</v>
      </c>
      <c r="Q46" s="78">
        <f>10*LOG10(HARMEAN(K46,P46)/2)</f>
        <v>23.00116145</v>
      </c>
      <c r="R46" s="79" t="s">
        <v>113</v>
      </c>
      <c r="S46" s="80"/>
    </row>
    <row r="47">
      <c r="A47" s="49" t="s">
        <v>102</v>
      </c>
      <c r="B47" s="41"/>
      <c r="C47" s="41"/>
      <c r="D47" s="50">
        <f>-(E46-'Parámetros'!I30)</f>
        <v>-1.2</v>
      </c>
      <c r="E47" s="50">
        <f t="shared" si="7"/>
        <v>2.5</v>
      </c>
      <c r="F47" s="42"/>
      <c r="G47" s="50"/>
      <c r="H47" s="50"/>
      <c r="I47" s="50"/>
      <c r="J47" s="50"/>
      <c r="K47" s="50"/>
      <c r="L47" s="64"/>
      <c r="M47" s="50"/>
      <c r="N47" s="50"/>
      <c r="O47" s="50"/>
      <c r="P47" s="50"/>
      <c r="Q47" s="56"/>
    </row>
    <row r="48">
      <c r="A48" s="65" t="s">
        <v>103</v>
      </c>
      <c r="B48" s="66">
        <v>81.0</v>
      </c>
      <c r="C48" s="66">
        <f>'Parámetros'!C41</f>
        <v>0.185</v>
      </c>
      <c r="D48" s="66">
        <f>-B48*C48</f>
        <v>-14.985</v>
      </c>
      <c r="E48" s="66">
        <f t="shared" si="7"/>
        <v>-12.485</v>
      </c>
      <c r="F48" s="65" t="str">
        <f>IF(E48&gt;='Parámetros'!C18,"V","F")</f>
        <v>V</v>
      </c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56"/>
    </row>
    <row r="49">
      <c r="A49" s="44" t="s">
        <v>114</v>
      </c>
      <c r="B49" s="45"/>
      <c r="C49" s="45"/>
      <c r="D49" s="45"/>
      <c r="E49" s="45"/>
      <c r="F49" s="47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56"/>
    </row>
    <row r="50">
      <c r="A50" s="49" t="s">
        <v>105</v>
      </c>
      <c r="B50" s="41"/>
      <c r="C50" s="41"/>
      <c r="D50" s="50">
        <f>-(E48+'Parámetros'!H18)</f>
        <v>-6.315</v>
      </c>
      <c r="E50" s="54">
        <f>E48+D50</f>
        <v>-18.8</v>
      </c>
      <c r="F50" s="68">
        <f>'Parámetros'!C22</f>
        <v>-18.02</v>
      </c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81"/>
    </row>
    <row r="51">
      <c r="A51" s="49" t="s">
        <v>106</v>
      </c>
      <c r="B51" s="41"/>
      <c r="C51" s="41"/>
      <c r="D51" s="50">
        <f>'Parámetros'!C20</f>
        <v>21</v>
      </c>
      <c r="E51" s="50">
        <f t="shared" ref="E51:E52" si="8">D51+E50</f>
        <v>2.2</v>
      </c>
      <c r="F51" s="42"/>
      <c r="G51" s="50">
        <f>'Parámetros'!C23</f>
        <v>5.5</v>
      </c>
      <c r="H51" s="50">
        <f>E50+158.9-10*LOG10('Parámetros'!C13*10^9)-G51</f>
        <v>33.63089987</v>
      </c>
      <c r="I51" s="50">
        <f>10^(H51/10)</f>
        <v>2307.225203</v>
      </c>
      <c r="J51" s="50">
        <f>10*LOG10(K51)</f>
        <v>22.84023743</v>
      </c>
      <c r="K51" s="50">
        <f>1/(1/I51+1/K46)</f>
        <v>192.3196868</v>
      </c>
      <c r="L51" s="52" t="s">
        <v>99</v>
      </c>
      <c r="M51" s="52" t="s">
        <v>99</v>
      </c>
      <c r="N51" s="52" t="s">
        <v>99</v>
      </c>
      <c r="O51" s="52" t="s">
        <v>99</v>
      </c>
      <c r="P51" s="52" t="s">
        <v>99</v>
      </c>
      <c r="Q51" s="63">
        <f>10*LOG10(HARMEAN(K51,P46)/2)</f>
        <v>22.64085614</v>
      </c>
    </row>
    <row r="52">
      <c r="A52" s="49" t="s">
        <v>115</v>
      </c>
      <c r="B52" s="41"/>
      <c r="C52" s="41"/>
      <c r="D52" s="50">
        <f>-'Parámetros'!C16</f>
        <v>-10</v>
      </c>
      <c r="E52" s="50">
        <f t="shared" si="8"/>
        <v>-7.8</v>
      </c>
      <c r="F52" s="42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81"/>
    </row>
    <row r="53">
      <c r="A53" s="49" t="s">
        <v>98</v>
      </c>
      <c r="B53" s="41"/>
      <c r="C53" s="41"/>
      <c r="D53" s="41"/>
      <c r="E53" s="50">
        <f>E52</f>
        <v>-7.8</v>
      </c>
      <c r="F53" s="49" t="str">
        <f>IF(E53&gt;='Parámetros'!C7,"V","F")</f>
        <v>V</v>
      </c>
      <c r="G53" s="41"/>
      <c r="H53" s="41"/>
      <c r="I53" s="41"/>
      <c r="J53" s="50"/>
      <c r="K53" s="50"/>
      <c r="L53" s="41"/>
      <c r="M53" s="41"/>
      <c r="N53" s="41"/>
      <c r="O53" s="50"/>
      <c r="P53" s="50"/>
      <c r="Q53" s="82"/>
    </row>
    <row r="54">
      <c r="A54" s="42"/>
      <c r="B54" s="41"/>
      <c r="C54" s="41"/>
      <c r="D54" s="41"/>
      <c r="E54" s="41"/>
      <c r="F54" s="83" t="s">
        <v>116</v>
      </c>
      <c r="G54" s="84"/>
      <c r="H54" s="84"/>
      <c r="I54" s="84"/>
      <c r="J54" s="85">
        <f t="shared" ref="J54:K54" si="9">J51</f>
        <v>22.84023743</v>
      </c>
      <c r="K54" s="86">
        <f t="shared" si="9"/>
        <v>192.3196868</v>
      </c>
      <c r="L54" s="84"/>
      <c r="M54" s="84"/>
      <c r="N54" s="84"/>
      <c r="O54" s="85">
        <f t="shared" ref="O54:P54" si="10">O46</f>
        <v>36.1211646</v>
      </c>
      <c r="P54" s="85">
        <f t="shared" si="10"/>
        <v>4093.704212</v>
      </c>
      <c r="Q54" s="87">
        <f>10*LOG10(HARMEAN(K54,P54)/2)</f>
        <v>22.64085614</v>
      </c>
      <c r="R54" s="88" t="s">
        <v>117</v>
      </c>
    </row>
    <row r="55">
      <c r="A55" s="42"/>
      <c r="B55" s="41"/>
      <c r="C55" s="41"/>
      <c r="D55" s="41"/>
      <c r="E55" s="41"/>
      <c r="F55" s="83" t="s">
        <v>118</v>
      </c>
      <c r="H55" s="84"/>
      <c r="I55" s="84"/>
      <c r="J55" s="85">
        <f>'Parámetros'!C10</f>
        <v>23.5</v>
      </c>
      <c r="K55" s="89">
        <f>10^(J55/10)</f>
        <v>223.8721139</v>
      </c>
      <c r="L55" s="84"/>
      <c r="M55" s="84"/>
      <c r="N55" s="84"/>
      <c r="O55" s="85"/>
      <c r="P55" s="84"/>
      <c r="Q55" s="90">
        <f>'Parámetros'!C12</f>
        <v>23.5</v>
      </c>
    </row>
    <row r="57">
      <c r="A57" s="91" t="s">
        <v>119</v>
      </c>
      <c r="B57" s="91" t="s">
        <v>120</v>
      </c>
      <c r="C57" s="91" t="s">
        <v>121</v>
      </c>
      <c r="D57" s="91" t="s">
        <v>122</v>
      </c>
      <c r="E57" s="41"/>
      <c r="F57" s="41"/>
      <c r="G57" s="92"/>
      <c r="H57" s="91" t="s">
        <v>119</v>
      </c>
      <c r="I57" s="91" t="s">
        <v>120</v>
      </c>
    </row>
    <row r="58">
      <c r="A58" s="93" t="s">
        <v>123</v>
      </c>
      <c r="B58" s="94">
        <v>18.0</v>
      </c>
      <c r="C58" s="93">
        <v>-17.0</v>
      </c>
      <c r="D58" s="94">
        <v>12000.0</v>
      </c>
      <c r="E58" s="41"/>
      <c r="F58" s="41"/>
      <c r="G58" s="92"/>
      <c r="H58" s="94" t="s">
        <v>124</v>
      </c>
      <c r="I58" s="94">
        <v>17.09</v>
      </c>
    </row>
    <row r="59">
      <c r="A59" s="95" t="s">
        <v>125</v>
      </c>
      <c r="B59" s="95" t="s">
        <v>81</v>
      </c>
      <c r="C59" s="95" t="s">
        <v>126</v>
      </c>
      <c r="D59" s="95" t="s">
        <v>127</v>
      </c>
      <c r="E59" s="41"/>
      <c r="F59" s="41"/>
      <c r="G59" s="95" t="s">
        <v>81</v>
      </c>
      <c r="H59" s="95" t="s">
        <v>126</v>
      </c>
      <c r="I59" s="95" t="s">
        <v>127</v>
      </c>
    </row>
    <row r="60">
      <c r="A60" s="96" t="s">
        <v>128</v>
      </c>
      <c r="B60" s="97">
        <v>80.0</v>
      </c>
      <c r="C60" s="96">
        <f t="shared" ref="C60:C65" si="11">B$58*B60</f>
        <v>1440</v>
      </c>
      <c r="D60" s="97">
        <f>C60</f>
        <v>1440</v>
      </c>
      <c r="E60" s="41"/>
      <c r="F60" s="41"/>
      <c r="G60" s="97">
        <v>80.0</v>
      </c>
      <c r="H60" s="97">
        <f t="shared" ref="H60:H65" si="12">G60*I$58</f>
        <v>1367.2</v>
      </c>
      <c r="I60" s="97">
        <f>H60</f>
        <v>1367.2</v>
      </c>
    </row>
    <row r="61">
      <c r="A61" s="96" t="s">
        <v>129</v>
      </c>
      <c r="B61" s="97">
        <v>13.0</v>
      </c>
      <c r="C61" s="96">
        <f t="shared" si="11"/>
        <v>234</v>
      </c>
      <c r="D61" s="97">
        <f t="shared" ref="D61:D65" si="13">C61+D60</f>
        <v>1674</v>
      </c>
      <c r="E61" s="41"/>
      <c r="F61" s="41"/>
      <c r="G61" s="97">
        <v>13.0</v>
      </c>
      <c r="H61" s="97">
        <f t="shared" si="12"/>
        <v>222.17</v>
      </c>
      <c r="I61" s="97">
        <f t="shared" ref="I61:I65" si="14">H61+I60</f>
        <v>1589.37</v>
      </c>
    </row>
    <row r="62">
      <c r="A62" s="96" t="s">
        <v>130</v>
      </c>
      <c r="B62" s="97">
        <v>67.0</v>
      </c>
      <c r="C62" s="96">
        <f t="shared" si="11"/>
        <v>1206</v>
      </c>
      <c r="D62" s="97">
        <f t="shared" si="13"/>
        <v>2880</v>
      </c>
      <c r="E62" s="41"/>
      <c r="F62" s="41"/>
      <c r="G62" s="97">
        <v>67.0</v>
      </c>
      <c r="H62" s="97">
        <f t="shared" si="12"/>
        <v>1145.03</v>
      </c>
      <c r="I62" s="97">
        <f t="shared" si="14"/>
        <v>2734.4</v>
      </c>
    </row>
    <row r="63">
      <c r="A63" s="96" t="s">
        <v>131</v>
      </c>
      <c r="B63" s="97">
        <v>34.0</v>
      </c>
      <c r="C63" s="96">
        <f t="shared" si="11"/>
        <v>612</v>
      </c>
      <c r="D63" s="97">
        <f t="shared" si="13"/>
        <v>3492</v>
      </c>
      <c r="E63" s="41"/>
      <c r="F63" s="41"/>
      <c r="G63" s="97">
        <v>34.0</v>
      </c>
      <c r="H63" s="97">
        <f t="shared" si="12"/>
        <v>581.06</v>
      </c>
      <c r="I63" s="97">
        <f t="shared" si="14"/>
        <v>3315.46</v>
      </c>
    </row>
    <row r="64">
      <c r="A64" s="96" t="s">
        <v>132</v>
      </c>
      <c r="B64" s="97">
        <v>76.0</v>
      </c>
      <c r="C64" s="96">
        <f t="shared" si="11"/>
        <v>1368</v>
      </c>
      <c r="D64" s="97">
        <f t="shared" si="13"/>
        <v>4860</v>
      </c>
      <c r="E64" s="41"/>
      <c r="F64" s="41"/>
      <c r="G64" s="97">
        <v>76.0</v>
      </c>
      <c r="H64" s="97">
        <f t="shared" si="12"/>
        <v>1298.84</v>
      </c>
      <c r="I64" s="97">
        <f t="shared" si="14"/>
        <v>4614.3</v>
      </c>
    </row>
    <row r="65">
      <c r="A65" s="96" t="s">
        <v>133</v>
      </c>
      <c r="B65" s="97">
        <v>81.0</v>
      </c>
      <c r="C65" s="96">
        <f t="shared" si="11"/>
        <v>1458</v>
      </c>
      <c r="D65" s="97">
        <f t="shared" si="13"/>
        <v>6318</v>
      </c>
      <c r="E65" s="41"/>
      <c r="F65" s="41"/>
      <c r="G65" s="97">
        <v>81.0</v>
      </c>
      <c r="H65" s="97">
        <f t="shared" si="12"/>
        <v>1384.29</v>
      </c>
      <c r="I65" s="97">
        <f t="shared" si="14"/>
        <v>5998.59</v>
      </c>
    </row>
    <row r="66">
      <c r="A66" s="41"/>
      <c r="B66" s="41"/>
      <c r="C66" s="41"/>
      <c r="D66" s="41"/>
      <c r="E66" s="41"/>
      <c r="F66" s="41"/>
      <c r="G66" s="41"/>
      <c r="H66" s="41"/>
      <c r="I66" s="41"/>
    </row>
    <row r="67">
      <c r="A67" s="41"/>
      <c r="B67" s="41"/>
      <c r="C67" s="41"/>
      <c r="D67" s="41"/>
      <c r="E67" s="41"/>
      <c r="F67" s="41"/>
      <c r="G67" s="41"/>
      <c r="H67" s="41"/>
      <c r="I67" s="41"/>
    </row>
    <row r="68">
      <c r="A68" s="42"/>
      <c r="B68" s="41"/>
      <c r="C68" s="42"/>
      <c r="D68" s="41"/>
      <c r="E68" s="41"/>
      <c r="F68" s="41"/>
      <c r="G68" s="92"/>
      <c r="H68" s="91" t="s">
        <v>119</v>
      </c>
      <c r="I68" s="91" t="s">
        <v>120</v>
      </c>
    </row>
    <row r="69">
      <c r="A69" s="91" t="s">
        <v>134</v>
      </c>
      <c r="B69" s="94">
        <f>'Parámetros'!C43</f>
        <v>0.1</v>
      </c>
      <c r="C69" s="98" t="s">
        <v>135</v>
      </c>
      <c r="D69" s="41"/>
      <c r="E69" s="41"/>
      <c r="F69" s="41"/>
      <c r="G69" s="92"/>
      <c r="H69" s="94" t="s">
        <v>136</v>
      </c>
      <c r="I69" s="94">
        <v>18.85</v>
      </c>
    </row>
    <row r="70">
      <c r="A70" s="95" t="s">
        <v>125</v>
      </c>
      <c r="B70" s="95" t="s">
        <v>81</v>
      </c>
      <c r="C70" s="95" t="s">
        <v>137</v>
      </c>
      <c r="D70" s="41"/>
      <c r="E70" s="41"/>
      <c r="F70" s="41"/>
      <c r="G70" s="95" t="s">
        <v>81</v>
      </c>
      <c r="H70" s="95" t="s">
        <v>126</v>
      </c>
      <c r="I70" s="95" t="s">
        <v>127</v>
      </c>
    </row>
    <row r="71">
      <c r="A71" s="96" t="s">
        <v>128</v>
      </c>
      <c r="B71" s="97">
        <v>80.0</v>
      </c>
      <c r="C71" s="97">
        <f t="shared" ref="C71:C76" si="15">B$69*SQRT(B71)</f>
        <v>0.894427191</v>
      </c>
      <c r="D71" s="41"/>
      <c r="E71" s="41"/>
      <c r="F71" s="41"/>
      <c r="G71" s="97">
        <v>80.0</v>
      </c>
      <c r="H71" s="97">
        <f t="shared" ref="H71:H76" si="16">G71*I$69</f>
        <v>1508</v>
      </c>
      <c r="I71" s="97">
        <f>H71</f>
        <v>1508</v>
      </c>
    </row>
    <row r="72">
      <c r="A72" s="96" t="s">
        <v>129</v>
      </c>
      <c r="B72" s="97">
        <v>13.0</v>
      </c>
      <c r="C72" s="97">
        <f t="shared" si="15"/>
        <v>0.3605551275</v>
      </c>
      <c r="D72" s="41"/>
      <c r="E72" s="41"/>
      <c r="F72" s="41"/>
      <c r="G72" s="97">
        <v>13.0</v>
      </c>
      <c r="H72" s="97">
        <f t="shared" si="16"/>
        <v>245.05</v>
      </c>
      <c r="I72" s="97">
        <f t="shared" ref="I72:I76" si="17">H72+I71</f>
        <v>1753.05</v>
      </c>
    </row>
    <row r="73">
      <c r="A73" s="96" t="s">
        <v>130</v>
      </c>
      <c r="B73" s="97">
        <v>67.0</v>
      </c>
      <c r="C73" s="97">
        <f t="shared" si="15"/>
        <v>0.8185352772</v>
      </c>
      <c r="D73" s="41"/>
      <c r="E73" s="41"/>
      <c r="F73" s="41"/>
      <c r="G73" s="97">
        <v>67.0</v>
      </c>
      <c r="H73" s="97">
        <f t="shared" si="16"/>
        <v>1262.95</v>
      </c>
      <c r="I73" s="97">
        <f t="shared" si="17"/>
        <v>3016</v>
      </c>
    </row>
    <row r="74">
      <c r="A74" s="96" t="s">
        <v>131</v>
      </c>
      <c r="B74" s="97">
        <v>34.0</v>
      </c>
      <c r="C74" s="97">
        <f t="shared" si="15"/>
        <v>0.5830951895</v>
      </c>
      <c r="D74" s="41"/>
      <c r="E74" s="41"/>
      <c r="F74" s="41"/>
      <c r="G74" s="97">
        <v>34.0</v>
      </c>
      <c r="H74" s="97">
        <f t="shared" si="16"/>
        <v>640.9</v>
      </c>
      <c r="I74" s="97">
        <f t="shared" si="17"/>
        <v>3656.9</v>
      </c>
    </row>
    <row r="75">
      <c r="A75" s="96" t="s">
        <v>132</v>
      </c>
      <c r="B75" s="97">
        <v>76.0</v>
      </c>
      <c r="C75" s="97">
        <f t="shared" si="15"/>
        <v>0.8717797887</v>
      </c>
      <c r="D75" s="41"/>
      <c r="E75" s="41"/>
      <c r="F75" s="41"/>
      <c r="G75" s="97">
        <v>76.0</v>
      </c>
      <c r="H75" s="97">
        <f t="shared" si="16"/>
        <v>1432.6</v>
      </c>
      <c r="I75" s="97">
        <f t="shared" si="17"/>
        <v>5089.5</v>
      </c>
    </row>
    <row r="76">
      <c r="A76" s="96" t="s">
        <v>133</v>
      </c>
      <c r="B76" s="97">
        <v>81.0</v>
      </c>
      <c r="C76" s="97">
        <f t="shared" si="15"/>
        <v>0.9</v>
      </c>
      <c r="D76" s="41"/>
      <c r="E76" s="41"/>
      <c r="F76" s="41"/>
      <c r="G76" s="99">
        <v>81.0</v>
      </c>
      <c r="H76" s="97">
        <f t="shared" si="16"/>
        <v>1526.85</v>
      </c>
      <c r="I76" s="97">
        <f t="shared" si="17"/>
        <v>6616.35</v>
      </c>
    </row>
    <row r="77">
      <c r="A77" s="100" t="s">
        <v>138</v>
      </c>
      <c r="B77" s="101"/>
      <c r="C77" s="102">
        <f>SUM(C71:C76)</f>
        <v>4.428392574</v>
      </c>
      <c r="D77" s="41"/>
      <c r="E77" s="41"/>
      <c r="F77" s="41"/>
      <c r="G77" s="103"/>
      <c r="H77" s="41"/>
      <c r="I77" s="103"/>
    </row>
    <row r="78">
      <c r="B78" s="9" t="s">
        <v>139</v>
      </c>
      <c r="C78" s="3"/>
    </row>
  </sheetData>
  <mergeCells count="5">
    <mergeCell ref="A1:C1"/>
    <mergeCell ref="R46:S46"/>
    <mergeCell ref="F55:G55"/>
    <mergeCell ref="R54:R55"/>
    <mergeCell ref="B78:C7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24.25"/>
    <col customWidth="1" min="3" max="3" width="27.13"/>
    <col customWidth="1" min="4" max="4" width="27.38"/>
    <col customWidth="1" min="5" max="5" width="21.38"/>
    <col customWidth="1" min="6" max="6" width="20.13"/>
    <col customWidth="1" min="7" max="7" width="15.13"/>
    <col customWidth="1" min="8" max="8" width="21.63"/>
    <col customWidth="1" min="9" max="9" width="25.88"/>
    <col customWidth="1" min="10" max="10" width="26.88"/>
    <col customWidth="1" min="11" max="11" width="25.75"/>
    <col customWidth="1" min="12" max="12" width="15.25"/>
    <col customWidth="1" min="13" max="13" width="16.25"/>
    <col customWidth="1" min="14" max="14" width="17.13"/>
    <col customWidth="1" min="15" max="15" width="23.75"/>
    <col customWidth="1" min="16" max="16" width="25.5"/>
  </cols>
  <sheetData>
    <row r="1">
      <c r="A1" s="40" t="s">
        <v>140</v>
      </c>
      <c r="D1" s="41"/>
      <c r="E1" s="41"/>
      <c r="F1" s="42"/>
      <c r="G1" s="41"/>
      <c r="H1" s="41"/>
      <c r="I1" s="41"/>
      <c r="J1" s="41"/>
      <c r="K1" s="41"/>
      <c r="L1" s="42"/>
      <c r="M1" s="41"/>
      <c r="N1" s="41"/>
      <c r="O1" s="41"/>
      <c r="P1" s="41"/>
      <c r="Q1" s="41"/>
    </row>
    <row r="2">
      <c r="A2" s="43" t="s">
        <v>80</v>
      </c>
      <c r="B2" s="43" t="s">
        <v>81</v>
      </c>
      <c r="C2" s="43" t="s">
        <v>82</v>
      </c>
      <c r="D2" s="43" t="s">
        <v>83</v>
      </c>
      <c r="E2" s="43" t="s">
        <v>84</v>
      </c>
      <c r="F2" s="43" t="s">
        <v>85</v>
      </c>
      <c r="G2" s="43" t="s">
        <v>86</v>
      </c>
      <c r="H2" s="43" t="s">
        <v>87</v>
      </c>
      <c r="I2" s="43" t="s">
        <v>88</v>
      </c>
      <c r="J2" s="43" t="s">
        <v>89</v>
      </c>
      <c r="K2" s="43" t="s">
        <v>90</v>
      </c>
      <c r="L2" s="43" t="s">
        <v>91</v>
      </c>
      <c r="M2" s="43" t="s">
        <v>92</v>
      </c>
      <c r="N2" s="43" t="s">
        <v>93</v>
      </c>
      <c r="O2" s="43" t="s">
        <v>94</v>
      </c>
      <c r="P2" s="43" t="s">
        <v>95</v>
      </c>
      <c r="Q2" s="43" t="s">
        <v>96</v>
      </c>
    </row>
    <row r="3">
      <c r="A3" s="44" t="s">
        <v>97</v>
      </c>
      <c r="B3" s="45"/>
      <c r="C3" s="45"/>
      <c r="D3" s="45"/>
      <c r="E3" s="45"/>
      <c r="F3" s="46">
        <v>400.0</v>
      </c>
      <c r="G3" s="45"/>
      <c r="H3" s="45"/>
      <c r="I3" s="45"/>
      <c r="J3" s="45"/>
      <c r="K3" s="45"/>
      <c r="L3" s="47"/>
      <c r="M3" s="45"/>
      <c r="N3" s="45"/>
      <c r="O3" s="45"/>
      <c r="P3" s="45"/>
      <c r="Q3" s="48"/>
    </row>
    <row r="4">
      <c r="A4" s="49" t="s">
        <v>98</v>
      </c>
      <c r="B4" s="41"/>
      <c r="C4" s="41"/>
      <c r="D4" s="41"/>
      <c r="E4" s="50">
        <f>'Parámetros'!C5</f>
        <v>-9</v>
      </c>
      <c r="F4" s="49"/>
      <c r="G4" s="41"/>
      <c r="H4" s="50">
        <f>'Parámetros'!C9</f>
        <v>38</v>
      </c>
      <c r="I4" s="51">
        <f>10^(H4/10)</f>
        <v>6309.573445</v>
      </c>
      <c r="J4" s="50">
        <f>H4</f>
        <v>38</v>
      </c>
      <c r="K4" s="51">
        <f>10^(J4/10)</f>
        <v>6309.573445</v>
      </c>
      <c r="L4" s="52" t="s">
        <v>99</v>
      </c>
      <c r="M4" s="52" t="s">
        <v>99</v>
      </c>
      <c r="N4" s="52" t="s">
        <v>99</v>
      </c>
      <c r="O4" s="52" t="s">
        <v>99</v>
      </c>
      <c r="P4" s="52" t="s">
        <v>99</v>
      </c>
      <c r="Q4" s="53"/>
    </row>
    <row r="5">
      <c r="A5" s="49" t="s">
        <v>100</v>
      </c>
      <c r="B5" s="41"/>
      <c r="C5" s="41"/>
      <c r="D5" s="50">
        <f>-'Parámetros'!C16</f>
        <v>-10</v>
      </c>
      <c r="E5" s="54">
        <f t="shared" ref="E5:E8" si="1">D5+E4</f>
        <v>-19</v>
      </c>
      <c r="F5" s="55">
        <f>'Parámetros'!C29</f>
        <v>-17.52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56"/>
    </row>
    <row r="6">
      <c r="A6" s="49" t="s">
        <v>101</v>
      </c>
      <c r="B6" s="41"/>
      <c r="C6" s="41"/>
      <c r="D6" s="50">
        <f>'Parámetros'!C27</f>
        <v>21.5</v>
      </c>
      <c r="E6" s="50">
        <f t="shared" si="1"/>
        <v>2.5</v>
      </c>
      <c r="F6" s="49"/>
      <c r="G6" s="41">
        <f>'Parámetros'!C30</f>
        <v>6</v>
      </c>
      <c r="H6" s="57">
        <f>E5+158.9-10*LOG10('Parámetros'!C13*10^9)-G6</f>
        <v>32.93089987</v>
      </c>
      <c r="I6" s="58">
        <f>10^(H6/10)</f>
        <v>1963.767133</v>
      </c>
      <c r="J6" s="58">
        <f>10*LOG10(K6)</f>
        <v>31.75409084</v>
      </c>
      <c r="K6" s="58">
        <f>1/((1/K4)+(1/I6))</f>
        <v>1497.645701</v>
      </c>
      <c r="L6" s="59">
        <f>(2/3)^3*'Parámetros'!C56*('Parámetros'!C57)^2*'No linealidades'!D3*(10^(E7/10)*0.001)^2*LOG10(PI()^2*ABS('Parámetros'!C58*10^(-24))*'No linealidades'!D3*('Parámetros'!C59)^2*'Parámetros'!C60^2)/(PI()*ABS('Parámetros'!C58*10^(-24))*'Parámetros'!C60^3)*'Parámetros'!C13*10^9
</f>
        <v>0.00004902483931</v>
      </c>
      <c r="M6" s="104">
        <f>10*LOG10(N6)</f>
        <v>43.09583821</v>
      </c>
      <c r="N6" s="61">
        <f>1/L6</f>
        <v>20397.82311</v>
      </c>
      <c r="O6" s="104">
        <f t="shared" ref="O6:P6" si="2">M6</f>
        <v>43.09583821</v>
      </c>
      <c r="P6" s="62">
        <f t="shared" si="2"/>
        <v>20397.82311</v>
      </c>
      <c r="Q6" s="63">
        <f>10*LOG10(HARMEAN(K6,P6)/2)</f>
        <v>31.44638657</v>
      </c>
    </row>
    <row r="7">
      <c r="A7" s="49" t="s">
        <v>102</v>
      </c>
      <c r="B7" s="41"/>
      <c r="C7" s="41"/>
      <c r="D7" s="50">
        <v>0.0</v>
      </c>
      <c r="E7" s="50">
        <f t="shared" si="1"/>
        <v>2.5</v>
      </c>
      <c r="F7" s="42"/>
      <c r="G7" s="50"/>
      <c r="H7" s="50"/>
      <c r="I7" s="50"/>
      <c r="J7" s="50"/>
      <c r="K7" s="50"/>
      <c r="L7" s="64"/>
      <c r="M7" s="50"/>
      <c r="N7" s="50"/>
      <c r="O7" s="50"/>
      <c r="P7" s="50"/>
      <c r="Q7" s="56"/>
    </row>
    <row r="8">
      <c r="A8" s="65" t="s">
        <v>103</v>
      </c>
      <c r="B8" s="66">
        <v>80.0</v>
      </c>
      <c r="C8" s="66">
        <f>'Parámetros'!C41</f>
        <v>0.185</v>
      </c>
      <c r="D8" s="66">
        <f>-B8*C8</f>
        <v>-14.8</v>
      </c>
      <c r="E8" s="66">
        <f t="shared" si="1"/>
        <v>-12.3</v>
      </c>
      <c r="F8" s="65" t="str">
        <f>IF(E8&gt;='Parámetros'!C18,"V","F")</f>
        <v>V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56"/>
    </row>
    <row r="9">
      <c r="A9" s="44" t="s">
        <v>104</v>
      </c>
      <c r="B9" s="45"/>
      <c r="C9" s="45"/>
      <c r="D9" s="45"/>
      <c r="E9" s="45"/>
      <c r="F9" s="47"/>
      <c r="G9" s="45"/>
      <c r="H9" s="45"/>
      <c r="I9" s="45"/>
      <c r="J9" s="45"/>
      <c r="K9" s="45"/>
      <c r="L9" s="45"/>
      <c r="M9" s="45"/>
      <c r="N9" s="45"/>
      <c r="O9" s="45"/>
      <c r="P9" s="45"/>
      <c r="Q9" s="56"/>
    </row>
    <row r="10">
      <c r="A10" s="49" t="s">
        <v>105</v>
      </c>
      <c r="B10" s="41"/>
      <c r="C10" s="41"/>
      <c r="D10" s="50">
        <f>-(E8+'Parámetros'!H18)</f>
        <v>-6.5</v>
      </c>
      <c r="E10" s="54">
        <f>E8+D10</f>
        <v>-18.8</v>
      </c>
      <c r="F10" s="68">
        <f>'Parámetros'!C22</f>
        <v>-18.02</v>
      </c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56"/>
    </row>
    <row r="11">
      <c r="A11" s="49" t="s">
        <v>106</v>
      </c>
      <c r="B11" s="41"/>
      <c r="C11" s="41"/>
      <c r="D11" s="50">
        <f>'Parámetros'!C20</f>
        <v>21</v>
      </c>
      <c r="E11" s="50">
        <f t="shared" ref="E11:E16" si="3">D11+E10</f>
        <v>2.2</v>
      </c>
      <c r="F11" s="49"/>
      <c r="G11" s="41">
        <f>'Parámetros'!C23</f>
        <v>5.5</v>
      </c>
      <c r="H11" s="57">
        <f>E10+158.9-10*LOG10('Parámetros'!C13*10^9)-G11</f>
        <v>33.63089987</v>
      </c>
      <c r="I11" s="57">
        <f>10^(H11/10)</f>
        <v>2307.225203</v>
      </c>
      <c r="J11" s="57">
        <f>10*LOG10(K11)</f>
        <v>29.58159145</v>
      </c>
      <c r="K11" s="57">
        <f>1/(1/I11+1/K6)</f>
        <v>908.1532577</v>
      </c>
      <c r="L11" s="52" t="s">
        <v>99</v>
      </c>
      <c r="M11" s="52" t="s">
        <v>99</v>
      </c>
      <c r="N11" s="52" t="s">
        <v>99</v>
      </c>
      <c r="O11" s="52" t="s">
        <v>99</v>
      </c>
      <c r="P11" s="52" t="s">
        <v>99</v>
      </c>
      <c r="Q11" s="56">
        <f>10*LOG10(HARMEAN(K11,P6)/2)</f>
        <v>29.39241525</v>
      </c>
    </row>
    <row r="12">
      <c r="A12" s="49" t="s">
        <v>107</v>
      </c>
      <c r="B12" s="41"/>
      <c r="C12" s="41"/>
      <c r="D12" s="50">
        <f>-'Parámetros'!C16</f>
        <v>-10</v>
      </c>
      <c r="E12" s="50">
        <f t="shared" si="3"/>
        <v>-7.8</v>
      </c>
      <c r="F12" s="42"/>
      <c r="G12" s="50"/>
      <c r="H12" s="50"/>
      <c r="I12" s="50"/>
      <c r="J12" s="50"/>
      <c r="K12" s="50"/>
      <c r="L12" s="41"/>
      <c r="M12" s="41"/>
      <c r="N12" s="41"/>
      <c r="O12" s="41"/>
      <c r="P12" s="41"/>
      <c r="Q12" s="56"/>
    </row>
    <row r="13">
      <c r="A13" s="49" t="s">
        <v>108</v>
      </c>
      <c r="B13" s="41"/>
      <c r="C13" s="41"/>
      <c r="D13" s="50">
        <f>-'Parámetros'!C16</f>
        <v>-10</v>
      </c>
      <c r="E13" s="54">
        <f t="shared" si="3"/>
        <v>-17.8</v>
      </c>
      <c r="F13" s="69">
        <f>'Parámetros'!C29</f>
        <v>-17.52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56"/>
    </row>
    <row r="14">
      <c r="A14" s="49" t="s">
        <v>101</v>
      </c>
      <c r="B14" s="41"/>
      <c r="C14" s="41"/>
      <c r="D14" s="50">
        <f>'Parámetros'!C27</f>
        <v>21.5</v>
      </c>
      <c r="E14" s="50">
        <f t="shared" si="3"/>
        <v>3.7</v>
      </c>
      <c r="F14" s="42"/>
      <c r="G14" s="41">
        <f>'Parámetros'!C30</f>
        <v>6</v>
      </c>
      <c r="H14" s="57">
        <f>E13+158.9-10*LOG10('Parámetros'!C13*10^9)-G14</f>
        <v>34.13089987</v>
      </c>
      <c r="I14" s="57">
        <f>10^(H14/10)</f>
        <v>2588.749255</v>
      </c>
      <c r="J14" s="57">
        <f>10*LOG10(K14)</f>
        <v>28.27565607</v>
      </c>
      <c r="K14" s="57">
        <f>1/(1/I14+1/K11)</f>
        <v>672.3038635</v>
      </c>
      <c r="L14" s="59">
        <f>(2/3)^3*'Parámetros'!C56*('Parámetros'!C57)^2*'No linealidades'!D4*(10^(E15/10)*0.001)^2*LOG10(PI()^2*ABS('Parámetros'!C58*10^(-24))*'No linealidades'!D4*('Parámetros'!C59)^2*'Parámetros'!C60^2)/(PI()*ABS('Parámetros'!C58*10^(-24))*'Parámetros'!C60^3)*'Parámetros'!C13*10^9
</f>
        <v>0.00001985679163</v>
      </c>
      <c r="M14" s="60">
        <f>10*LOG10(N14)</f>
        <v>47.02090921</v>
      </c>
      <c r="N14" s="61">
        <f>1/L14</f>
        <v>50360.60298</v>
      </c>
      <c r="O14" s="70">
        <f>10*LOG10(P14)</f>
        <v>41.61896578</v>
      </c>
      <c r="P14" s="62">
        <f>HARMEAN(N6,N14)/2</f>
        <v>14517.65857</v>
      </c>
      <c r="Q14" s="56">
        <f>10*LOG10(HARMEAN(K14,P14)/2)</f>
        <v>28.07905486</v>
      </c>
    </row>
    <row r="15">
      <c r="A15" s="49" t="s">
        <v>102</v>
      </c>
      <c r="B15" s="41"/>
      <c r="C15" s="41"/>
      <c r="D15" s="50">
        <f>-(E14-'Parámetros'!I30)</f>
        <v>-1.2</v>
      </c>
      <c r="E15" s="50">
        <f t="shared" si="3"/>
        <v>2.5</v>
      </c>
      <c r="F15" s="49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56"/>
    </row>
    <row r="16">
      <c r="A16" s="65" t="s">
        <v>103</v>
      </c>
      <c r="B16" s="66">
        <v>13.0</v>
      </c>
      <c r="C16" s="66">
        <f>'Parámetros'!C41</f>
        <v>0.185</v>
      </c>
      <c r="D16" s="66">
        <f>-B16*C16</f>
        <v>-2.405</v>
      </c>
      <c r="E16" s="66">
        <f t="shared" si="3"/>
        <v>0.095</v>
      </c>
      <c r="F16" s="65" t="str">
        <f>IF(E16&gt;='Parámetros'!C18,"V","F")</f>
        <v>V</v>
      </c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56"/>
    </row>
    <row r="17">
      <c r="A17" s="44" t="s">
        <v>109</v>
      </c>
      <c r="B17" s="45"/>
      <c r="C17" s="45"/>
      <c r="D17" s="45"/>
      <c r="E17" s="45"/>
      <c r="F17" s="47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56"/>
    </row>
    <row r="18">
      <c r="A18" s="49" t="s">
        <v>105</v>
      </c>
      <c r="B18" s="41"/>
      <c r="C18" s="41"/>
      <c r="D18" s="50">
        <f>-(E16+'Parámetros'!H18)</f>
        <v>-18.895</v>
      </c>
      <c r="E18" s="54">
        <f>E16+D18</f>
        <v>-18.8</v>
      </c>
      <c r="F18" s="68">
        <f>'Parámetros'!C22</f>
        <v>-18.02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56"/>
    </row>
    <row r="19">
      <c r="A19" s="49" t="s">
        <v>106</v>
      </c>
      <c r="B19" s="41"/>
      <c r="C19" s="41"/>
      <c r="D19" s="50">
        <f>'Parámetros'!C20</f>
        <v>21</v>
      </c>
      <c r="E19" s="50">
        <f t="shared" ref="E19:E24" si="4">D19+E18</f>
        <v>2.2</v>
      </c>
      <c r="F19" s="42"/>
      <c r="G19" s="50">
        <f>'Parámetros'!C23</f>
        <v>5.5</v>
      </c>
      <c r="H19" s="71">
        <f>E18+158.9-10*LOG10('Parámetros'!C13*10^9)-G19</f>
        <v>33.63089987</v>
      </c>
      <c r="I19" s="71">
        <f>10^(H19/10)</f>
        <v>2307.225203</v>
      </c>
      <c r="J19" s="71">
        <f>10*LOG10(K19)</f>
        <v>27.16507968</v>
      </c>
      <c r="K19" s="71">
        <f>1/(1/I19+1/K14)</f>
        <v>520.6045597</v>
      </c>
      <c r="L19" s="52" t="s">
        <v>99</v>
      </c>
      <c r="M19" s="52" t="s">
        <v>99</v>
      </c>
      <c r="N19" s="52" t="s">
        <v>99</v>
      </c>
      <c r="O19" s="52" t="s">
        <v>99</v>
      </c>
      <c r="P19" s="52" t="s">
        <v>99</v>
      </c>
      <c r="Q19" s="56">
        <f>10*LOG10(HARMEAN(K19,P14)/2)</f>
        <v>27.01206866</v>
      </c>
    </row>
    <row r="20">
      <c r="A20" s="49" t="s">
        <v>107</v>
      </c>
      <c r="B20" s="41"/>
      <c r="C20" s="41"/>
      <c r="D20" s="50">
        <f>-'Parámetros'!C16</f>
        <v>-10</v>
      </c>
      <c r="E20" s="50">
        <f t="shared" si="4"/>
        <v>-7.8</v>
      </c>
      <c r="F20" s="42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56"/>
    </row>
    <row r="21">
      <c r="A21" s="49" t="s">
        <v>108</v>
      </c>
      <c r="B21" s="41"/>
      <c r="C21" s="41"/>
      <c r="D21" s="50">
        <f>-'Parámetros'!C16</f>
        <v>-10</v>
      </c>
      <c r="E21" s="54">
        <f t="shared" si="4"/>
        <v>-17.8</v>
      </c>
      <c r="F21" s="69">
        <f>'Parámetros'!C29</f>
        <v>-17.52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56"/>
    </row>
    <row r="22">
      <c r="A22" s="49" t="s">
        <v>101</v>
      </c>
      <c r="B22" s="41"/>
      <c r="C22" s="41"/>
      <c r="D22" s="50">
        <f>'Parámetros'!C27</f>
        <v>21.5</v>
      </c>
      <c r="E22" s="50">
        <f t="shared" si="4"/>
        <v>3.7</v>
      </c>
      <c r="F22" s="49"/>
      <c r="G22" s="41">
        <f>'Parámetros'!C30</f>
        <v>6</v>
      </c>
      <c r="H22" s="57">
        <f>E21+158.9-10*LOG10('Parámetros'!C13*10^9)-G22</f>
        <v>34.13089987</v>
      </c>
      <c r="I22" s="57">
        <f>10^(H22/10)</f>
        <v>2588.749255</v>
      </c>
      <c r="J22" s="57">
        <f>10*LOG10(K22)</f>
        <v>26.36927811</v>
      </c>
      <c r="K22" s="57">
        <f>1/(1/I22+1/K19)</f>
        <v>433.4388257</v>
      </c>
      <c r="L22" s="59">
        <f>(2/3)^3*'Parámetros'!C56*('Parámetros'!C57)^2*'No linealidades'!D5*(10^(E23/10)*0.001)^2*LOG10(PI()^2*ABS('Parámetros'!C58*10^(-24))*'No linealidades'!D5*('Parámetros'!C59)^2*'Parámetros'!C60^2)/(PI()*ABS('Parámetros'!C58*10^(-24))*'Parámetros'!C60^3)*'Parámetros'!C13*10^9
</f>
        <v>0.00004766479222</v>
      </c>
      <c r="M22" s="72">
        <f>10*LOG10(N22)</f>
        <v>43.21802296</v>
      </c>
      <c r="N22" s="72">
        <f>1/L22</f>
        <v>20979.84599</v>
      </c>
      <c r="O22" s="72">
        <f>10*LOG10(P22)</f>
        <v>39.33501051</v>
      </c>
      <c r="P22" s="73">
        <f>HARMEAN(N6,N14,N22)/3</f>
        <v>8580.271902</v>
      </c>
      <c r="Q22" s="63">
        <f>10*LOG10(HARMEAN(K22,P22)/2)</f>
        <v>26.15525245</v>
      </c>
    </row>
    <row r="23">
      <c r="A23" s="49" t="s">
        <v>102</v>
      </c>
      <c r="B23" s="41"/>
      <c r="C23" s="41"/>
      <c r="D23" s="50">
        <f>-(E22-'Parámetros'!I30)</f>
        <v>-1.2</v>
      </c>
      <c r="E23" s="50">
        <f t="shared" si="4"/>
        <v>2.5</v>
      </c>
      <c r="F23" s="42"/>
      <c r="G23" s="50"/>
      <c r="H23" s="50"/>
      <c r="I23" s="50"/>
      <c r="J23" s="50"/>
      <c r="K23" s="50"/>
      <c r="L23" s="64"/>
      <c r="M23" s="50"/>
      <c r="N23" s="50"/>
      <c r="O23" s="50"/>
      <c r="P23" s="50"/>
      <c r="Q23" s="56"/>
    </row>
    <row r="24">
      <c r="A24" s="65" t="s">
        <v>103</v>
      </c>
      <c r="B24" s="66">
        <v>67.0</v>
      </c>
      <c r="C24" s="66">
        <f>'Parámetros'!C41</f>
        <v>0.185</v>
      </c>
      <c r="D24" s="66">
        <f>-B24*C24</f>
        <v>-12.395</v>
      </c>
      <c r="E24" s="66">
        <f t="shared" si="4"/>
        <v>-9.895</v>
      </c>
      <c r="F24" s="65" t="str">
        <f>IF(E24&gt;='Parámetros'!C18,"V","F")</f>
        <v>V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56"/>
    </row>
    <row r="25">
      <c r="A25" s="44" t="s">
        <v>110</v>
      </c>
      <c r="B25" s="45"/>
      <c r="C25" s="45"/>
      <c r="D25" s="45"/>
      <c r="E25" s="45"/>
      <c r="F25" s="47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56"/>
    </row>
    <row r="26">
      <c r="A26" s="49" t="s">
        <v>105</v>
      </c>
      <c r="B26" s="41"/>
      <c r="C26" s="41"/>
      <c r="D26" s="50">
        <f>-(E24+'Parámetros'!H18)</f>
        <v>-8.905</v>
      </c>
      <c r="E26" s="54">
        <f>E24+D26</f>
        <v>-18.8</v>
      </c>
      <c r="F26" s="68">
        <f>'Parámetros'!C22</f>
        <v>-18.02</v>
      </c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56"/>
    </row>
    <row r="27">
      <c r="A27" s="49" t="s">
        <v>106</v>
      </c>
      <c r="B27" s="41"/>
      <c r="C27" s="41"/>
      <c r="D27" s="50">
        <f>'Parámetros'!C20</f>
        <v>21</v>
      </c>
      <c r="E27" s="50">
        <f t="shared" ref="E27:E32" si="5">D27+E26</f>
        <v>2.2</v>
      </c>
      <c r="F27" s="42"/>
      <c r="G27" s="50">
        <f>'Parámetros'!C23</f>
        <v>5.5</v>
      </c>
      <c r="H27" s="71">
        <f>E26+158.9-10*LOG10('Parámetros'!C13*10^9)-G27</f>
        <v>33.63089987</v>
      </c>
      <c r="I27" s="71">
        <f>10^(H27/10)</f>
        <v>2307.225203</v>
      </c>
      <c r="J27" s="71">
        <f>10*LOG10(K27)</f>
        <v>25.62161998</v>
      </c>
      <c r="K27" s="71">
        <f>1/(1/I27+1/K22)</f>
        <v>364.8900311</v>
      </c>
      <c r="L27" s="52" t="s">
        <v>99</v>
      </c>
      <c r="M27" s="52" t="s">
        <v>99</v>
      </c>
      <c r="N27" s="52" t="s">
        <v>99</v>
      </c>
      <c r="O27" s="52" t="s">
        <v>99</v>
      </c>
      <c r="P27" s="52" t="s">
        <v>99</v>
      </c>
      <c r="Q27" s="56">
        <f>10*LOG10(HARMEAN(K27,P22)/2)</f>
        <v>25.44074842</v>
      </c>
    </row>
    <row r="28">
      <c r="A28" s="49" t="s">
        <v>107</v>
      </c>
      <c r="B28" s="41"/>
      <c r="C28" s="41"/>
      <c r="D28" s="50">
        <f>-'Parámetros'!C16</f>
        <v>-10</v>
      </c>
      <c r="E28" s="50">
        <f t="shared" si="5"/>
        <v>-7.8</v>
      </c>
      <c r="F28" s="42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56"/>
    </row>
    <row r="29">
      <c r="A29" s="49" t="s">
        <v>108</v>
      </c>
      <c r="B29" s="41"/>
      <c r="C29" s="41"/>
      <c r="D29" s="50">
        <f>-'Parámetros'!C16</f>
        <v>-10</v>
      </c>
      <c r="E29" s="54">
        <f t="shared" si="5"/>
        <v>-17.8</v>
      </c>
      <c r="F29" s="69">
        <f>'Parámetros'!C29</f>
        <v>-17.52</v>
      </c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56"/>
    </row>
    <row r="30">
      <c r="A30" s="49" t="s">
        <v>101</v>
      </c>
      <c r="B30" s="41"/>
      <c r="C30" s="41"/>
      <c r="D30" s="50">
        <f>'Parámetros'!C27</f>
        <v>21.5</v>
      </c>
      <c r="E30" s="50">
        <f t="shared" si="5"/>
        <v>3.7</v>
      </c>
      <c r="F30" s="49"/>
      <c r="G30" s="41">
        <f>'Parámetros'!C30</f>
        <v>6</v>
      </c>
      <c r="H30" s="57">
        <f>E29+158.9-10*LOG10('Parámetros'!C13*10^9)-G30</f>
        <v>34.13089987</v>
      </c>
      <c r="I30" s="57">
        <f>10^(H30/10)</f>
        <v>2588.749255</v>
      </c>
      <c r="J30" s="74">
        <f>10*LOG10(K30)</f>
        <v>25.04894529</v>
      </c>
      <c r="K30" s="57">
        <f>1/(1/I30+1/K27)</f>
        <v>319.8118337</v>
      </c>
      <c r="L30" s="59">
        <f>(2/3)^3*'Parámetros'!C56*('Parámetros'!C57)^2*'No linealidades'!D6*(10^(E31/10)*0.001)^2*LOG10(PI()^2*ABS('Parámetros'!C58*10^(-24))*'No linealidades'!D6*('Parámetros'!C59)^2*'Parámetros'!C60^2)/(PI()*ABS('Parámetros'!C58*10^(-24))*'Parámetros'!C60^3)*'Parámetros'!C13*10^9
</f>
        <v>0.00003791659751</v>
      </c>
      <c r="M30" s="72">
        <f>10*LOG10(N30)</f>
        <v>44.21170641</v>
      </c>
      <c r="N30" s="72">
        <f>1/L30</f>
        <v>26373.67447</v>
      </c>
      <c r="O30" s="72">
        <f>10*LOG10(P30)</f>
        <v>38.11175476</v>
      </c>
      <c r="P30" s="73">
        <f>HARMEAN(N6,N14,N22,N30)/4</f>
        <v>6474.041461</v>
      </c>
      <c r="Q30" s="63">
        <f>10*LOG10(HARMEAN(K30,P30)/2)</f>
        <v>24.83953841</v>
      </c>
    </row>
    <row r="31">
      <c r="A31" s="49" t="s">
        <v>102</v>
      </c>
      <c r="B31" s="41"/>
      <c r="C31" s="41"/>
      <c r="D31" s="50">
        <f>-(E30-'Parámetros'!I30)</f>
        <v>-1.2</v>
      </c>
      <c r="E31" s="50">
        <f t="shared" si="5"/>
        <v>2.5</v>
      </c>
      <c r="F31" s="42"/>
      <c r="G31" s="50"/>
      <c r="H31" s="50"/>
      <c r="I31" s="50"/>
      <c r="J31" s="50"/>
      <c r="K31" s="50"/>
      <c r="L31" s="64"/>
      <c r="M31" s="50"/>
      <c r="N31" s="50"/>
      <c r="O31" s="50"/>
      <c r="P31" s="50"/>
      <c r="Q31" s="56"/>
    </row>
    <row r="32">
      <c r="A32" s="65" t="s">
        <v>103</v>
      </c>
      <c r="B32" s="66">
        <v>34.0</v>
      </c>
      <c r="C32" s="66">
        <f>'Parámetros'!C41</f>
        <v>0.185</v>
      </c>
      <c r="D32" s="66">
        <f>-B32*C32</f>
        <v>-6.29</v>
      </c>
      <c r="E32" s="66">
        <f t="shared" si="5"/>
        <v>-3.79</v>
      </c>
      <c r="F32" s="65" t="str">
        <f>IF(E32&gt;='Parámetros'!C18,"V","F")</f>
        <v>V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56"/>
    </row>
    <row r="33">
      <c r="A33" s="105" t="s">
        <v>141</v>
      </c>
      <c r="B33" s="106"/>
      <c r="C33" s="106"/>
      <c r="D33" s="106"/>
      <c r="E33" s="106"/>
      <c r="F33" s="107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56"/>
    </row>
    <row r="34">
      <c r="A34" s="49" t="s">
        <v>105</v>
      </c>
      <c r="B34" s="41"/>
      <c r="C34" s="41"/>
      <c r="D34" s="50">
        <f>-(E32+'Parámetros'!H18)</f>
        <v>-15.01</v>
      </c>
      <c r="E34" s="54">
        <f>D34+E32</f>
        <v>-18.8</v>
      </c>
      <c r="F34" s="68">
        <f>'Parámetros'!C22</f>
        <v>-18.02</v>
      </c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56"/>
    </row>
    <row r="35">
      <c r="A35" s="49" t="s">
        <v>106</v>
      </c>
      <c r="B35" s="41"/>
      <c r="C35" s="41"/>
      <c r="D35" s="50">
        <f>'Parámetros'!C20</f>
        <v>21</v>
      </c>
      <c r="E35" s="50">
        <f t="shared" ref="E35:E36" si="6">D35+E34</f>
        <v>2.2</v>
      </c>
      <c r="F35" s="42"/>
      <c r="G35" s="50">
        <f>'Parámetros'!C23</f>
        <v>5.5</v>
      </c>
      <c r="H35" s="71">
        <f>E34+158.9-10*LOG10('Parámetros'!C13*10^9)-G35</f>
        <v>33.63089987</v>
      </c>
      <c r="I35" s="71">
        <f>10^(H35/10)</f>
        <v>2307.225203</v>
      </c>
      <c r="J35" s="71">
        <f>10*LOG10(K35)</f>
        <v>24.48518321</v>
      </c>
      <c r="K35" s="71">
        <f>1/(1/I35+1/K30)</f>
        <v>280.878386</v>
      </c>
      <c r="L35" s="52" t="s">
        <v>99</v>
      </c>
      <c r="M35" s="52" t="s">
        <v>99</v>
      </c>
      <c r="N35" s="52" t="s">
        <v>99</v>
      </c>
      <c r="O35" s="52" t="s">
        <v>99</v>
      </c>
      <c r="P35" s="52" t="s">
        <v>99</v>
      </c>
      <c r="Q35" s="56">
        <f>10*LOG10(HARMEAN(K35,P30)/2)</f>
        <v>24.30073597</v>
      </c>
    </row>
    <row r="36">
      <c r="A36" s="49" t="s">
        <v>115</v>
      </c>
      <c r="B36" s="41"/>
      <c r="C36" s="41"/>
      <c r="D36" s="50">
        <f>-'Parámetros'!C16</f>
        <v>-10</v>
      </c>
      <c r="E36" s="50">
        <f t="shared" si="6"/>
        <v>-7.8</v>
      </c>
      <c r="F36" s="42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56"/>
    </row>
    <row r="37">
      <c r="A37" s="49" t="s">
        <v>142</v>
      </c>
      <c r="B37" s="41"/>
      <c r="C37" s="41"/>
      <c r="D37" s="50"/>
      <c r="E37" s="50">
        <f>E36</f>
        <v>-7.8</v>
      </c>
      <c r="F37" s="42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56"/>
    </row>
    <row r="38">
      <c r="A38" s="108" t="s">
        <v>143</v>
      </c>
      <c r="B38" s="109"/>
      <c r="C38" s="109"/>
      <c r="D38" s="110"/>
      <c r="E38" s="110">
        <f>'Parámetros'!C5</f>
        <v>-9</v>
      </c>
      <c r="F38" s="108"/>
      <c r="G38" s="109"/>
      <c r="H38" s="111">
        <f>'Parámetros'!C9</f>
        <v>38</v>
      </c>
      <c r="I38" s="112">
        <f>10^(H38/10)</f>
        <v>6309.573445</v>
      </c>
      <c r="J38" s="113">
        <f>H38</f>
        <v>38</v>
      </c>
      <c r="K38" s="112">
        <f>10^(J38/10)</f>
        <v>6309.573445</v>
      </c>
      <c r="L38" s="114" t="s">
        <v>99</v>
      </c>
      <c r="M38" s="114" t="s">
        <v>99</v>
      </c>
      <c r="N38" s="114" t="s">
        <v>99</v>
      </c>
      <c r="O38" s="114" t="s">
        <v>99</v>
      </c>
      <c r="P38" s="115" t="s">
        <v>99</v>
      </c>
      <c r="Q38" s="63"/>
    </row>
    <row r="39">
      <c r="A39" s="49" t="s">
        <v>100</v>
      </c>
      <c r="B39" s="41"/>
      <c r="C39" s="41"/>
      <c r="D39" s="50">
        <f>-'Parámetros'!C16</f>
        <v>-10</v>
      </c>
      <c r="E39" s="50">
        <f t="shared" ref="E39:E40" si="7">D39+E38</f>
        <v>-19</v>
      </c>
      <c r="F39" s="42"/>
      <c r="G39" s="50"/>
      <c r="H39" s="50"/>
      <c r="I39" s="50"/>
      <c r="J39" s="50"/>
      <c r="K39" s="50"/>
      <c r="L39" s="64"/>
      <c r="M39" s="50"/>
      <c r="N39" s="50"/>
      <c r="O39" s="50"/>
      <c r="P39" s="50"/>
      <c r="Q39" s="56"/>
    </row>
    <row r="40">
      <c r="A40" s="49" t="s">
        <v>101</v>
      </c>
      <c r="B40" s="41"/>
      <c r="C40" s="41"/>
      <c r="D40" s="50">
        <f>'Parámetros'!C27</f>
        <v>21.5</v>
      </c>
      <c r="E40" s="50">
        <f t="shared" si="7"/>
        <v>2.5</v>
      </c>
      <c r="F40" s="42"/>
      <c r="G40" s="50">
        <f>'Parámetros'!C30</f>
        <v>6</v>
      </c>
      <c r="H40" s="57">
        <f>E39+158.9-10*LOG10('Parámetros'!C13*10^9)-G40</f>
        <v>32.93089987</v>
      </c>
      <c r="I40" s="58">
        <f>10^(H40/10)</f>
        <v>1963.767133</v>
      </c>
      <c r="J40" s="58">
        <f>10*LOG10(K40)</f>
        <v>31.75409084</v>
      </c>
      <c r="K40" s="58">
        <f>1/((1/K38)+(1/I40))</f>
        <v>1497.645701</v>
      </c>
      <c r="L40" s="59">
        <f>(2/3)^3*'Parámetros'!C56*('Parámetros'!C57)^2*'No linealidades'!D7*(10^(E41/10)*0.001)^2*LOG10(PI()^2*ABS('Parámetros'!C58*10^(-24))*'No linealidades'!D7*('Parámetros'!C59)^2*'Parámetros'!C60^2)/(PI()*ABS('Parámetros'!C58*10^(-24))*'Parámetros'!C60^3)*'Parámetros'!C13*10^9
</f>
        <v>0.00004868303593</v>
      </c>
      <c r="M40" s="72">
        <f>10*LOG10(N40)</f>
        <v>43.12622346</v>
      </c>
      <c r="N40" s="72">
        <f>1/L40</f>
        <v>20541.03613</v>
      </c>
      <c r="O40" s="72">
        <f>10*LOG10(P40)</f>
        <v>43.12622346</v>
      </c>
      <c r="P40" s="73">
        <f>N40</f>
        <v>20541.03613</v>
      </c>
      <c r="Q40" s="116">
        <f>10*LOG10(HARMEAN(K40,P40)/2)</f>
        <v>31.44845816</v>
      </c>
    </row>
    <row r="41">
      <c r="A41" s="49" t="s">
        <v>102</v>
      </c>
      <c r="B41" s="41"/>
      <c r="C41" s="41"/>
      <c r="D41" s="50">
        <v>0.0</v>
      </c>
      <c r="E41" s="50">
        <f>E40</f>
        <v>2.5</v>
      </c>
      <c r="F41" s="42"/>
      <c r="G41" s="50"/>
      <c r="H41" s="50"/>
      <c r="I41" s="50"/>
      <c r="J41" s="50"/>
      <c r="K41" s="50"/>
      <c r="L41" s="64"/>
      <c r="M41" s="50"/>
      <c r="N41" s="50"/>
      <c r="O41" s="50"/>
      <c r="P41" s="50"/>
      <c r="Q41" s="56"/>
    </row>
    <row r="42">
      <c r="A42" s="65" t="s">
        <v>103</v>
      </c>
      <c r="B42" s="66">
        <v>76.0</v>
      </c>
      <c r="C42" s="66">
        <f>'Parámetros'!C41</f>
        <v>0.185</v>
      </c>
      <c r="D42" s="66">
        <f>-B42*C42</f>
        <v>-14.06</v>
      </c>
      <c r="E42" s="66">
        <f>D42+E41</f>
        <v>-11.56</v>
      </c>
      <c r="F42" s="65" t="str">
        <f>IF(E42&gt;='Parámetros'!C18,"V","F")</f>
        <v>V</v>
      </c>
      <c r="G42" s="67"/>
      <c r="H42" s="67"/>
      <c r="I42" s="75"/>
      <c r="J42" s="67"/>
      <c r="K42" s="67"/>
      <c r="L42" s="67"/>
      <c r="M42" s="67"/>
      <c r="N42" s="67"/>
      <c r="O42" s="67"/>
      <c r="P42" s="67"/>
      <c r="Q42" s="56"/>
    </row>
    <row r="43">
      <c r="A43" s="44" t="s">
        <v>112</v>
      </c>
      <c r="B43" s="45"/>
      <c r="C43" s="45"/>
      <c r="D43" s="45"/>
      <c r="E43" s="45"/>
      <c r="F43" s="47"/>
      <c r="G43" s="45"/>
      <c r="H43" s="45"/>
      <c r="I43" s="76"/>
      <c r="J43" s="45"/>
      <c r="K43" s="45"/>
      <c r="L43" s="45"/>
      <c r="M43" s="45"/>
      <c r="N43" s="45"/>
      <c r="O43" s="45"/>
      <c r="P43" s="45"/>
      <c r="Q43" s="56"/>
    </row>
    <row r="44">
      <c r="A44" s="49" t="s">
        <v>105</v>
      </c>
      <c r="B44" s="41"/>
      <c r="C44" s="41"/>
      <c r="D44" s="50">
        <f>-(E42+'Parámetros'!H18)</f>
        <v>-7.24</v>
      </c>
      <c r="E44" s="54">
        <f>E42+D44</f>
        <v>-18.8</v>
      </c>
      <c r="F44" s="68">
        <f>'Parámetros'!C22</f>
        <v>-18.02</v>
      </c>
      <c r="G44" s="41"/>
      <c r="H44" s="41"/>
      <c r="I44" s="77"/>
      <c r="J44" s="41"/>
      <c r="K44" s="41"/>
      <c r="L44" s="41"/>
      <c r="M44" s="41"/>
      <c r="N44" s="41"/>
      <c r="O44" s="41"/>
      <c r="P44" s="41"/>
      <c r="Q44" s="56"/>
    </row>
    <row r="45">
      <c r="A45" s="49" t="s">
        <v>106</v>
      </c>
      <c r="B45" s="41"/>
      <c r="C45" s="41"/>
      <c r="D45" s="50">
        <f>'Parámetros'!C20</f>
        <v>21</v>
      </c>
      <c r="E45" s="50">
        <f t="shared" ref="E45:E50" si="8">D45+E44</f>
        <v>2.2</v>
      </c>
      <c r="F45" s="42"/>
      <c r="G45" s="50">
        <f>'Parámetros'!C23</f>
        <v>5.5</v>
      </c>
      <c r="H45" s="71">
        <f>E44+158.9-10*LOG10('Parámetros'!C13*10^9)-G45</f>
        <v>33.63089987</v>
      </c>
      <c r="I45" s="71">
        <f>10^(H45/10)</f>
        <v>2307.225203</v>
      </c>
      <c r="J45" s="71">
        <f>10*LOG10(K45)</f>
        <v>29.58159145</v>
      </c>
      <c r="K45" s="71">
        <f>1/(1/I45+1/K40)</f>
        <v>908.1532577</v>
      </c>
      <c r="L45" s="52" t="s">
        <v>99</v>
      </c>
      <c r="M45" s="52" t="s">
        <v>99</v>
      </c>
      <c r="N45" s="52" t="s">
        <v>99</v>
      </c>
      <c r="O45" s="52" t="s">
        <v>99</v>
      </c>
      <c r="P45" s="52" t="s">
        <v>99</v>
      </c>
      <c r="Q45" s="56">
        <f>10*LOG10(HARMEAN(K45,P40)/2)</f>
        <v>29.39370608</v>
      </c>
    </row>
    <row r="46">
      <c r="A46" s="49" t="s">
        <v>107</v>
      </c>
      <c r="B46" s="41"/>
      <c r="C46" s="41"/>
      <c r="D46" s="50">
        <f>-'Parámetros'!C16</f>
        <v>-10</v>
      </c>
      <c r="E46" s="50">
        <f t="shared" si="8"/>
        <v>-7.8</v>
      </c>
      <c r="F46" s="42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56"/>
    </row>
    <row r="47">
      <c r="A47" s="49" t="s">
        <v>108</v>
      </c>
      <c r="B47" s="41"/>
      <c r="C47" s="41"/>
      <c r="D47" s="50">
        <f>-'Parámetros'!C16</f>
        <v>-10</v>
      </c>
      <c r="E47" s="54">
        <f t="shared" si="8"/>
        <v>-17.8</v>
      </c>
      <c r="F47" s="69">
        <f>'Parámetros'!C29</f>
        <v>-17.52</v>
      </c>
      <c r="G47" s="41"/>
      <c r="H47" s="41"/>
      <c r="I47" s="77"/>
      <c r="J47" s="41"/>
      <c r="K47" s="41"/>
      <c r="L47" s="41"/>
      <c r="M47" s="41"/>
      <c r="N47" s="41"/>
      <c r="O47" s="41"/>
      <c r="P47" s="41"/>
      <c r="Q47" s="56"/>
    </row>
    <row r="48">
      <c r="A48" s="49" t="s">
        <v>101</v>
      </c>
      <c r="B48" s="41"/>
      <c r="C48" s="41"/>
      <c r="D48" s="50">
        <f>'Parámetros'!C27</f>
        <v>21.5</v>
      </c>
      <c r="E48" s="50">
        <f t="shared" si="8"/>
        <v>3.7</v>
      </c>
      <c r="F48" s="49"/>
      <c r="G48" s="41">
        <f>'Parámetros'!C30</f>
        <v>6</v>
      </c>
      <c r="H48" s="57">
        <f>E47+158.9-10*LOG10('Parámetros'!C13*10^9)-G48</f>
        <v>34.13089987</v>
      </c>
      <c r="I48" s="57">
        <f>10^(H48/10)</f>
        <v>2588.749255</v>
      </c>
      <c r="J48" s="57">
        <f>10*LOG10(K48)</f>
        <v>28.27565607</v>
      </c>
      <c r="K48" s="57">
        <f>1/(1/I48+1/K45)</f>
        <v>672.3038635</v>
      </c>
      <c r="L48" s="59">
        <f>(2/3)^3*'Parámetros'!C56*('Parámetros'!C57)^2*'No linealidades'!D8*(10^(E49/10)*0.001)^2*LOG10(PI()^2*ABS('Parámetros'!C58*10^(-24))*'No linealidades'!D8*('Parámetros'!C59)^2*'Parámetros'!C60^2)/(PI()*ABS('Parámetros'!C58*10^(-24))*'Parámetros'!C60^3)*'Parámetros'!C13*10^9
</f>
        <v>0.00004910159713</v>
      </c>
      <c r="M48" s="72">
        <f>10*LOG10(N48)</f>
        <v>43.08904381</v>
      </c>
      <c r="N48" s="72">
        <f>1/L48</f>
        <v>20365.93631</v>
      </c>
      <c r="O48" s="72">
        <f>10*LOG10(P48)</f>
        <v>40.0972939</v>
      </c>
      <c r="P48" s="73">
        <f>HARMEAN(N40,N48)/2</f>
        <v>10226.55573</v>
      </c>
      <c r="Q48" s="63">
        <f>10*LOG10(HARMEAN(K48,P48)/2)</f>
        <v>27.99913939</v>
      </c>
    </row>
    <row r="49">
      <c r="A49" s="49" t="s">
        <v>102</v>
      </c>
      <c r="B49" s="41"/>
      <c r="C49" s="41"/>
      <c r="D49" s="50">
        <f>-(E48-'Parámetros'!I30)</f>
        <v>-1.2</v>
      </c>
      <c r="E49" s="50">
        <f t="shared" si="8"/>
        <v>2.5</v>
      </c>
      <c r="F49" s="42"/>
      <c r="G49" s="50"/>
      <c r="H49" s="50"/>
      <c r="I49" s="50"/>
      <c r="J49" s="50"/>
      <c r="K49" s="50"/>
      <c r="L49" s="64"/>
      <c r="M49" s="50"/>
      <c r="N49" s="50"/>
      <c r="O49" s="50"/>
      <c r="P49" s="50"/>
      <c r="Q49" s="56"/>
    </row>
    <row r="50">
      <c r="A50" s="65" t="s">
        <v>103</v>
      </c>
      <c r="B50" s="66">
        <v>81.0</v>
      </c>
      <c r="C50" s="66">
        <f>'Parámetros'!C41</f>
        <v>0.185</v>
      </c>
      <c r="D50" s="66">
        <f>-B50*C50</f>
        <v>-14.985</v>
      </c>
      <c r="E50" s="66">
        <f t="shared" si="8"/>
        <v>-12.485</v>
      </c>
      <c r="F50" s="65" t="str">
        <f>IF(E50&gt;='Parámetros'!C18,"V","F")</f>
        <v>V</v>
      </c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56"/>
    </row>
    <row r="51">
      <c r="A51" s="44" t="s">
        <v>114</v>
      </c>
      <c r="B51" s="45"/>
      <c r="C51" s="45"/>
      <c r="D51" s="45"/>
      <c r="E51" s="45"/>
      <c r="F51" s="47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56"/>
    </row>
    <row r="52">
      <c r="A52" s="49" t="s">
        <v>105</v>
      </c>
      <c r="B52" s="41"/>
      <c r="C52" s="41"/>
      <c r="D52" s="50">
        <f>-(E50+'Parámetros'!H18)</f>
        <v>-6.315</v>
      </c>
      <c r="E52" s="54">
        <f>E50+D52</f>
        <v>-18.8</v>
      </c>
      <c r="F52" s="68">
        <f>'Parámetros'!C22</f>
        <v>-18.02</v>
      </c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81"/>
    </row>
    <row r="53">
      <c r="A53" s="49" t="s">
        <v>106</v>
      </c>
      <c r="B53" s="41"/>
      <c r="C53" s="41"/>
      <c r="D53" s="50">
        <f>'Parámetros'!C20</f>
        <v>21</v>
      </c>
      <c r="E53" s="50">
        <f t="shared" ref="E53:E54" si="9">D53+E52</f>
        <v>2.2</v>
      </c>
      <c r="F53" s="42"/>
      <c r="G53" s="50">
        <f>'Parámetros'!C23</f>
        <v>5.5</v>
      </c>
      <c r="H53" s="50">
        <f>E52+158.9-10*LOG10('Parámetros'!C13*10^9)-G53</f>
        <v>33.63089987</v>
      </c>
      <c r="I53" s="50">
        <f>10^(H53/10)</f>
        <v>2307.225203</v>
      </c>
      <c r="J53" s="50">
        <f>10*LOG10(K53)</f>
        <v>27.16507968</v>
      </c>
      <c r="K53" s="50">
        <f>1/(1/I53+1/K48)</f>
        <v>520.6045597</v>
      </c>
      <c r="L53" s="52" t="s">
        <v>99</v>
      </c>
      <c r="M53" s="52" t="s">
        <v>99</v>
      </c>
      <c r="N53" s="52" t="s">
        <v>99</v>
      </c>
      <c r="O53" s="52" t="s">
        <v>99</v>
      </c>
      <c r="P53" s="52" t="s">
        <v>99</v>
      </c>
      <c r="Q53" s="56">
        <f>10*LOG10(HARMEAN(K53,P48)/2)</f>
        <v>26.94943631</v>
      </c>
    </row>
    <row r="54">
      <c r="A54" s="49" t="s">
        <v>115</v>
      </c>
      <c r="B54" s="41"/>
      <c r="C54" s="41"/>
      <c r="D54" s="50">
        <f>-'Parámetros'!C16</f>
        <v>-10</v>
      </c>
      <c r="E54" s="50">
        <f t="shared" si="9"/>
        <v>-7.8</v>
      </c>
      <c r="F54" s="42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81"/>
    </row>
    <row r="55">
      <c r="A55" s="49" t="s">
        <v>98</v>
      </c>
      <c r="B55" s="41"/>
      <c r="C55" s="41"/>
      <c r="D55" s="41"/>
      <c r="E55" s="50">
        <f>E54</f>
        <v>-7.8</v>
      </c>
      <c r="F55" s="49" t="str">
        <f>IF(E55&gt;='Parámetros'!C7,"V","F")</f>
        <v>V</v>
      </c>
      <c r="G55" s="41"/>
      <c r="H55" s="41"/>
      <c r="I55" s="41"/>
      <c r="J55" s="50"/>
      <c r="K55" s="50"/>
      <c r="L55" s="41"/>
      <c r="M55" s="41"/>
      <c r="N55" s="41"/>
      <c r="O55" s="50"/>
      <c r="P55" s="50"/>
      <c r="Q55" s="82"/>
    </row>
    <row r="56">
      <c r="A56" s="42"/>
      <c r="B56" s="41"/>
      <c r="C56" s="41"/>
      <c r="D56" s="41"/>
      <c r="E56" s="41"/>
      <c r="F56" s="83" t="s">
        <v>116</v>
      </c>
      <c r="G56" s="84"/>
      <c r="H56" s="84"/>
      <c r="I56" s="84"/>
      <c r="J56" s="85">
        <f t="shared" ref="J56:K56" si="10">J53</f>
        <v>27.16507968</v>
      </c>
      <c r="K56" s="86">
        <f t="shared" si="10"/>
        <v>520.6045597</v>
      </c>
      <c r="L56" s="84"/>
      <c r="M56" s="84"/>
      <c r="N56" s="84"/>
      <c r="O56" s="85">
        <f t="shared" ref="O56:P56" si="11">O48</f>
        <v>40.0972939</v>
      </c>
      <c r="P56" s="85">
        <f t="shared" si="11"/>
        <v>10226.55573</v>
      </c>
      <c r="Q56" s="87">
        <f>10*LOG10(HARMEAN(K56,P56)/2)</f>
        <v>26.94943631</v>
      </c>
      <c r="R56" s="117" t="s">
        <v>144</v>
      </c>
    </row>
    <row r="57">
      <c r="A57" s="42"/>
      <c r="B57" s="41"/>
      <c r="C57" s="41"/>
      <c r="D57" s="41"/>
      <c r="E57" s="41"/>
      <c r="F57" s="83" t="s">
        <v>118</v>
      </c>
      <c r="H57" s="84"/>
      <c r="I57" s="84"/>
      <c r="J57" s="85">
        <f>'Parámetros'!C10</f>
        <v>23.5</v>
      </c>
      <c r="K57" s="89">
        <f>10^(J57/10)</f>
        <v>223.8721139</v>
      </c>
      <c r="L57" s="84"/>
      <c r="M57" s="84"/>
      <c r="N57" s="84"/>
      <c r="O57" s="85"/>
      <c r="P57" s="84"/>
      <c r="Q57" s="90">
        <f>'Parámetros'!C12</f>
        <v>23.5</v>
      </c>
    </row>
    <row r="59">
      <c r="A59" s="91" t="s">
        <v>119</v>
      </c>
      <c r="B59" s="91" t="s">
        <v>120</v>
      </c>
      <c r="C59" s="91" t="s">
        <v>121</v>
      </c>
      <c r="D59" s="91" t="s">
        <v>122</v>
      </c>
      <c r="E59" s="41"/>
      <c r="F59" s="41"/>
      <c r="G59" s="92"/>
      <c r="H59" s="91" t="s">
        <v>119</v>
      </c>
      <c r="I59" s="91" t="s">
        <v>120</v>
      </c>
    </row>
    <row r="60">
      <c r="A60" s="93" t="s">
        <v>123</v>
      </c>
      <c r="B60" s="94">
        <v>18.0</v>
      </c>
      <c r="C60" s="93">
        <v>-17.0</v>
      </c>
      <c r="D60" s="94">
        <v>12000.0</v>
      </c>
      <c r="E60" s="41"/>
      <c r="F60" s="41"/>
      <c r="G60" s="92"/>
      <c r="H60" s="94" t="s">
        <v>124</v>
      </c>
      <c r="I60" s="94">
        <v>17.09</v>
      </c>
    </row>
    <row r="61">
      <c r="A61" s="95" t="s">
        <v>125</v>
      </c>
      <c r="B61" s="95" t="s">
        <v>81</v>
      </c>
      <c r="C61" s="95" t="s">
        <v>126</v>
      </c>
      <c r="D61" s="95" t="s">
        <v>127</v>
      </c>
      <c r="E61" s="41"/>
      <c r="F61" s="41"/>
      <c r="G61" s="95" t="s">
        <v>81</v>
      </c>
      <c r="H61" s="95" t="s">
        <v>126</v>
      </c>
      <c r="I61" s="95" t="s">
        <v>127</v>
      </c>
    </row>
    <row r="62">
      <c r="A62" s="96" t="s">
        <v>128</v>
      </c>
      <c r="B62" s="97">
        <v>80.0</v>
      </c>
      <c r="C62" s="96">
        <f t="shared" ref="C62:C67" si="12">B62*B$60</f>
        <v>1440</v>
      </c>
      <c r="D62" s="97">
        <f>C62</f>
        <v>1440</v>
      </c>
      <c r="E62" s="41"/>
      <c r="F62" s="41"/>
      <c r="G62" s="97">
        <v>80.0</v>
      </c>
      <c r="H62" s="97">
        <f t="shared" ref="H62:H67" si="13">G62*I$60</f>
        <v>1367.2</v>
      </c>
      <c r="I62" s="97">
        <f>H62</f>
        <v>1367.2</v>
      </c>
    </row>
    <row r="63">
      <c r="A63" s="96" t="s">
        <v>129</v>
      </c>
      <c r="B63" s="97">
        <v>13.0</v>
      </c>
      <c r="C63" s="96">
        <f t="shared" si="12"/>
        <v>234</v>
      </c>
      <c r="D63" s="97">
        <f t="shared" ref="D63:D65" si="14">C63+D62</f>
        <v>1674</v>
      </c>
      <c r="E63" s="41"/>
      <c r="F63" s="41"/>
      <c r="G63" s="97">
        <v>13.0</v>
      </c>
      <c r="H63" s="97">
        <f t="shared" si="13"/>
        <v>222.17</v>
      </c>
      <c r="I63" s="97">
        <f t="shared" ref="I63:I65" si="15">H63+I62</f>
        <v>1589.37</v>
      </c>
    </row>
    <row r="64">
      <c r="A64" s="96" t="s">
        <v>130</v>
      </c>
      <c r="B64" s="97">
        <v>67.0</v>
      </c>
      <c r="C64" s="96">
        <f t="shared" si="12"/>
        <v>1206</v>
      </c>
      <c r="D64" s="97">
        <f t="shared" si="14"/>
        <v>2880</v>
      </c>
      <c r="E64" s="41"/>
      <c r="F64" s="41"/>
      <c r="G64" s="97">
        <v>67.0</v>
      </c>
      <c r="H64" s="97">
        <f t="shared" si="13"/>
        <v>1145.03</v>
      </c>
      <c r="I64" s="97">
        <f t="shared" si="15"/>
        <v>2734.4</v>
      </c>
    </row>
    <row r="65">
      <c r="A65" s="96" t="s">
        <v>131</v>
      </c>
      <c r="B65" s="97">
        <v>34.0</v>
      </c>
      <c r="C65" s="96">
        <f t="shared" si="12"/>
        <v>612</v>
      </c>
      <c r="D65" s="97">
        <f t="shared" si="14"/>
        <v>3492</v>
      </c>
      <c r="E65" s="41"/>
      <c r="F65" s="41"/>
      <c r="G65" s="97">
        <v>34.0</v>
      </c>
      <c r="H65" s="97">
        <f t="shared" si="13"/>
        <v>581.06</v>
      </c>
      <c r="I65" s="97">
        <f t="shared" si="15"/>
        <v>3315.46</v>
      </c>
    </row>
    <row r="66">
      <c r="A66" s="118" t="s">
        <v>132</v>
      </c>
      <c r="B66" s="119">
        <v>76.0</v>
      </c>
      <c r="C66" s="118">
        <f t="shared" si="12"/>
        <v>1368</v>
      </c>
      <c r="D66" s="119">
        <f>C66</f>
        <v>1368</v>
      </c>
      <c r="E66" s="41"/>
      <c r="F66" s="41"/>
      <c r="G66" s="119">
        <v>76.0</v>
      </c>
      <c r="H66" s="119">
        <f t="shared" si="13"/>
        <v>1298.84</v>
      </c>
      <c r="I66" s="119">
        <f>H66</f>
        <v>1298.84</v>
      </c>
    </row>
    <row r="67">
      <c r="A67" s="96" t="s">
        <v>133</v>
      </c>
      <c r="B67" s="97">
        <v>81.0</v>
      </c>
      <c r="C67" s="96">
        <f t="shared" si="12"/>
        <v>1458</v>
      </c>
      <c r="D67" s="97">
        <f>C67+D66</f>
        <v>2826</v>
      </c>
      <c r="E67" s="41"/>
      <c r="F67" s="41"/>
      <c r="G67" s="97">
        <v>81.0</v>
      </c>
      <c r="H67" s="97">
        <f t="shared" si="13"/>
        <v>1384.29</v>
      </c>
      <c r="I67" s="97">
        <f>H67+I66</f>
        <v>2683.13</v>
      </c>
    </row>
    <row r="68">
      <c r="A68" s="41"/>
      <c r="B68" s="41"/>
      <c r="C68" s="41"/>
      <c r="D68" s="41"/>
      <c r="E68" s="41"/>
      <c r="F68" s="41"/>
      <c r="G68" s="41"/>
      <c r="H68" s="41"/>
      <c r="I68" s="41"/>
    </row>
    <row r="69">
      <c r="A69" s="41"/>
      <c r="B69" s="41"/>
      <c r="C69" s="41"/>
      <c r="D69" s="41"/>
      <c r="E69" s="41"/>
      <c r="F69" s="41"/>
      <c r="G69" s="41"/>
      <c r="H69" s="41"/>
      <c r="I69" s="41"/>
    </row>
    <row r="70">
      <c r="A70" s="42"/>
      <c r="B70" s="41"/>
      <c r="C70" s="42"/>
      <c r="D70" s="41"/>
      <c r="E70" s="41"/>
      <c r="F70" s="41"/>
      <c r="G70" s="92"/>
      <c r="H70" s="91" t="s">
        <v>119</v>
      </c>
      <c r="I70" s="91" t="s">
        <v>120</v>
      </c>
    </row>
    <row r="71">
      <c r="A71" s="91" t="s">
        <v>134</v>
      </c>
      <c r="B71" s="94">
        <f>'Parámetros'!C43</f>
        <v>0.1</v>
      </c>
      <c r="C71" s="98" t="s">
        <v>135</v>
      </c>
      <c r="D71" s="41"/>
      <c r="E71" s="41"/>
      <c r="F71" s="41"/>
      <c r="G71" s="92"/>
      <c r="H71" s="94" t="s">
        <v>136</v>
      </c>
      <c r="I71" s="94">
        <v>18.85</v>
      </c>
    </row>
    <row r="72">
      <c r="A72" s="95" t="s">
        <v>125</v>
      </c>
      <c r="B72" s="95" t="s">
        <v>81</v>
      </c>
      <c r="C72" s="95" t="s">
        <v>137</v>
      </c>
      <c r="D72" s="41"/>
      <c r="E72" s="41"/>
      <c r="F72" s="41"/>
      <c r="G72" s="95" t="s">
        <v>81</v>
      </c>
      <c r="H72" s="95" t="s">
        <v>126</v>
      </c>
      <c r="I72" s="95" t="s">
        <v>127</v>
      </c>
    </row>
    <row r="73">
      <c r="A73" s="96" t="s">
        <v>128</v>
      </c>
      <c r="B73" s="97">
        <v>80.0</v>
      </c>
      <c r="C73" s="97">
        <f t="shared" ref="C73:C78" si="16">B$71*SQRT(B73)</f>
        <v>0.894427191</v>
      </c>
      <c r="D73" s="41"/>
      <c r="E73" s="41"/>
      <c r="F73" s="41"/>
      <c r="G73" s="97">
        <v>80.0</v>
      </c>
      <c r="H73" s="97">
        <f t="shared" ref="H73:H78" si="17">G73*I$71</f>
        <v>1508</v>
      </c>
      <c r="I73" s="97">
        <f>H73</f>
        <v>1508</v>
      </c>
    </row>
    <row r="74">
      <c r="A74" s="96" t="s">
        <v>129</v>
      </c>
      <c r="B74" s="97">
        <v>13.0</v>
      </c>
      <c r="C74" s="97">
        <f t="shared" si="16"/>
        <v>0.3605551275</v>
      </c>
      <c r="D74" s="41"/>
      <c r="E74" s="41"/>
      <c r="F74" s="41"/>
      <c r="G74" s="97">
        <v>13.0</v>
      </c>
      <c r="H74" s="97">
        <f t="shared" si="17"/>
        <v>245.05</v>
      </c>
      <c r="I74" s="97">
        <f t="shared" ref="I74:I76" si="18">H74+I73</f>
        <v>1753.05</v>
      </c>
    </row>
    <row r="75">
      <c r="A75" s="96" t="s">
        <v>130</v>
      </c>
      <c r="B75" s="97">
        <v>67.0</v>
      </c>
      <c r="C75" s="97">
        <f t="shared" si="16"/>
        <v>0.8185352772</v>
      </c>
      <c r="D75" s="102" t="s">
        <v>145</v>
      </c>
      <c r="E75" s="41"/>
      <c r="F75" s="41"/>
      <c r="G75" s="97">
        <v>67.0</v>
      </c>
      <c r="H75" s="97">
        <f t="shared" si="17"/>
        <v>1262.95</v>
      </c>
      <c r="I75" s="97">
        <f t="shared" si="18"/>
        <v>3016</v>
      </c>
    </row>
    <row r="76">
      <c r="A76" s="96" t="s">
        <v>131</v>
      </c>
      <c r="B76" s="97">
        <v>34.0</v>
      </c>
      <c r="C76" s="97">
        <f t="shared" si="16"/>
        <v>0.5830951895</v>
      </c>
      <c r="D76" s="102">
        <f>SUM(C73:C76)</f>
        <v>2.656612785</v>
      </c>
      <c r="E76" s="41"/>
      <c r="F76" s="41"/>
      <c r="G76" s="97">
        <v>34.0</v>
      </c>
      <c r="H76" s="97">
        <f t="shared" si="17"/>
        <v>640.9</v>
      </c>
      <c r="I76" s="97">
        <f t="shared" si="18"/>
        <v>3656.9</v>
      </c>
    </row>
    <row r="77">
      <c r="A77" s="118" t="s">
        <v>132</v>
      </c>
      <c r="B77" s="119">
        <v>76.0</v>
      </c>
      <c r="C77" s="119">
        <f t="shared" si="16"/>
        <v>0.8717797887</v>
      </c>
      <c r="D77" s="41"/>
      <c r="E77" s="41"/>
      <c r="F77" s="41"/>
      <c r="G77" s="119">
        <v>76.0</v>
      </c>
      <c r="H77" s="119">
        <f t="shared" si="17"/>
        <v>1432.6</v>
      </c>
      <c r="I77" s="119">
        <f>H77</f>
        <v>1432.6</v>
      </c>
    </row>
    <row r="78">
      <c r="A78" s="96" t="s">
        <v>133</v>
      </c>
      <c r="B78" s="97">
        <v>81.0</v>
      </c>
      <c r="C78" s="97">
        <f t="shared" si="16"/>
        <v>0.9</v>
      </c>
      <c r="D78" s="41"/>
      <c r="E78" s="41"/>
      <c r="F78" s="41"/>
      <c r="G78" s="97">
        <v>81.0</v>
      </c>
      <c r="H78" s="97">
        <f t="shared" si="17"/>
        <v>1526.85</v>
      </c>
      <c r="I78" s="97">
        <f>H78+I77</f>
        <v>2959.45</v>
      </c>
    </row>
    <row r="79">
      <c r="A79" s="102" t="s">
        <v>138</v>
      </c>
      <c r="B79" s="101"/>
      <c r="C79" s="102">
        <f>SUM(C77:C78)</f>
        <v>1.771779789</v>
      </c>
      <c r="D79" s="41"/>
      <c r="E79" s="41"/>
      <c r="F79" s="41"/>
      <c r="G79" s="41"/>
      <c r="H79" s="41"/>
      <c r="I79" s="41"/>
    </row>
    <row r="80">
      <c r="B80" s="9" t="s">
        <v>139</v>
      </c>
      <c r="C80" s="3"/>
      <c r="D80" s="41"/>
      <c r="E80" s="41"/>
      <c r="F80" s="41"/>
      <c r="G80" s="103"/>
      <c r="H80" s="41"/>
      <c r="I80" s="103"/>
    </row>
  </sheetData>
  <mergeCells count="4">
    <mergeCell ref="A1:C1"/>
    <mergeCell ref="F57:G57"/>
    <mergeCell ref="R56:R57"/>
    <mergeCell ref="B80:C8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38"/>
    <col customWidth="1" min="2" max="2" width="10.63"/>
    <col customWidth="1" min="3" max="3" width="25.25"/>
    <col customWidth="1" min="4" max="4" width="16.0"/>
    <col customWidth="1" min="5" max="5" width="17.13"/>
  </cols>
  <sheetData>
    <row r="1">
      <c r="A1" s="120" t="s">
        <v>146</v>
      </c>
      <c r="B1" s="2"/>
      <c r="C1" s="2"/>
      <c r="D1" s="2"/>
      <c r="E1" s="3"/>
    </row>
    <row r="2">
      <c r="A2" s="121" t="s">
        <v>125</v>
      </c>
      <c r="B2" s="121" t="s">
        <v>81</v>
      </c>
      <c r="C2" s="121" t="s">
        <v>147</v>
      </c>
      <c r="D2" s="121" t="s">
        <v>148</v>
      </c>
      <c r="E2" s="121" t="s">
        <v>149</v>
      </c>
    </row>
    <row r="3">
      <c r="A3" s="122" t="s">
        <v>128</v>
      </c>
      <c r="B3" s="122">
        <v>80.0</v>
      </c>
      <c r="C3" s="122">
        <f>'Enlace Comprometido'!E7</f>
        <v>2.5</v>
      </c>
      <c r="D3" s="122">
        <f t="shared" ref="D3:D8" si="1">(1-EXP(-$H$3*B3))/$H$3</f>
        <v>22.6980346</v>
      </c>
      <c r="E3" s="122">
        <f>(1.55*'Parámetros'!$C$46)/(2*PI()*'Parámetros'!$C$47*10^(C3/10)*0.001)*10^-9</f>
        <v>655.0858979</v>
      </c>
      <c r="G3" s="123" t="s">
        <v>150</v>
      </c>
      <c r="H3" s="124">
        <f>'Parámetros'!$C$41*LN(10)/10</f>
        <v>0.04259782422</v>
      </c>
    </row>
    <row r="4">
      <c r="A4" s="122" t="s">
        <v>129</v>
      </c>
      <c r="B4" s="122">
        <v>13.0</v>
      </c>
      <c r="C4" s="122">
        <f>'Enlace Comprometido'!E15</f>
        <v>2.5</v>
      </c>
      <c r="D4" s="122">
        <f t="shared" si="1"/>
        <v>9.982251182</v>
      </c>
      <c r="E4" s="122">
        <f>(1.55*'Parámetros'!$C$46)/(2*PI()*'Parámetros'!$C$47*10^(C4/10)*0.001)*10^-9</f>
        <v>655.0858979</v>
      </c>
    </row>
    <row r="5">
      <c r="A5" s="122" t="s">
        <v>130</v>
      </c>
      <c r="B5" s="122">
        <v>67.0</v>
      </c>
      <c r="C5" s="122">
        <f>'Enlace Comprometido'!E23</f>
        <v>2.5</v>
      </c>
      <c r="D5" s="122">
        <f t="shared" si="1"/>
        <v>22.12295429</v>
      </c>
      <c r="E5" s="122">
        <f>(1.55*'Parámetros'!$C$46)/(2*PI()*'Parámetros'!$C$47*10^(C5/10)*0.001)*10^-9</f>
        <v>655.0858979</v>
      </c>
    </row>
    <row r="6">
      <c r="A6" s="122" t="s">
        <v>131</v>
      </c>
      <c r="B6" s="122">
        <v>34.0</v>
      </c>
      <c r="C6" s="122">
        <f>'Enlace Comprometido'!E31</f>
        <v>2.5</v>
      </c>
      <c r="D6" s="122">
        <f t="shared" si="1"/>
        <v>17.95952568</v>
      </c>
      <c r="E6" s="122">
        <f>(1.55*'Parámetros'!$C$46)/(2*PI()*'Parámetros'!$C$47*10^(C6/10)*0.001)*10^-9</f>
        <v>655.0858979</v>
      </c>
    </row>
    <row r="7">
      <c r="A7" s="122" t="s">
        <v>151</v>
      </c>
      <c r="B7" s="122">
        <v>76.0</v>
      </c>
      <c r="C7" s="122">
        <f>'Enlace Comprometido'!E39</f>
        <v>2.5</v>
      </c>
      <c r="D7" s="122">
        <f t="shared" si="1"/>
        <v>22.5536286</v>
      </c>
      <c r="E7" s="122">
        <f>(1.55*'Parámetros'!$C$46)/(2*PI()*'Parámetros'!$C$47*10^(C7/10)*0.001)*10^-9</f>
        <v>655.0858979</v>
      </c>
    </row>
    <row r="8">
      <c r="A8" s="122" t="s">
        <v>152</v>
      </c>
      <c r="B8" s="122">
        <v>81.0</v>
      </c>
      <c r="C8" s="122">
        <f>'Enlace Comprometido'!E47</f>
        <v>2.5</v>
      </c>
      <c r="D8" s="122">
        <f t="shared" si="1"/>
        <v>22.73045234</v>
      </c>
      <c r="E8" s="122">
        <f>(1.55*'Parámetros'!$C$46)/(2*PI()*'Parámetros'!$C$47*10^(C8/10)*0.001)*10^-9</f>
        <v>655.0858979</v>
      </c>
    </row>
    <row r="9">
      <c r="A9" s="122" t="s">
        <v>116</v>
      </c>
      <c r="B9" s="122">
        <f>SUM(B3:B8)</f>
        <v>351</v>
      </c>
    </row>
    <row r="11">
      <c r="A11" s="120" t="s">
        <v>153</v>
      </c>
      <c r="B11" s="2"/>
      <c r="C11" s="2"/>
      <c r="D11" s="2"/>
      <c r="E11" s="3"/>
    </row>
    <row r="12">
      <c r="A12" s="121" t="s">
        <v>125</v>
      </c>
      <c r="B12" s="121" t="s">
        <v>81</v>
      </c>
      <c r="C12" s="121" t="s">
        <v>147</v>
      </c>
      <c r="D12" s="121" t="s">
        <v>148</v>
      </c>
      <c r="E12" s="121" t="s">
        <v>149</v>
      </c>
    </row>
    <row r="13">
      <c r="A13" s="122" t="s">
        <v>154</v>
      </c>
      <c r="B13" s="122">
        <v>107.0</v>
      </c>
      <c r="C13" s="122">
        <f>'Enlace Largo'!E7</f>
        <v>2.5</v>
      </c>
      <c r="D13" s="122">
        <f t="shared" ref="D13:D19" si="2">(1-EXP(-$H$3*B13))/$H$3</f>
        <v>23.22927685</v>
      </c>
      <c r="E13" s="122">
        <f>(1.55*'Parámetros'!$C$46)/(2*PI()*'Parámetros'!$C$47*10^(C13/10)*0.001)*10^-9</f>
        <v>655.0858979</v>
      </c>
    </row>
    <row r="14">
      <c r="A14" s="122" t="s">
        <v>155</v>
      </c>
      <c r="B14" s="122">
        <v>95.0</v>
      </c>
      <c r="C14" s="122">
        <f>'Enlace Largo'!E11</f>
        <v>5.48</v>
      </c>
      <c r="D14" s="122">
        <f t="shared" si="2"/>
        <v>23.06506695</v>
      </c>
      <c r="E14" s="122">
        <f>(1.55*'Parámetros'!$C$46)/(2*PI()*'Parámetros'!$C$47*10^(C14/10)*0.001)*10^-9</f>
        <v>329.8361484</v>
      </c>
    </row>
    <row r="15">
      <c r="A15" s="122" t="s">
        <v>156</v>
      </c>
      <c r="B15" s="122">
        <v>77.0</v>
      </c>
      <c r="C15" s="122">
        <f>'Enlace Largo'!E15</f>
        <v>5.48</v>
      </c>
      <c r="D15" s="122">
        <f t="shared" si="2"/>
        <v>22.59206855</v>
      </c>
      <c r="E15" s="122">
        <f>(1.55*'Parámetros'!$C$46)/(2*PI()*'Parámetros'!$C$47*10^(C15/10)*0.001)*10^-9</f>
        <v>329.8361484</v>
      </c>
    </row>
    <row r="16">
      <c r="A16" s="122" t="s">
        <v>157</v>
      </c>
      <c r="B16" s="122">
        <v>74.0</v>
      </c>
      <c r="C16" s="122">
        <f>'Enlace Largo'!E19</f>
        <v>5.48</v>
      </c>
      <c r="D16" s="122">
        <f t="shared" si="2"/>
        <v>22.47165739</v>
      </c>
      <c r="E16" s="122">
        <f>(1.55*'Parámetros'!$C$46)/(2*PI()*'Parámetros'!$C$47*10^(C16/10)*0.001)*10^-9</f>
        <v>329.8361484</v>
      </c>
    </row>
    <row r="17">
      <c r="A17" s="122" t="s">
        <v>158</v>
      </c>
      <c r="B17" s="122">
        <v>96.0</v>
      </c>
      <c r="C17" s="122">
        <f>'Enlace Largo'!E23</f>
        <v>5.48</v>
      </c>
      <c r="D17" s="122">
        <f t="shared" si="2"/>
        <v>23.08217824</v>
      </c>
      <c r="E17" s="122">
        <f>(1.55*'Parámetros'!$C$46)/(2*PI()*'Parámetros'!$C$47*10^(C17/10)*0.001)*10^-9</f>
        <v>329.8361484</v>
      </c>
    </row>
    <row r="18">
      <c r="A18" s="122" t="s">
        <v>159</v>
      </c>
      <c r="B18" s="122">
        <v>64.0</v>
      </c>
      <c r="C18" s="122">
        <f>'Enlace Largo'!E27</f>
        <v>5.48</v>
      </c>
      <c r="D18" s="122">
        <f t="shared" si="2"/>
        <v>21.93859428</v>
      </c>
      <c r="E18" s="122">
        <f>(1.55*'Parámetros'!$C$46)/(2*PI()*'Parámetros'!$C$47*10^(C18/10)*0.001)*10^-9</f>
        <v>329.8361484</v>
      </c>
    </row>
    <row r="19">
      <c r="A19" s="122" t="s">
        <v>160</v>
      </c>
      <c r="B19" s="122">
        <v>79.0</v>
      </c>
      <c r="C19" s="122">
        <f>'Enlace Largo'!E31</f>
        <v>5.48</v>
      </c>
      <c r="D19" s="122">
        <f t="shared" si="2"/>
        <v>22.66420609</v>
      </c>
      <c r="E19" s="122">
        <f>(1.55*'Parámetros'!$C$46)/(2*PI()*'Parámetros'!$C$47*10^(C19/10)*0.001)*10^-9</f>
        <v>329.8361484</v>
      </c>
    </row>
    <row r="20">
      <c r="A20" s="122" t="s">
        <v>116</v>
      </c>
      <c r="B20" s="122">
        <f>SUM(B13:B19)</f>
        <v>592</v>
      </c>
    </row>
  </sheetData>
  <mergeCells count="2">
    <mergeCell ref="A1:E1"/>
    <mergeCell ref="A11:E1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0"/>
    <col customWidth="1" min="2" max="2" width="23.75"/>
    <col customWidth="1" min="3" max="3" width="26.5"/>
    <col customWidth="1" min="4" max="4" width="26.75"/>
    <col customWidth="1" min="5" max="5" width="24.13"/>
    <col customWidth="1" min="6" max="6" width="18.0"/>
    <col customWidth="1" min="7" max="7" width="14.25"/>
    <col customWidth="1" min="8" max="8" width="22.5"/>
    <col customWidth="1" min="9" max="9" width="26.38"/>
    <col customWidth="1" min="10" max="10" width="21.38"/>
    <col customWidth="1" min="11" max="11" width="26.0"/>
    <col customWidth="1" min="12" max="13" width="15.13"/>
    <col customWidth="1" min="14" max="14" width="15.0"/>
    <col customWidth="1" min="15" max="15" width="21.75"/>
    <col customWidth="1" min="16" max="16" width="26.25"/>
    <col customWidth="1" min="17" max="17" width="19.63"/>
    <col customWidth="1" min="18" max="18" width="13.25"/>
  </cols>
  <sheetData>
    <row r="1">
      <c r="A1" s="40" t="s">
        <v>161</v>
      </c>
      <c r="B1" s="40"/>
      <c r="C1" s="40"/>
      <c r="D1" s="40"/>
      <c r="E1" s="41"/>
      <c r="F1" s="42"/>
      <c r="G1" s="41"/>
      <c r="H1" s="41"/>
      <c r="I1" s="41"/>
      <c r="J1" s="41"/>
      <c r="K1" s="41"/>
      <c r="L1" s="42"/>
      <c r="M1" s="41"/>
      <c r="N1" s="41"/>
      <c r="O1" s="41"/>
      <c r="P1" s="41"/>
      <c r="Q1" s="41"/>
      <c r="R1" s="41"/>
      <c r="S1" s="41"/>
      <c r="T1" s="41"/>
      <c r="U1" s="41"/>
    </row>
    <row r="2">
      <c r="A2" s="43" t="s">
        <v>80</v>
      </c>
      <c r="B2" s="43" t="s">
        <v>81</v>
      </c>
      <c r="C2" s="43" t="s">
        <v>82</v>
      </c>
      <c r="D2" s="43" t="s">
        <v>83</v>
      </c>
      <c r="E2" s="43" t="s">
        <v>84</v>
      </c>
      <c r="F2" s="43" t="s">
        <v>162</v>
      </c>
      <c r="G2" s="43" t="s">
        <v>86</v>
      </c>
      <c r="H2" s="43" t="s">
        <v>87</v>
      </c>
      <c r="I2" s="43" t="s">
        <v>88</v>
      </c>
      <c r="J2" s="43" t="s">
        <v>89</v>
      </c>
      <c r="K2" s="43" t="s">
        <v>90</v>
      </c>
      <c r="L2" s="43" t="s">
        <v>91</v>
      </c>
      <c r="M2" s="43" t="s">
        <v>92</v>
      </c>
      <c r="N2" s="43" t="s">
        <v>93</v>
      </c>
      <c r="O2" s="43" t="s">
        <v>94</v>
      </c>
      <c r="P2" s="43" t="s">
        <v>95</v>
      </c>
      <c r="Q2" s="43" t="s">
        <v>96</v>
      </c>
      <c r="R2" s="125"/>
      <c r="S2" s="41"/>
      <c r="T2" s="41"/>
      <c r="U2" s="41"/>
    </row>
    <row r="3">
      <c r="A3" s="44" t="s">
        <v>163</v>
      </c>
      <c r="B3" s="45"/>
      <c r="C3" s="45"/>
      <c r="D3" s="45"/>
      <c r="E3" s="45"/>
      <c r="F3" s="46">
        <v>100.0</v>
      </c>
      <c r="G3" s="45"/>
      <c r="H3" s="45"/>
      <c r="I3" s="45"/>
      <c r="J3" s="45"/>
      <c r="K3" s="45"/>
      <c r="L3" s="47"/>
      <c r="M3" s="45"/>
      <c r="N3" s="45"/>
      <c r="O3" s="45"/>
      <c r="P3" s="45"/>
      <c r="Q3" s="126"/>
      <c r="R3" s="41"/>
      <c r="S3" s="41"/>
      <c r="T3" s="41"/>
      <c r="U3" s="41"/>
    </row>
    <row r="4">
      <c r="A4" s="49" t="s">
        <v>98</v>
      </c>
      <c r="B4" s="41"/>
      <c r="C4" s="41"/>
      <c r="D4" s="41"/>
      <c r="E4" s="50">
        <f>'Parámetros'!C65</f>
        <v>-9</v>
      </c>
      <c r="F4" s="49"/>
      <c r="G4" s="41"/>
      <c r="H4" s="50">
        <f>'Parámetros'!C9</f>
        <v>38</v>
      </c>
      <c r="I4" s="50">
        <f>10^(H4/10)</f>
        <v>6309.573445</v>
      </c>
      <c r="J4" s="50">
        <f t="shared" ref="J4:K4" si="1">H4</f>
        <v>38</v>
      </c>
      <c r="K4" s="50">
        <f t="shared" si="1"/>
        <v>6309.573445</v>
      </c>
      <c r="L4" s="52" t="s">
        <v>99</v>
      </c>
      <c r="M4" s="52" t="s">
        <v>99</v>
      </c>
      <c r="N4" s="52" t="s">
        <v>99</v>
      </c>
      <c r="O4" s="52" t="s">
        <v>99</v>
      </c>
      <c r="P4" s="52" t="s">
        <v>99</v>
      </c>
      <c r="Q4" s="127"/>
      <c r="R4" s="41"/>
      <c r="S4" s="41"/>
      <c r="T4" s="41"/>
      <c r="U4" s="41"/>
    </row>
    <row r="5">
      <c r="A5" s="49" t="s">
        <v>100</v>
      </c>
      <c r="B5" s="41"/>
      <c r="C5" s="41"/>
      <c r="D5" s="50">
        <f>-'Parámetros'!C16</f>
        <v>-10</v>
      </c>
      <c r="E5" s="54">
        <f t="shared" ref="E5:E6" si="2">D5+E4</f>
        <v>-19</v>
      </c>
      <c r="F5" s="55">
        <f>'Parámetros'!C$29</f>
        <v>-17.52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81"/>
      <c r="R5" s="41"/>
      <c r="S5" s="41"/>
      <c r="T5" s="41"/>
      <c r="U5" s="41"/>
    </row>
    <row r="6">
      <c r="A6" s="49" t="s">
        <v>101</v>
      </c>
      <c r="B6" s="41"/>
      <c r="C6" s="41"/>
      <c r="D6" s="50">
        <f>'Parámetros'!C27</f>
        <v>21.5</v>
      </c>
      <c r="E6" s="50">
        <f t="shared" si="2"/>
        <v>2.5</v>
      </c>
      <c r="F6" s="42"/>
      <c r="G6" s="41">
        <f>'Parámetros'!C30</f>
        <v>6</v>
      </c>
      <c r="H6" s="57">
        <f>E5+158.9-10*LOG10('Parámetros'!C13*10^9)-G6</f>
        <v>32.93089987</v>
      </c>
      <c r="I6" s="58">
        <f>10^(H6/10)</f>
        <v>1963.767133</v>
      </c>
      <c r="J6" s="58">
        <f>10*LOG10(K6)</f>
        <v>31.75409084</v>
      </c>
      <c r="K6" s="58">
        <f>1/((1/K4)+(1/I6))</f>
        <v>1497.645701</v>
      </c>
      <c r="L6" s="59">
        <f>(2/3)^3*'Parámetros'!C56*('Parámetros'!C57)^2*'No linealidades'!D13*(10^(E7/10)*0.001)^2*LOG10(PI()^2*ABS('Parámetros'!C58*10^(-24))*'No linealidades'!D13*('Parámetros'!C59)^2*'Parámetros'!C74^2)/(PI()*ABS('Parámetros'!C58*10^(-24))*'Parámetros'!C74^3)*'Parámetros'!C73*10^9
</f>
        <v>0.0003472188697</v>
      </c>
      <c r="M6" s="60">
        <f>10*LOG10(N6)</f>
        <v>34.59396681</v>
      </c>
      <c r="N6" s="61">
        <f>1/L6</f>
        <v>2880.027807</v>
      </c>
      <c r="O6" s="60">
        <f t="shared" ref="O6:P6" si="3">M6</f>
        <v>34.59396681</v>
      </c>
      <c r="P6" s="62">
        <f t="shared" si="3"/>
        <v>2880.027807</v>
      </c>
      <c r="Q6" s="81">
        <f>10*LOG10(HARMEAN(K6,P6)/2)</f>
        <v>29.93562397</v>
      </c>
      <c r="R6" s="41"/>
      <c r="S6" s="41"/>
      <c r="T6" s="41"/>
      <c r="U6" s="41"/>
    </row>
    <row r="7">
      <c r="A7" s="49" t="s">
        <v>164</v>
      </c>
      <c r="B7" s="41"/>
      <c r="C7" s="41"/>
      <c r="D7" s="50">
        <v>0.0</v>
      </c>
      <c r="E7" s="50">
        <f>E6</f>
        <v>2.5</v>
      </c>
      <c r="F7" s="49"/>
      <c r="G7" s="41"/>
      <c r="H7" s="41"/>
      <c r="I7" s="41"/>
      <c r="J7" s="41"/>
      <c r="K7" s="41"/>
      <c r="L7" s="41"/>
      <c r="M7" s="41"/>
      <c r="N7" s="41"/>
      <c r="O7" s="41"/>
      <c r="P7" s="41"/>
      <c r="Q7" s="81"/>
      <c r="R7" s="41"/>
      <c r="S7" s="41"/>
      <c r="T7" s="41"/>
      <c r="U7" s="41"/>
    </row>
    <row r="8">
      <c r="A8" s="65" t="s">
        <v>103</v>
      </c>
      <c r="B8" s="66">
        <v>107.0</v>
      </c>
      <c r="C8" s="66">
        <f>'Parámetros'!C41</f>
        <v>0.185</v>
      </c>
      <c r="D8" s="66">
        <f>-B8*C8</f>
        <v>-19.795</v>
      </c>
      <c r="E8" s="66">
        <f>D8+E7</f>
        <v>-17.295</v>
      </c>
      <c r="F8" s="65" t="str">
        <f>IF(E8&gt;='Parámetros'!C$33,"V","F")</f>
        <v>V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81"/>
      <c r="R8" s="41"/>
      <c r="S8" s="41"/>
      <c r="T8" s="41"/>
      <c r="U8" s="41"/>
    </row>
    <row r="9">
      <c r="A9" s="128" t="s">
        <v>165</v>
      </c>
      <c r="B9" s="129"/>
      <c r="C9" s="129"/>
      <c r="D9" s="129"/>
      <c r="E9" s="129"/>
      <c r="F9" s="130"/>
      <c r="G9" s="129"/>
      <c r="H9" s="129"/>
      <c r="I9" s="129"/>
      <c r="J9" s="129"/>
      <c r="K9" s="129"/>
      <c r="L9" s="129"/>
      <c r="M9" s="129"/>
      <c r="N9" s="129"/>
      <c r="O9" s="129"/>
      <c r="P9" s="129"/>
      <c r="Q9" s="81"/>
      <c r="R9" s="41"/>
      <c r="S9" s="41"/>
      <c r="T9" s="41"/>
      <c r="U9" s="41"/>
    </row>
    <row r="10">
      <c r="A10" s="49" t="s">
        <v>166</v>
      </c>
      <c r="B10" s="41"/>
      <c r="C10" s="41"/>
      <c r="D10" s="50">
        <f>-(E8-'Parámetros'!C$37)</f>
        <v>-2.225</v>
      </c>
      <c r="E10" s="54">
        <f>E8+D10</f>
        <v>-19.52</v>
      </c>
      <c r="F10" s="55">
        <f>'Parámetros'!C$37</f>
        <v>-19.52</v>
      </c>
      <c r="G10" s="41"/>
      <c r="H10" s="41"/>
      <c r="I10" s="41"/>
      <c r="J10" s="41"/>
      <c r="K10" s="41"/>
      <c r="L10" s="41"/>
      <c r="M10" s="58"/>
      <c r="N10" s="131"/>
      <c r="O10" s="58"/>
      <c r="P10" s="58"/>
      <c r="Q10" s="81"/>
      <c r="R10" s="41"/>
      <c r="S10" s="41"/>
      <c r="T10" s="41"/>
      <c r="U10" s="41"/>
    </row>
    <row r="11">
      <c r="A11" s="49" t="s">
        <v>167</v>
      </c>
      <c r="B11" s="41"/>
      <c r="C11" s="41"/>
      <c r="D11" s="50">
        <f>'Parámetros'!C$35</f>
        <v>25</v>
      </c>
      <c r="E11" s="50">
        <f>E10+D11</f>
        <v>5.48</v>
      </c>
      <c r="F11" s="42"/>
      <c r="G11" s="50">
        <f>'Parámetros'!C$38</f>
        <v>5.5</v>
      </c>
      <c r="H11" s="50">
        <f>E10+158.9-10*LOG10('Parámetros'!C$13*10^9)-G11</f>
        <v>32.91089987</v>
      </c>
      <c r="I11" s="58">
        <f>10^(H11/10)</f>
        <v>1954.744442</v>
      </c>
      <c r="J11" s="58">
        <f>10*LOG10(K11)</f>
        <v>29.28379203</v>
      </c>
      <c r="K11" s="58">
        <f>1/((1/K6)+(1/I11))</f>
        <v>847.9674919</v>
      </c>
      <c r="L11" s="59">
        <f>(2/3)^3*'Parámetros'!C56*('Parámetros'!C57)^2*'No linealidades'!D14*(10^(E11/10)*0.001)^2*LOG10(PI()^2*ABS('Parámetros'!C58*10^(-24))*'No linealidades'!D14*('Parámetros'!C59)^2*'Parámetros'!C74^2)/(PI()*ABS('Parámetros'!C58*10^(-24))*'Parámetros'!C74^3)*'Parámetros'!C73*10^9
</f>
        <v>0.001358880492</v>
      </c>
      <c r="M11" s="60">
        <f>10*LOG10(N11)</f>
        <v>28.66818736</v>
      </c>
      <c r="N11" s="61">
        <f>1/L11</f>
        <v>735.8998867</v>
      </c>
      <c r="O11" s="60">
        <f>10*LOG10(P11)</f>
        <v>27.6799568</v>
      </c>
      <c r="P11" s="62">
        <f>HARMEAN(N11,N6)/2</f>
        <v>586.1323335</v>
      </c>
      <c r="Q11" s="81">
        <f>10*LOG10(HARMEAN(K11,P11)/2)</f>
        <v>25.397955</v>
      </c>
      <c r="R11" s="41"/>
      <c r="S11" s="41"/>
      <c r="T11" s="41"/>
      <c r="U11" s="41"/>
    </row>
    <row r="12">
      <c r="A12" s="65" t="s">
        <v>103</v>
      </c>
      <c r="B12" s="66">
        <v>95.0</v>
      </c>
      <c r="C12" s="66">
        <f>'Parámetros'!C41</f>
        <v>0.185</v>
      </c>
      <c r="D12" s="66">
        <f>-B12*C12</f>
        <v>-17.575</v>
      </c>
      <c r="E12" s="66">
        <f>D12+E11</f>
        <v>-12.095</v>
      </c>
      <c r="F12" s="65" t="str">
        <f>IF(E12&gt;='Parámetros'!C$33,"V","F")</f>
        <v>V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81"/>
      <c r="R12" s="41"/>
      <c r="S12" s="41"/>
      <c r="T12" s="41"/>
      <c r="U12" s="41"/>
    </row>
    <row r="13">
      <c r="A13" s="128" t="s">
        <v>168</v>
      </c>
      <c r="B13" s="129"/>
      <c r="C13" s="129"/>
      <c r="D13" s="129"/>
      <c r="E13" s="129"/>
      <c r="F13" s="130"/>
      <c r="G13" s="129"/>
      <c r="H13" s="129"/>
      <c r="I13" s="129"/>
      <c r="J13" s="129"/>
      <c r="K13" s="129"/>
      <c r="L13" s="129"/>
      <c r="M13" s="129"/>
      <c r="N13" s="129"/>
      <c r="O13" s="129"/>
      <c r="P13" s="129"/>
      <c r="Q13" s="81"/>
      <c r="R13" s="41"/>
      <c r="S13" s="41"/>
      <c r="T13" s="41"/>
      <c r="U13" s="41"/>
    </row>
    <row r="14">
      <c r="A14" s="49" t="s">
        <v>166</v>
      </c>
      <c r="B14" s="41"/>
      <c r="C14" s="41"/>
      <c r="D14" s="50">
        <f>-(E12-'Parámetros'!C$37)</f>
        <v>-7.425</v>
      </c>
      <c r="E14" s="54">
        <f>D14+E12</f>
        <v>-19.52</v>
      </c>
      <c r="F14" s="55">
        <f>'Parámetros'!C$37</f>
        <v>-19.52</v>
      </c>
      <c r="G14" s="41"/>
      <c r="H14" s="41"/>
      <c r="I14" s="41"/>
      <c r="J14" s="41"/>
      <c r="K14" s="41"/>
      <c r="L14" s="41"/>
      <c r="M14" s="58"/>
      <c r="N14" s="131"/>
      <c r="O14" s="58"/>
      <c r="P14" s="58"/>
      <c r="Q14" s="81"/>
      <c r="R14" s="41"/>
      <c r="S14" s="41"/>
      <c r="T14" s="41"/>
      <c r="U14" s="41"/>
    </row>
    <row r="15">
      <c r="A15" s="49" t="s">
        <v>169</v>
      </c>
      <c r="B15" s="41"/>
      <c r="C15" s="41"/>
      <c r="D15" s="50">
        <f>'Parámetros'!C$35</f>
        <v>25</v>
      </c>
      <c r="E15" s="50">
        <f t="shared" ref="E15:E16" si="4">D15+E14</f>
        <v>5.48</v>
      </c>
      <c r="F15" s="42"/>
      <c r="G15" s="50">
        <f>'Parámetros'!C$38</f>
        <v>5.5</v>
      </c>
      <c r="H15" s="50">
        <f>E14+158.9-10*LOG10('Parámetros'!C$13*10^9)-G15</f>
        <v>32.91089987</v>
      </c>
      <c r="I15" s="58">
        <f>10^(H15/10)</f>
        <v>1954.744442</v>
      </c>
      <c r="J15" s="58">
        <f>10*LOG10(K15)</f>
        <v>27.71890727</v>
      </c>
      <c r="K15" s="58">
        <f>1/((1/K11)+(1/I15))</f>
        <v>591.4128105</v>
      </c>
      <c r="L15" s="59">
        <f>(2/3)^3*'Parámetros'!C56*('Parámetros'!C57)^2*'No linealidades'!D15*(10^(E15/10)*0.001)^2*LOG10(PI()^2*ABS('Parámetros'!C58*10^(-24))*'No linealidades'!D15*('Parámetros'!C59)^2*'Parámetros'!C74^2)/(PI()*ABS('Parámetros'!C58*10^(-24))*'Parámetros'!C74^3)*'Parámetros'!C73*10^9
</f>
        <v>0.001327959362</v>
      </c>
      <c r="M15" s="60">
        <f>10*LOG10(N15)</f>
        <v>28.76815215</v>
      </c>
      <c r="N15" s="61">
        <f>1/L15</f>
        <v>753.035092</v>
      </c>
      <c r="O15" s="60">
        <f>10*LOG10(P15)</f>
        <v>25.17976018</v>
      </c>
      <c r="P15" s="62">
        <f>HARMEAN(N11,N6,N15)/3</f>
        <v>329.5915113</v>
      </c>
      <c r="Q15" s="81">
        <f>10*LOG10(HARMEAN(K15,P15)/2)</f>
        <v>23.25605077</v>
      </c>
      <c r="R15" s="41"/>
      <c r="S15" s="41"/>
      <c r="T15" s="41"/>
      <c r="U15" s="41"/>
    </row>
    <row r="16">
      <c r="A16" s="65" t="s">
        <v>103</v>
      </c>
      <c r="B16" s="66">
        <v>77.0</v>
      </c>
      <c r="C16" s="66">
        <f>'Parámetros'!C41</f>
        <v>0.185</v>
      </c>
      <c r="D16" s="66">
        <f>-B16*C16</f>
        <v>-14.245</v>
      </c>
      <c r="E16" s="66">
        <f t="shared" si="4"/>
        <v>-8.765</v>
      </c>
      <c r="F16" s="65" t="str">
        <f>IF(E16&gt;='Parámetros'!C$33,"V","F")</f>
        <v>V</v>
      </c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81"/>
      <c r="R16" s="41"/>
      <c r="S16" s="41"/>
      <c r="T16" s="41"/>
      <c r="U16" s="41"/>
    </row>
    <row r="17">
      <c r="A17" s="128" t="s">
        <v>170</v>
      </c>
      <c r="B17" s="129"/>
      <c r="C17" s="129"/>
      <c r="D17" s="129"/>
      <c r="E17" s="129"/>
      <c r="F17" s="130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81"/>
      <c r="R17" s="41"/>
      <c r="S17" s="41"/>
      <c r="T17" s="41"/>
      <c r="U17" s="41"/>
    </row>
    <row r="18">
      <c r="A18" s="49" t="s">
        <v>166</v>
      </c>
      <c r="B18" s="41"/>
      <c r="C18" s="41"/>
      <c r="D18" s="50">
        <f>-(E16-'Parámetros'!C$37)</f>
        <v>-10.755</v>
      </c>
      <c r="E18" s="54">
        <f>D18+E16</f>
        <v>-19.52</v>
      </c>
      <c r="F18" s="55">
        <f>'Parámetros'!C$37</f>
        <v>-19.52</v>
      </c>
      <c r="G18" s="41"/>
      <c r="H18" s="41"/>
      <c r="I18" s="41"/>
      <c r="J18" s="41"/>
      <c r="K18" s="41"/>
      <c r="L18" s="41"/>
      <c r="M18" s="58"/>
      <c r="N18" s="131"/>
      <c r="O18" s="58"/>
      <c r="P18" s="58"/>
      <c r="Q18" s="81"/>
      <c r="R18" s="41"/>
      <c r="S18" s="41"/>
      <c r="T18" s="41"/>
      <c r="U18" s="41"/>
    </row>
    <row r="19">
      <c r="A19" s="49" t="s">
        <v>171</v>
      </c>
      <c r="B19" s="41"/>
      <c r="C19" s="41"/>
      <c r="D19" s="50">
        <f>'Parámetros'!C$35</f>
        <v>25</v>
      </c>
      <c r="E19" s="50">
        <f t="shared" ref="E19:E20" si="5">D19+E18</f>
        <v>5.48</v>
      </c>
      <c r="F19" s="42"/>
      <c r="G19" s="50">
        <f>'Parámetros'!C$38</f>
        <v>5.5</v>
      </c>
      <c r="H19" s="50">
        <f>E18+158.9-10*LOG10('Parámetros'!C$13*10^9)-G19</f>
        <v>32.91089987</v>
      </c>
      <c r="I19" s="58">
        <f>10^(H19/10)</f>
        <v>1954.744442</v>
      </c>
      <c r="J19" s="58">
        <f>10*LOG10(K19)</f>
        <v>26.57095492</v>
      </c>
      <c r="K19" s="58">
        <f>1/((1/K15)+(1/I19))</f>
        <v>454.0414396</v>
      </c>
      <c r="L19" s="59">
        <f>(2/3)^3*'Parámetros'!C56*('Parámetros'!C57)^2*'No linealidades'!D16*(10^(E19/10)*0.001)^2*LOG10(PI()^2*ABS('Parámetros'!C58*10^(-24))*'No linealidades'!D16*('Parámetros'!C59)^2*'Parámetros'!C74^2)/(PI()*ABS('Parámetros'!C58*10^(-24))*'Parámetros'!C74^3)*'Parámetros'!C73*10^9
</f>
        <v>0.001320098037</v>
      </c>
      <c r="M19" s="60">
        <f>10*LOG10(N19)</f>
        <v>28.79393815</v>
      </c>
      <c r="N19" s="61">
        <f>1/L19</f>
        <v>757.519496</v>
      </c>
      <c r="O19" s="60">
        <f>10*LOG10(P19)</f>
        <v>23.61095939</v>
      </c>
      <c r="P19" s="62">
        <f>HARMEAN(N11,N6,N15,N19)/4</f>
        <v>229.6655943</v>
      </c>
      <c r="Q19" s="81">
        <f>10*LOG10(HARMEAN(K19,P19)/2)</f>
        <v>21.83321383</v>
      </c>
      <c r="R19" s="41"/>
      <c r="S19" s="41"/>
      <c r="T19" s="41"/>
      <c r="U19" s="41"/>
    </row>
    <row r="20">
      <c r="A20" s="65" t="s">
        <v>103</v>
      </c>
      <c r="B20" s="66">
        <v>74.0</v>
      </c>
      <c r="C20" s="66">
        <f>'Parámetros'!C41</f>
        <v>0.185</v>
      </c>
      <c r="D20" s="66">
        <f>-B20*C20</f>
        <v>-13.69</v>
      </c>
      <c r="E20" s="66">
        <f t="shared" si="5"/>
        <v>-8.21</v>
      </c>
      <c r="F20" s="65" t="str">
        <f>IF(E20&gt;='Parámetros'!C$33,"V","F")</f>
        <v>V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81"/>
      <c r="R20" s="41"/>
      <c r="S20" s="41"/>
      <c r="T20" s="41"/>
      <c r="U20" s="41"/>
    </row>
    <row r="21">
      <c r="A21" s="128" t="s">
        <v>172</v>
      </c>
      <c r="B21" s="129"/>
      <c r="C21" s="129"/>
      <c r="D21" s="129"/>
      <c r="E21" s="129"/>
      <c r="F21" s="130"/>
      <c r="G21" s="129"/>
      <c r="H21" s="129"/>
      <c r="I21" s="129"/>
      <c r="J21" s="129"/>
      <c r="K21" s="129"/>
      <c r="L21" s="129"/>
      <c r="M21" s="129"/>
      <c r="N21" s="129"/>
      <c r="O21" s="129"/>
      <c r="P21" s="129"/>
      <c r="Q21" s="81"/>
      <c r="R21" s="41"/>
      <c r="S21" s="41"/>
      <c r="T21" s="41"/>
      <c r="U21" s="41"/>
    </row>
    <row r="22">
      <c r="A22" s="49" t="s">
        <v>166</v>
      </c>
      <c r="B22" s="41"/>
      <c r="C22" s="41"/>
      <c r="D22" s="50">
        <f>-(E20-'Parámetros'!C$37)</f>
        <v>-11.31</v>
      </c>
      <c r="E22" s="54">
        <f>D22+E20</f>
        <v>-19.52</v>
      </c>
      <c r="F22" s="55">
        <f>'Parámetros'!C$37</f>
        <v>-19.52</v>
      </c>
      <c r="G22" s="41"/>
      <c r="H22" s="41"/>
      <c r="I22" s="41"/>
      <c r="J22" s="41"/>
      <c r="K22" s="41"/>
      <c r="L22" s="41"/>
      <c r="M22" s="58"/>
      <c r="N22" s="131"/>
      <c r="O22" s="58"/>
      <c r="P22" s="58"/>
      <c r="Q22" s="81"/>
      <c r="R22" s="41"/>
      <c r="S22" s="41"/>
      <c r="T22" s="41"/>
      <c r="U22" s="41"/>
    </row>
    <row r="23">
      <c r="A23" s="49" t="s">
        <v>173</v>
      </c>
      <c r="B23" s="41"/>
      <c r="C23" s="41"/>
      <c r="D23" s="50">
        <f>'Parámetros'!C$35</f>
        <v>25</v>
      </c>
      <c r="E23" s="50">
        <f t="shared" ref="E23:E24" si="6">D23+E22</f>
        <v>5.48</v>
      </c>
      <c r="F23" s="42"/>
      <c r="G23" s="50">
        <f>'Parámetros'!C$38</f>
        <v>5.5</v>
      </c>
      <c r="H23" s="50">
        <f>E22+158.9-10*LOG10('Parámetros'!C$13*10^9)-G23</f>
        <v>32.91089987</v>
      </c>
      <c r="I23" s="58">
        <f>10^(H23/10)</f>
        <v>1954.744442</v>
      </c>
      <c r="J23" s="58">
        <f>10*LOG10(K23)</f>
        <v>25.66387282</v>
      </c>
      <c r="K23" s="58">
        <f>1/((1/K19)+(1/I23))</f>
        <v>368.4573989</v>
      </c>
      <c r="L23" s="59">
        <f>(2/3)^3*'Parámetros'!C56*('Parámetros'!C57)^2*'No linealidades'!D17*(10^(E23/10)*0.001)^2*LOG10(PI()^2*ABS('Parámetros'!C58*10^(-24))*'No linealidades'!D17*('Parámetros'!C59)^2*'Parámetros'!C74^2)/(PI()*ABS('Parámetros'!C58*10^(-24))*'Parámetros'!C74^3)*'Parámetros'!C73*10^9
</f>
        <v>0.001360000296</v>
      </c>
      <c r="M23" s="60">
        <f>10*LOG10(N23)</f>
        <v>28.66460997</v>
      </c>
      <c r="N23" s="61">
        <f>1/L23</f>
        <v>735.2939578</v>
      </c>
      <c r="O23" s="60">
        <f>10*LOG10(P23)</f>
        <v>22.43047827</v>
      </c>
      <c r="P23" s="62">
        <f>HARMEAN(N11,N6,N15,N19,N23)/5</f>
        <v>175.0039402</v>
      </c>
      <c r="Q23" s="81">
        <f>10*LOG10(HARMEAN(K23,P23)/2)</f>
        <v>20.74266454</v>
      </c>
      <c r="R23" s="41"/>
      <c r="S23" s="41"/>
      <c r="T23" s="41"/>
      <c r="U23" s="41"/>
    </row>
    <row r="24">
      <c r="A24" s="65" t="s">
        <v>103</v>
      </c>
      <c r="B24" s="66">
        <v>96.0</v>
      </c>
      <c r="C24" s="66">
        <f>'Parámetros'!C41</f>
        <v>0.185</v>
      </c>
      <c r="D24" s="66">
        <f>-B24*C24</f>
        <v>-17.76</v>
      </c>
      <c r="E24" s="66">
        <f t="shared" si="6"/>
        <v>-12.28</v>
      </c>
      <c r="F24" s="65" t="str">
        <f>IF(E24&gt;='Parámetros'!C$33,"V","F")</f>
        <v>V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81"/>
      <c r="R24" s="41"/>
      <c r="S24" s="41"/>
      <c r="T24" s="41"/>
      <c r="U24" s="41"/>
    </row>
    <row r="25">
      <c r="A25" s="128" t="s">
        <v>174</v>
      </c>
      <c r="B25" s="129"/>
      <c r="C25" s="129"/>
      <c r="D25" s="129"/>
      <c r="E25" s="129"/>
      <c r="F25" s="130"/>
      <c r="G25" s="129"/>
      <c r="H25" s="129"/>
      <c r="I25" s="129"/>
      <c r="J25" s="129"/>
      <c r="K25" s="129"/>
      <c r="L25" s="129"/>
      <c r="M25" s="129"/>
      <c r="N25" s="129"/>
      <c r="O25" s="129"/>
      <c r="P25" s="129"/>
      <c r="Q25" s="81"/>
      <c r="R25" s="41"/>
      <c r="S25" s="41"/>
      <c r="T25" s="41"/>
      <c r="U25" s="41"/>
    </row>
    <row r="26">
      <c r="A26" s="49" t="s">
        <v>166</v>
      </c>
      <c r="B26" s="41"/>
      <c r="C26" s="41"/>
      <c r="D26" s="50">
        <f>-(E24-'Parámetros'!C$37)</f>
        <v>-7.24</v>
      </c>
      <c r="E26" s="54">
        <f>D26+E24</f>
        <v>-19.52</v>
      </c>
      <c r="F26" s="55">
        <f>'Parámetros'!C$37</f>
        <v>-19.52</v>
      </c>
      <c r="G26" s="41"/>
      <c r="H26" s="41"/>
      <c r="I26" s="41"/>
      <c r="J26" s="41"/>
      <c r="K26" s="41"/>
      <c r="L26" s="41"/>
      <c r="M26" s="58"/>
      <c r="N26" s="131"/>
      <c r="O26" s="58"/>
      <c r="P26" s="58"/>
      <c r="Q26" s="81"/>
      <c r="R26" s="41"/>
      <c r="S26" s="41"/>
      <c r="T26" s="41"/>
      <c r="U26" s="41"/>
    </row>
    <row r="27">
      <c r="A27" s="49" t="s">
        <v>175</v>
      </c>
      <c r="C27" s="41"/>
      <c r="D27" s="50">
        <f>'Parámetros'!C$35</f>
        <v>25</v>
      </c>
      <c r="E27" s="50">
        <f t="shared" ref="E27:E28" si="7">D27+E26</f>
        <v>5.48</v>
      </c>
      <c r="F27" s="42"/>
      <c r="G27" s="50">
        <f>'Parámetros'!C$38</f>
        <v>5.5</v>
      </c>
      <c r="H27" s="50">
        <f>E26+158.9-10*LOG10('Parámetros'!C$13*10^9)-G27</f>
        <v>32.91089987</v>
      </c>
      <c r="I27" s="58">
        <f>10^(H27/10)</f>
        <v>1954.744442</v>
      </c>
      <c r="J27" s="58">
        <f>10*LOG10(K27)</f>
        <v>24.91390326</v>
      </c>
      <c r="K27" s="58">
        <f>1/((1/K23)+(1/I27))</f>
        <v>310.0204381</v>
      </c>
      <c r="L27" s="59">
        <f>(2/3)^3*'Parámetros'!C56*('Parámetros'!C57)^2*'No linealidades'!D18*(10^(E27/10)*0.001)^2*LOG10(PI()^2*ABS('Parámetros'!C58*10^(-24))*'No linealidades'!D18*('Parámetros'!C59)^2*'Parámetros'!C74^2)/(PI()*ABS('Parámetros'!C58*10^(-24))*'Parámetros'!C74^3)*'Parámetros'!C73*10^9
</f>
        <v>0.001285346651</v>
      </c>
      <c r="M27" s="60">
        <f>10*LOG10(N27)</f>
        <v>28.9097973</v>
      </c>
      <c r="N27" s="61">
        <f>1/L27</f>
        <v>778.0002375</v>
      </c>
      <c r="O27" s="60">
        <f>10*LOG10(P27)</f>
        <v>21.63866581</v>
      </c>
      <c r="P27" s="62">
        <f>HARMEAN(N11,N6,N15,N19,N23,N29)/6</f>
        <v>145.8366169</v>
      </c>
      <c r="Q27" s="81">
        <f>10*LOG10(HARMEAN(K27,P27)/2)</f>
        <v>19.96428226</v>
      </c>
      <c r="R27" s="41"/>
      <c r="S27" s="41"/>
      <c r="T27" s="41"/>
      <c r="U27" s="41"/>
    </row>
    <row r="28">
      <c r="A28" s="65" t="s">
        <v>103</v>
      </c>
      <c r="B28" s="66">
        <v>64.0</v>
      </c>
      <c r="C28" s="66">
        <f>'Parámetros'!C41</f>
        <v>0.185</v>
      </c>
      <c r="D28" s="66">
        <f>-B28*C28</f>
        <v>-11.84</v>
      </c>
      <c r="E28" s="66">
        <f t="shared" si="7"/>
        <v>-6.36</v>
      </c>
      <c r="F28" s="65" t="str">
        <f>IF(E28&gt;='Parámetros'!C$33,"V","F")</f>
        <v>V</v>
      </c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81"/>
      <c r="R28" s="41"/>
      <c r="S28" s="41"/>
      <c r="T28" s="41"/>
      <c r="U28" s="41"/>
    </row>
    <row r="29">
      <c r="A29" s="128" t="s">
        <v>176</v>
      </c>
      <c r="B29" s="129"/>
      <c r="C29" s="129"/>
      <c r="D29" s="129"/>
      <c r="E29" s="129"/>
      <c r="F29" s="130"/>
      <c r="G29" s="129"/>
      <c r="H29" s="129"/>
      <c r="I29" s="129"/>
      <c r="J29" s="129"/>
      <c r="K29" s="129"/>
      <c r="L29" s="129"/>
      <c r="M29" s="129"/>
      <c r="N29" s="129"/>
      <c r="O29" s="129"/>
      <c r="P29" s="129"/>
      <c r="Q29" s="81"/>
      <c r="R29" s="41"/>
      <c r="S29" s="41"/>
      <c r="T29" s="41"/>
      <c r="U29" s="41"/>
    </row>
    <row r="30">
      <c r="A30" s="49" t="s">
        <v>166</v>
      </c>
      <c r="B30" s="41"/>
      <c r="C30" s="41"/>
      <c r="D30" s="50">
        <f>-(E28-'Parámetros'!C$37)</f>
        <v>-13.16</v>
      </c>
      <c r="E30" s="54">
        <f>D30+E28</f>
        <v>-19.52</v>
      </c>
      <c r="F30" s="55">
        <f>'Parámetros'!C$37</f>
        <v>-19.52</v>
      </c>
      <c r="G30" s="41"/>
      <c r="H30" s="41"/>
      <c r="I30" s="41"/>
      <c r="J30" s="41"/>
      <c r="K30" s="41"/>
      <c r="L30" s="41"/>
      <c r="M30" s="58"/>
      <c r="N30" s="131"/>
      <c r="O30" s="58"/>
      <c r="P30" s="58"/>
      <c r="Q30" s="81"/>
      <c r="R30" s="41"/>
      <c r="S30" s="41"/>
      <c r="T30" s="41"/>
      <c r="U30" s="41"/>
    </row>
    <row r="31">
      <c r="A31" s="49" t="s">
        <v>177</v>
      </c>
      <c r="B31" s="41"/>
      <c r="C31" s="41"/>
      <c r="D31" s="50">
        <f>'Parámetros'!C$35</f>
        <v>25</v>
      </c>
      <c r="E31" s="50">
        <f t="shared" ref="E31:E32" si="8">D31+E30</f>
        <v>5.48</v>
      </c>
      <c r="F31" s="42"/>
      <c r="G31" s="50">
        <f>'Parámetros'!C$38</f>
        <v>5.5</v>
      </c>
      <c r="H31" s="50">
        <f>E30+158.9-10*LOG10('Parámetros'!C$13*10^9)-G31</f>
        <v>32.91089987</v>
      </c>
      <c r="I31" s="58">
        <f>10^(H31/10)</f>
        <v>1954.744442</v>
      </c>
      <c r="J31" s="58">
        <f>10*LOG10(K31)</f>
        <v>24.27457191</v>
      </c>
      <c r="K31" s="58">
        <f>1/((1/K27)+(1/I31))</f>
        <v>267.582182</v>
      </c>
      <c r="L31" s="59">
        <f>(2/3)^3*'Parámetros'!C56*('Parámetros'!C57)^2*'No linealidades'!D19*(10^(E31/10)*0.001)^2*LOG10(PI()^2*ABS('Parámetros'!C58*10^(-24))*'No linealidades'!D19*('Parámetros'!C59)^2*'Parámetros'!C74^2)/(PI()*ABS('Parámetros'!C58*10^(-24))*'Parámetros'!C74^3)*'Parámetros'!C73*10^9
</f>
        <v>0.001332671037</v>
      </c>
      <c r="M31" s="60">
        <f>10*LOG10(N31)</f>
        <v>28.75277041</v>
      </c>
      <c r="N31" s="61">
        <f>1/L31</f>
        <v>750.3727269</v>
      </c>
      <c r="O31" s="60">
        <f>10*LOG10(P31)</f>
        <v>20.85059533</v>
      </c>
      <c r="P31" s="62">
        <f>HARMEAN(N11,N6,N15,N19,N23,N29,N31)/7</f>
        <v>121.6352728</v>
      </c>
      <c r="Q31" s="81">
        <f>10*LOG10(HARMEAN(K31,P31)/2)</f>
        <v>19.22324416</v>
      </c>
      <c r="R31" s="41"/>
      <c r="S31" s="41"/>
      <c r="T31" s="41"/>
      <c r="U31" s="41"/>
    </row>
    <row r="32">
      <c r="A32" s="65" t="s">
        <v>103</v>
      </c>
      <c r="B32" s="66">
        <v>79.0</v>
      </c>
      <c r="C32" s="66">
        <f>'Parámetros'!C41</f>
        <v>0.185</v>
      </c>
      <c r="D32" s="66">
        <f>-B32*C32</f>
        <v>-14.615</v>
      </c>
      <c r="E32" s="66">
        <f t="shared" si="8"/>
        <v>-9.135</v>
      </c>
      <c r="F32" s="65" t="str">
        <f>IF(E32&gt;='Parámetros'!C$33,"V","F")</f>
        <v>V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81"/>
      <c r="R32" s="41"/>
      <c r="S32" s="41"/>
      <c r="T32" s="41"/>
      <c r="U32" s="41"/>
    </row>
    <row r="33">
      <c r="A33" s="44" t="s">
        <v>178</v>
      </c>
      <c r="B33" s="45"/>
      <c r="C33" s="45"/>
      <c r="D33" s="45"/>
      <c r="E33" s="45"/>
      <c r="F33" s="47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81"/>
      <c r="R33" s="41"/>
      <c r="S33" s="41"/>
      <c r="T33" s="41"/>
      <c r="U33" s="41"/>
    </row>
    <row r="34">
      <c r="A34" s="49" t="s">
        <v>105</v>
      </c>
      <c r="B34" s="41"/>
      <c r="C34" s="41"/>
      <c r="D34" s="50">
        <f>-(E32+'Parámetros'!H18)</f>
        <v>-9.665</v>
      </c>
      <c r="E34" s="54">
        <f>D34+E32</f>
        <v>-18.8</v>
      </c>
      <c r="F34" s="55">
        <f>'Parámetros'!C22</f>
        <v>-18.02</v>
      </c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81"/>
      <c r="R34" s="41"/>
      <c r="S34" s="41"/>
      <c r="T34" s="41"/>
      <c r="U34" s="41"/>
    </row>
    <row r="35">
      <c r="A35" s="49" t="s">
        <v>106</v>
      </c>
      <c r="B35" s="41"/>
      <c r="C35" s="41"/>
      <c r="D35" s="50">
        <f>'Parámetros'!C20</f>
        <v>21</v>
      </c>
      <c r="E35" s="50">
        <f t="shared" ref="E35:E36" si="9">D35+E34</f>
        <v>2.2</v>
      </c>
      <c r="F35" s="42"/>
      <c r="G35" s="50">
        <f>'Parámetros'!C23</f>
        <v>5.5</v>
      </c>
      <c r="H35" s="50">
        <f>E34+158.9-10*LOG10('Parámetros'!C$13*10^9)-G35</f>
        <v>33.63089987</v>
      </c>
      <c r="I35" s="58">
        <f>10^(H35/10)</f>
        <v>2307.225203</v>
      </c>
      <c r="J35" s="58">
        <f>10*LOG10(K35)</f>
        <v>23.79802432</v>
      </c>
      <c r="K35" s="58">
        <f>1/((1/K31)+(1/I35))</f>
        <v>239.7741896</v>
      </c>
      <c r="L35" s="52" t="s">
        <v>99</v>
      </c>
      <c r="M35" s="52" t="s">
        <v>99</v>
      </c>
      <c r="N35" s="52" t="s">
        <v>99</v>
      </c>
      <c r="O35" s="52" t="s">
        <v>99</v>
      </c>
      <c r="P35" s="52" t="s">
        <v>99</v>
      </c>
      <c r="Q35" s="81">
        <f>10*LOG10(HARMEAN(K35,P31)/2)</f>
        <v>19.06862446</v>
      </c>
      <c r="R35" s="41"/>
      <c r="S35" s="41"/>
      <c r="T35" s="41"/>
      <c r="U35" s="41"/>
    </row>
    <row r="36">
      <c r="A36" s="49" t="s">
        <v>115</v>
      </c>
      <c r="B36" s="41"/>
      <c r="C36" s="41"/>
      <c r="D36" s="50">
        <f>-'Parámetros'!C16</f>
        <v>-10</v>
      </c>
      <c r="E36" s="50">
        <f t="shared" si="9"/>
        <v>-7.8</v>
      </c>
      <c r="F36" s="42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81"/>
      <c r="R36" s="41"/>
      <c r="S36" s="41"/>
      <c r="T36" s="41"/>
      <c r="U36" s="41"/>
    </row>
    <row r="37">
      <c r="A37" s="49" t="s">
        <v>98</v>
      </c>
      <c r="B37" s="41"/>
      <c r="C37" s="41"/>
      <c r="D37" s="50"/>
      <c r="E37" s="50">
        <f>E36</f>
        <v>-7.8</v>
      </c>
      <c r="F37" s="49" t="str">
        <f>IF(E37&gt;='Parámetros'!C67,"V","F")</f>
        <v>V</v>
      </c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81"/>
      <c r="R37" s="41"/>
      <c r="S37" s="41"/>
      <c r="T37" s="41"/>
      <c r="U37" s="41"/>
    </row>
    <row r="38">
      <c r="A38" s="42"/>
      <c r="B38" s="41"/>
      <c r="C38" s="41"/>
      <c r="D38" s="41"/>
      <c r="E38" s="41"/>
      <c r="F38" s="83" t="s">
        <v>116</v>
      </c>
      <c r="G38" s="84"/>
      <c r="H38" s="84"/>
      <c r="I38" s="84"/>
      <c r="J38" s="132">
        <f t="shared" ref="J38:K38" si="10">J35</f>
        <v>23.79802432</v>
      </c>
      <c r="K38" s="86">
        <f t="shared" si="10"/>
        <v>239.7741896</v>
      </c>
      <c r="L38" s="84"/>
      <c r="M38" s="84"/>
      <c r="N38" s="84"/>
      <c r="O38" s="133">
        <f t="shared" ref="O38:P38" si="11">O31</f>
        <v>20.85059533</v>
      </c>
      <c r="P38" s="132">
        <f t="shared" si="11"/>
        <v>121.6352728</v>
      </c>
      <c r="Q38" s="87">
        <f>10*LOG10(HARMEAN(K38,P38)/2)</f>
        <v>19.06862446</v>
      </c>
      <c r="R38" s="117" t="s">
        <v>144</v>
      </c>
      <c r="S38" s="41"/>
      <c r="T38" s="41"/>
      <c r="U38" s="41"/>
    </row>
    <row r="39">
      <c r="A39" s="42"/>
      <c r="B39" s="41"/>
      <c r="C39" s="41"/>
      <c r="D39" s="41"/>
      <c r="E39" s="41"/>
      <c r="F39" s="83" t="s">
        <v>179</v>
      </c>
      <c r="H39" s="84"/>
      <c r="I39" s="84"/>
      <c r="J39" s="85">
        <f>'Parámetros'!C70</f>
        <v>11.8</v>
      </c>
      <c r="K39" s="89">
        <f>10^(J39/10)</f>
        <v>15.13561248</v>
      </c>
      <c r="L39" s="84"/>
      <c r="M39" s="84"/>
      <c r="N39" s="84"/>
      <c r="O39" s="85"/>
      <c r="P39" s="89"/>
      <c r="Q39" s="90">
        <f>'Parámetros'!C70</f>
        <v>11.8</v>
      </c>
      <c r="S39" s="41"/>
      <c r="T39" s="41"/>
      <c r="U39" s="41"/>
    </row>
    <row r="40">
      <c r="A40" s="42"/>
      <c r="B40" s="42"/>
      <c r="C40" s="42"/>
      <c r="D40" s="42"/>
      <c r="E40" s="42"/>
      <c r="F40" s="42"/>
      <c r="G40" s="41"/>
      <c r="H40" s="41"/>
      <c r="I40" s="41"/>
      <c r="J40" s="103"/>
      <c r="K40" s="41"/>
      <c r="L40" s="41"/>
      <c r="M40" s="41"/>
      <c r="N40" s="41"/>
      <c r="O40" s="103"/>
      <c r="P40" s="41"/>
      <c r="Q40" s="41"/>
      <c r="R40" s="41"/>
      <c r="S40" s="103"/>
      <c r="T40" s="41"/>
      <c r="U40" s="103"/>
    </row>
    <row r="41">
      <c r="A41" s="91" t="s">
        <v>119</v>
      </c>
      <c r="B41" s="91" t="s">
        <v>120</v>
      </c>
      <c r="C41" s="91" t="s">
        <v>121</v>
      </c>
      <c r="D41" s="91" t="s">
        <v>122</v>
      </c>
      <c r="G41" s="92"/>
      <c r="H41" s="91" t="s">
        <v>119</v>
      </c>
      <c r="I41" s="91" t="s">
        <v>120</v>
      </c>
    </row>
    <row r="42">
      <c r="A42" s="93" t="s">
        <v>123</v>
      </c>
      <c r="B42" s="94">
        <v>18.0</v>
      </c>
      <c r="C42" s="93">
        <v>-17.0</v>
      </c>
      <c r="D42" s="94">
        <v>77000.0</v>
      </c>
      <c r="G42" s="92"/>
      <c r="H42" s="94" t="s">
        <v>124</v>
      </c>
      <c r="I42" s="94">
        <v>17.09</v>
      </c>
    </row>
    <row r="43">
      <c r="A43" s="95" t="s">
        <v>125</v>
      </c>
      <c r="B43" s="95" t="s">
        <v>81</v>
      </c>
      <c r="C43" s="95" t="s">
        <v>126</v>
      </c>
      <c r="D43" s="95" t="s">
        <v>127</v>
      </c>
      <c r="G43" s="95" t="s">
        <v>81</v>
      </c>
      <c r="H43" s="95" t="s">
        <v>126</v>
      </c>
      <c r="I43" s="95" t="s">
        <v>127</v>
      </c>
    </row>
    <row r="44">
      <c r="A44" s="122" t="s">
        <v>154</v>
      </c>
      <c r="B44" s="122">
        <v>107.0</v>
      </c>
      <c r="C44" s="134">
        <f t="shared" ref="C44:C50" si="12">B$42*B44</f>
        <v>1926</v>
      </c>
      <c r="D44" s="134">
        <f>C44</f>
        <v>1926</v>
      </c>
      <c r="G44" s="122">
        <v>107.0</v>
      </c>
      <c r="H44" s="134">
        <f t="shared" ref="H44:H50" si="13">I$42*G44</f>
        <v>1828.63</v>
      </c>
      <c r="I44" s="134">
        <f>H44</f>
        <v>1828.63</v>
      </c>
    </row>
    <row r="45">
      <c r="A45" s="122" t="s">
        <v>155</v>
      </c>
      <c r="B45" s="122">
        <v>95.0</v>
      </c>
      <c r="C45" s="134">
        <f t="shared" si="12"/>
        <v>1710</v>
      </c>
      <c r="D45" s="134">
        <f t="shared" ref="D45:D50" si="14">C45+D44</f>
        <v>3636</v>
      </c>
      <c r="G45" s="122">
        <v>95.0</v>
      </c>
      <c r="H45" s="134">
        <f t="shared" si="13"/>
        <v>1623.55</v>
      </c>
      <c r="I45" s="134">
        <f t="shared" ref="I45:I50" si="15">H45+I44</f>
        <v>3452.18</v>
      </c>
    </row>
    <row r="46">
      <c r="A46" s="122" t="s">
        <v>156</v>
      </c>
      <c r="B46" s="122">
        <v>77.0</v>
      </c>
      <c r="C46" s="134">
        <f t="shared" si="12"/>
        <v>1386</v>
      </c>
      <c r="D46" s="134">
        <f t="shared" si="14"/>
        <v>5022</v>
      </c>
      <c r="G46" s="122">
        <v>77.0</v>
      </c>
      <c r="H46" s="134">
        <f t="shared" si="13"/>
        <v>1315.93</v>
      </c>
      <c r="I46" s="134">
        <f t="shared" si="15"/>
        <v>4768.11</v>
      </c>
    </row>
    <row r="47">
      <c r="A47" s="122" t="s">
        <v>157</v>
      </c>
      <c r="B47" s="122">
        <v>74.0</v>
      </c>
      <c r="C47" s="134">
        <f t="shared" si="12"/>
        <v>1332</v>
      </c>
      <c r="D47" s="134">
        <f t="shared" si="14"/>
        <v>6354</v>
      </c>
      <c r="G47" s="122">
        <v>74.0</v>
      </c>
      <c r="H47" s="134">
        <f t="shared" si="13"/>
        <v>1264.66</v>
      </c>
      <c r="I47" s="134">
        <f t="shared" si="15"/>
        <v>6032.77</v>
      </c>
    </row>
    <row r="48">
      <c r="A48" s="122" t="s">
        <v>158</v>
      </c>
      <c r="B48" s="122">
        <v>96.0</v>
      </c>
      <c r="C48" s="134">
        <f t="shared" si="12"/>
        <v>1728</v>
      </c>
      <c r="D48" s="134">
        <f t="shared" si="14"/>
        <v>8082</v>
      </c>
      <c r="G48" s="122">
        <v>96.0</v>
      </c>
      <c r="H48" s="134">
        <f t="shared" si="13"/>
        <v>1640.64</v>
      </c>
      <c r="I48" s="134">
        <f t="shared" si="15"/>
        <v>7673.41</v>
      </c>
    </row>
    <row r="49">
      <c r="A49" s="122" t="s">
        <v>159</v>
      </c>
      <c r="B49" s="122">
        <v>64.0</v>
      </c>
      <c r="C49" s="134">
        <f t="shared" si="12"/>
        <v>1152</v>
      </c>
      <c r="D49" s="134">
        <f t="shared" si="14"/>
        <v>9234</v>
      </c>
      <c r="G49" s="122">
        <v>64.0</v>
      </c>
      <c r="H49" s="134">
        <f t="shared" si="13"/>
        <v>1093.76</v>
      </c>
      <c r="I49" s="134">
        <f t="shared" si="15"/>
        <v>8767.17</v>
      </c>
    </row>
    <row r="50">
      <c r="A50" s="122" t="s">
        <v>160</v>
      </c>
      <c r="B50" s="122">
        <v>79.0</v>
      </c>
      <c r="C50" s="134">
        <f t="shared" si="12"/>
        <v>1422</v>
      </c>
      <c r="D50" s="134">
        <f t="shared" si="14"/>
        <v>10656</v>
      </c>
      <c r="G50" s="122">
        <v>79.0</v>
      </c>
      <c r="H50" s="134">
        <f t="shared" si="13"/>
        <v>1350.11</v>
      </c>
      <c r="I50" s="134">
        <f t="shared" si="15"/>
        <v>10117.28</v>
      </c>
    </row>
    <row r="53">
      <c r="G53" s="92"/>
      <c r="H53" s="91" t="s">
        <v>119</v>
      </c>
      <c r="I53" s="91" t="s">
        <v>120</v>
      </c>
    </row>
    <row r="54">
      <c r="A54" s="91" t="s">
        <v>134</v>
      </c>
      <c r="B54" s="94">
        <f>'Parámetros'!C43</f>
        <v>0.1</v>
      </c>
      <c r="C54" s="98" t="s">
        <v>135</v>
      </c>
      <c r="G54" s="92"/>
      <c r="H54" s="94" t="s">
        <v>136</v>
      </c>
      <c r="I54" s="94">
        <v>18.85</v>
      </c>
    </row>
    <row r="55">
      <c r="A55" s="95" t="s">
        <v>125</v>
      </c>
      <c r="B55" s="95" t="s">
        <v>81</v>
      </c>
      <c r="C55" s="95" t="s">
        <v>137</v>
      </c>
      <c r="G55" s="95" t="s">
        <v>81</v>
      </c>
      <c r="H55" s="95" t="s">
        <v>126</v>
      </c>
      <c r="I55" s="95" t="s">
        <v>127</v>
      </c>
    </row>
    <row r="56">
      <c r="A56" s="122" t="s">
        <v>154</v>
      </c>
      <c r="B56" s="122">
        <v>107.0</v>
      </c>
      <c r="C56" s="134">
        <f t="shared" ref="C56:C62" si="16">B$54*SQRT(B56)</f>
        <v>1.034408043</v>
      </c>
      <c r="G56" s="122">
        <v>107.0</v>
      </c>
      <c r="H56" s="134">
        <f t="shared" ref="H56:H62" si="17">I$54*G56</f>
        <v>2016.95</v>
      </c>
      <c r="I56" s="134">
        <f>H56</f>
        <v>2016.95</v>
      </c>
    </row>
    <row r="57">
      <c r="A57" s="122" t="s">
        <v>155</v>
      </c>
      <c r="B57" s="122">
        <v>95.0</v>
      </c>
      <c r="C57" s="134">
        <f t="shared" si="16"/>
        <v>0.9746794345</v>
      </c>
      <c r="G57" s="122">
        <v>95.0</v>
      </c>
      <c r="H57" s="134">
        <f t="shared" si="17"/>
        <v>1790.75</v>
      </c>
      <c r="I57" s="134">
        <f t="shared" ref="I57:I62" si="18">H57+I56</f>
        <v>3807.7</v>
      </c>
    </row>
    <row r="58">
      <c r="A58" s="122" t="s">
        <v>156</v>
      </c>
      <c r="B58" s="122">
        <v>77.0</v>
      </c>
      <c r="C58" s="134">
        <f t="shared" si="16"/>
        <v>0.8774964387</v>
      </c>
      <c r="G58" s="122">
        <v>77.0</v>
      </c>
      <c r="H58" s="134">
        <f t="shared" si="17"/>
        <v>1451.45</v>
      </c>
      <c r="I58" s="134">
        <f t="shared" si="18"/>
        <v>5259.15</v>
      </c>
    </row>
    <row r="59">
      <c r="A59" s="122" t="s">
        <v>157</v>
      </c>
      <c r="B59" s="122">
        <v>74.0</v>
      </c>
      <c r="C59" s="134">
        <f t="shared" si="16"/>
        <v>0.8602325267</v>
      </c>
      <c r="G59" s="122">
        <v>74.0</v>
      </c>
      <c r="H59" s="134">
        <f t="shared" si="17"/>
        <v>1394.9</v>
      </c>
      <c r="I59" s="134">
        <f t="shared" si="18"/>
        <v>6654.05</v>
      </c>
    </row>
    <row r="60">
      <c r="A60" s="122" t="s">
        <v>158</v>
      </c>
      <c r="B60" s="122">
        <v>96.0</v>
      </c>
      <c r="C60" s="134">
        <f t="shared" si="16"/>
        <v>0.9797958971</v>
      </c>
      <c r="G60" s="122">
        <v>96.0</v>
      </c>
      <c r="H60" s="134">
        <f t="shared" si="17"/>
        <v>1809.6</v>
      </c>
      <c r="I60" s="134">
        <f t="shared" si="18"/>
        <v>8463.65</v>
      </c>
    </row>
    <row r="61">
      <c r="A61" s="122" t="s">
        <v>159</v>
      </c>
      <c r="B61" s="122">
        <v>64.0</v>
      </c>
      <c r="C61" s="134">
        <f t="shared" si="16"/>
        <v>0.8</v>
      </c>
      <c r="G61" s="122">
        <v>64.0</v>
      </c>
      <c r="H61" s="134">
        <f t="shared" si="17"/>
        <v>1206.4</v>
      </c>
      <c r="I61" s="134">
        <f t="shared" si="18"/>
        <v>9670.05</v>
      </c>
    </row>
    <row r="62">
      <c r="A62" s="122" t="s">
        <v>160</v>
      </c>
      <c r="B62" s="122">
        <v>79.0</v>
      </c>
      <c r="C62" s="134">
        <f t="shared" si="16"/>
        <v>0.8888194417</v>
      </c>
      <c r="G62" s="122">
        <v>79.0</v>
      </c>
      <c r="H62" s="134">
        <f t="shared" si="17"/>
        <v>1489.15</v>
      </c>
      <c r="I62" s="134">
        <f t="shared" si="18"/>
        <v>11159.2</v>
      </c>
    </row>
    <row r="63">
      <c r="A63" s="135" t="s">
        <v>138</v>
      </c>
      <c r="B63" s="134"/>
      <c r="C63" s="136">
        <f>SUM(C56:C62)</f>
        <v>6.415431782</v>
      </c>
    </row>
    <row r="64">
      <c r="B64" s="9" t="s">
        <v>180</v>
      </c>
      <c r="C64" s="3"/>
    </row>
  </sheetData>
  <mergeCells count="4">
    <mergeCell ref="A27:B27"/>
    <mergeCell ref="B64:C64"/>
    <mergeCell ref="F39:G39"/>
    <mergeCell ref="R38:R39"/>
  </mergeCells>
  <drawing r:id="rId1"/>
</worksheet>
</file>