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NSULTORIA\34-NEW YORK ENGINEERS\LL97 CALCULATOR\"/>
    </mc:Choice>
  </mc:AlternateContent>
  <xr:revisionPtr revIDLastSave="0" documentId="13_ncr:1_{C2B63E24-BC1D-48BB-8963-568E8C05BA17}" xr6:coauthVersionLast="47" xr6:coauthVersionMax="47" xr10:uidLastSave="{00000000-0000-0000-0000-000000000000}"/>
  <bookViews>
    <workbookView xWindow="-120" yWindow="-120" windowWidth="20730" windowHeight="11160" xr2:uid="{1D308073-B34B-4148-BC69-31259AA47888}"/>
  </bookViews>
  <sheets>
    <sheet name="1 Building 1 Occupancy" sheetId="1" r:id="rId1"/>
    <sheet name="1 Bldg Multiple Occupancies" sheetId="5" r:id="rId2"/>
    <sheet name="2 - 4 Building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I26" i="7"/>
  <c r="J26" i="7" s="1"/>
  <c r="E26" i="7"/>
  <c r="G26" i="7" s="1"/>
  <c r="H26" i="7" s="1"/>
  <c r="I25" i="7"/>
  <c r="J25" i="7" s="1"/>
  <c r="G25" i="7"/>
  <c r="H25" i="7" s="1"/>
  <c r="E25" i="7"/>
  <c r="F25" i="7" s="1"/>
  <c r="I24" i="7"/>
  <c r="J24" i="7" s="1"/>
  <c r="E24" i="7"/>
  <c r="G24" i="7" s="1"/>
  <c r="H24" i="7" s="1"/>
  <c r="I23" i="7"/>
  <c r="J23" i="7" s="1"/>
  <c r="G23" i="7"/>
  <c r="H23" i="7" s="1"/>
  <c r="E23" i="7"/>
  <c r="F23" i="7" s="1"/>
  <c r="I22" i="7"/>
  <c r="I27" i="7" s="1"/>
  <c r="J27" i="7" s="1"/>
  <c r="G22" i="7"/>
  <c r="H22" i="7" s="1"/>
  <c r="E22" i="7"/>
  <c r="E27" i="7" s="1"/>
  <c r="F27" i="7" s="1"/>
  <c r="C15" i="7"/>
  <c r="E11" i="7"/>
  <c r="E15" i="7" s="1"/>
  <c r="D11" i="7"/>
  <c r="D15" i="7" s="1"/>
  <c r="C11" i="7"/>
  <c r="B11" i="7"/>
  <c r="B15" i="7" s="1"/>
  <c r="E10" i="7"/>
  <c r="E14" i="7" s="1"/>
  <c r="D10" i="7"/>
  <c r="D14" i="7" s="1"/>
  <c r="C10" i="7"/>
  <c r="C14" i="7" s="1"/>
  <c r="B10" i="7"/>
  <c r="B14" i="7" s="1"/>
  <c r="B6" i="7"/>
  <c r="B34" i="5"/>
  <c r="B33" i="5"/>
  <c r="C31" i="5"/>
  <c r="C30" i="5"/>
  <c r="F15" i="5"/>
  <c r="F14" i="5"/>
  <c r="E15" i="5"/>
  <c r="E14" i="5"/>
  <c r="D15" i="5"/>
  <c r="D14" i="5"/>
  <c r="C15" i="5"/>
  <c r="C14" i="5"/>
  <c r="B15" i="5"/>
  <c r="B14" i="5"/>
  <c r="F14" i="7" l="1"/>
  <c r="F15" i="7"/>
  <c r="G27" i="7"/>
  <c r="F22" i="7"/>
  <c r="J22" i="7"/>
  <c r="F24" i="7"/>
  <c r="F26" i="7"/>
  <c r="I22" i="5"/>
  <c r="G26" i="5"/>
  <c r="G22" i="5"/>
  <c r="E26" i="5"/>
  <c r="E25" i="5"/>
  <c r="G25" i="5" s="1"/>
  <c r="E24" i="5"/>
  <c r="G24" i="5" s="1"/>
  <c r="E23" i="5"/>
  <c r="G23" i="5" s="1"/>
  <c r="E22" i="5"/>
  <c r="I26" i="5"/>
  <c r="I25" i="5"/>
  <c r="I24" i="5"/>
  <c r="I23" i="5"/>
  <c r="B31" i="7" l="1"/>
  <c r="H27" i="7"/>
  <c r="B30" i="7"/>
  <c r="G27" i="5"/>
  <c r="E27" i="5"/>
  <c r="I27" i="5"/>
  <c r="G22" i="1"/>
  <c r="H22" i="1" s="1"/>
  <c r="E26" i="1"/>
  <c r="G26" i="1" s="1"/>
  <c r="H26" i="1" s="1"/>
  <c r="E25" i="1"/>
  <c r="G25" i="1" s="1"/>
  <c r="H25" i="1" s="1"/>
  <c r="E24" i="1"/>
  <c r="G24" i="1" s="1"/>
  <c r="H24" i="1" s="1"/>
  <c r="E23" i="1"/>
  <c r="G23" i="1" s="1"/>
  <c r="H23" i="1" s="1"/>
  <c r="E22" i="1"/>
  <c r="F22" i="1" s="1"/>
  <c r="I26" i="1"/>
  <c r="J26" i="1" s="1"/>
  <c r="I25" i="1"/>
  <c r="J25" i="1" s="1"/>
  <c r="I24" i="1"/>
  <c r="J24" i="1" s="1"/>
  <c r="I23" i="1"/>
  <c r="J23" i="1" s="1"/>
  <c r="I22" i="1"/>
  <c r="J22" i="1" s="1"/>
  <c r="E11" i="5"/>
  <c r="B31" i="5" s="1"/>
  <c r="D11" i="5"/>
  <c r="C11" i="5"/>
  <c r="B11" i="5"/>
  <c r="E10" i="5"/>
  <c r="B30" i="5" s="1"/>
  <c r="D10" i="5"/>
  <c r="C10" i="5"/>
  <c r="B10" i="5"/>
  <c r="B6" i="5"/>
  <c r="C30" i="7" l="1"/>
  <c r="B33" i="7" s="1"/>
  <c r="B36" i="7" s="1"/>
  <c r="C31" i="7"/>
  <c r="B34" i="7" s="1"/>
  <c r="B37" i="7" s="1"/>
  <c r="B36" i="5"/>
  <c r="B37" i="5"/>
  <c r="J27" i="5"/>
  <c r="B7" i="5"/>
  <c r="F27" i="5"/>
  <c r="F23" i="5"/>
  <c r="H26" i="5"/>
  <c r="F24" i="5"/>
  <c r="H22" i="5"/>
  <c r="F26" i="5"/>
  <c r="F22" i="5"/>
  <c r="J26" i="5"/>
  <c r="H25" i="5"/>
  <c r="F25" i="5"/>
  <c r="J25" i="5"/>
  <c r="H24" i="5"/>
  <c r="J24" i="5"/>
  <c r="H23" i="5"/>
  <c r="J23" i="5"/>
  <c r="J22" i="5"/>
  <c r="F24" i="1"/>
  <c r="H27" i="5"/>
  <c r="F25" i="1"/>
  <c r="F26" i="1"/>
  <c r="F23" i="1"/>
  <c r="E27" i="1"/>
  <c r="F27" i="1" s="1"/>
  <c r="I27" i="1"/>
  <c r="J27" i="1" s="1"/>
  <c r="B6" i="1"/>
  <c r="B11" i="1" l="1"/>
  <c r="B15" i="1" s="1"/>
  <c r="B10" i="1"/>
  <c r="B14" i="1" s="1"/>
  <c r="G27" i="1" l="1"/>
  <c r="H27" i="1" s="1"/>
  <c r="B31" i="1" l="1"/>
  <c r="B30" i="1"/>
  <c r="C30" i="1" l="1"/>
  <c r="B33" i="1"/>
  <c r="B36" i="1" s="1"/>
  <c r="C31" i="1"/>
  <c r="B34" i="1" s="1"/>
  <c r="B37" i="1" s="1"/>
</calcChain>
</file>

<file path=xl/sharedStrings.xml><?xml version="1.0" encoding="utf-8"?>
<sst xmlns="http://schemas.openxmlformats.org/spreadsheetml/2006/main" count="264" uniqueCount="81">
  <si>
    <t>Occupacy Classification</t>
  </si>
  <si>
    <t>Group A (Assembly)</t>
  </si>
  <si>
    <t>Group B (Business)</t>
  </si>
  <si>
    <t>Occupancy Group</t>
  </si>
  <si>
    <t>Area (sf)</t>
  </si>
  <si>
    <t>tCO2e/sf for 2024-2029</t>
  </si>
  <si>
    <t>tCO2e/sf for 2030-2034</t>
  </si>
  <si>
    <t>Group E (Education)</t>
  </si>
  <si>
    <t>Group F (Factory / Industrial)</t>
  </si>
  <si>
    <t>Group H (High Hazard)</t>
  </si>
  <si>
    <t>Group I-1 (Institutional)</t>
  </si>
  <si>
    <t>Group B (Healthcare)</t>
  </si>
  <si>
    <t>Group I-2 (Institutional)</t>
  </si>
  <si>
    <t>Group I-3 (Institutional)</t>
  </si>
  <si>
    <t>Group I-4 (Institutional)</t>
  </si>
  <si>
    <t>Group M (Mercantile)</t>
  </si>
  <si>
    <t>Group R-1 (Residential)</t>
  </si>
  <si>
    <t>Group R-2 (Residential)</t>
  </si>
  <si>
    <t>Group S (Storage)</t>
  </si>
  <si>
    <t>Group U (Utility)</t>
  </si>
  <si>
    <t>*Select from list</t>
  </si>
  <si>
    <t>*Input manually</t>
  </si>
  <si>
    <t>2024-2029 Limit (tCO2e/sf)</t>
  </si>
  <si>
    <t>2030-2034 Limit (tCO2e/sf)</t>
  </si>
  <si>
    <t>2024-2029 Emissions Limit</t>
  </si>
  <si>
    <t>2030-2034 Emissions Limit</t>
  </si>
  <si>
    <t>tCO2e / year</t>
  </si>
  <si>
    <t>*Picked automatically from table</t>
  </si>
  <si>
    <t>PART 1 - CALCULATING THE EMISSION LIMITS</t>
  </si>
  <si>
    <t>PART 2 - CALCULATING THE PENALTY FOR EXCEEDING THE EMISSIONS LIMIT</t>
  </si>
  <si>
    <t>Electricity (kWh)</t>
  </si>
  <si>
    <t>Natural Gas (therm)</t>
  </si>
  <si>
    <t>#2 Fuel Oil (gal)</t>
  </si>
  <si>
    <t>#4 Fuel Oil (gal)</t>
  </si>
  <si>
    <t>Energy Source</t>
  </si>
  <si>
    <t>Annual Energy Consumption</t>
  </si>
  <si>
    <t>2030-2034 Penalty ($)</t>
  </si>
  <si>
    <t>2024-2029 Penalty ($)</t>
  </si>
  <si>
    <t>per year</t>
  </si>
  <si>
    <t>Exceeds 2024-2029 Limit?</t>
  </si>
  <si>
    <t>Exceeds 2030-2034 Limit?</t>
  </si>
  <si>
    <t>kBtu/therm</t>
  </si>
  <si>
    <t>kBtu/gal</t>
  </si>
  <si>
    <t>tCO2e/kWh (Electricity)</t>
  </si>
  <si>
    <t>tCO2e/kBtu (All Others)</t>
  </si>
  <si>
    <t>Electricity</t>
  </si>
  <si>
    <t>Natural Gas</t>
  </si>
  <si>
    <t>Steam</t>
  </si>
  <si>
    <t>#2 Fuel Oil</t>
  </si>
  <si>
    <t>#4 Fuel Oil</t>
  </si>
  <si>
    <t>Total Emission Limits</t>
  </si>
  <si>
    <t>Exempt?</t>
  </si>
  <si>
    <t>Total Area (sf)</t>
  </si>
  <si>
    <t>*Added automatically</t>
  </si>
  <si>
    <t>Occupancy 1</t>
  </si>
  <si>
    <t>Occupancy 2</t>
  </si>
  <si>
    <t>Occupancy 3</t>
  </si>
  <si>
    <t>Occupancy 4</t>
  </si>
  <si>
    <t>/kWh</t>
  </si>
  <si>
    <t>/therm</t>
  </si>
  <si>
    <t>/gal</t>
  </si>
  <si>
    <t>Energy Price ($)</t>
  </si>
  <si>
    <t>Steam (Mlb)</t>
  </si>
  <si>
    <t>/Mlb</t>
  </si>
  <si>
    <t>kBtu/Mlb</t>
  </si>
  <si>
    <t>Energy Bill ($)</t>
  </si>
  <si>
    <t>*Determined from area and occupancy</t>
  </si>
  <si>
    <t>2024-2029 Total Cost ($)</t>
  </si>
  <si>
    <t>2030-2034 Total Cost ($)</t>
  </si>
  <si>
    <t>By how much?</t>
  </si>
  <si>
    <t>tCO2e/year</t>
  </si>
  <si>
    <t>Energy Input (kBTU)</t>
  </si>
  <si>
    <t>kBtu/kWh</t>
  </si>
  <si>
    <t>kBTU/sf</t>
  </si>
  <si>
    <t>Energy Input</t>
  </si>
  <si>
    <t>Conversion from</t>
  </si>
  <si>
    <t>Measured Unit to kBTU</t>
  </si>
  <si>
    <t>per year (energy bills + LL97 penalties)</t>
  </si>
  <si>
    <t>Emissions (tCO2e)</t>
  </si>
  <si>
    <t>$/sf</t>
  </si>
  <si>
    <t>kg CO2e/sf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</si>
</sst>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&quot;$&quot;#,##0.00"/>
    <numFmt numFmtId="166" formatCode="0.000"/>
    <numFmt numFmtId="167" formatCode="0.0000000000000"/>
    <numFmt numFmtId="169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1" fillId="4" borderId="2" xfId="0" applyFont="1" applyFill="1" applyBorder="1"/>
    <xf numFmtId="0" fontId="1" fillId="4" borderId="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10" xfId="0" applyFont="1" applyFill="1" applyBorder="1"/>
    <xf numFmtId="0" fontId="1" fillId="0" borderId="1" xfId="0" applyFont="1" applyBorder="1" applyAlignment="1">
      <alignment horizontal="right"/>
    </xf>
    <xf numFmtId="0" fontId="1" fillId="3" borderId="0" xfId="0" applyFont="1" applyFill="1"/>
    <xf numFmtId="0" fontId="0" fillId="3" borderId="0" xfId="0" applyFill="1" applyAlignment="1">
      <alignment horizontal="right"/>
    </xf>
    <xf numFmtId="0" fontId="1" fillId="3" borderId="0" xfId="0" applyFont="1" applyFill="1" applyBorder="1"/>
    <xf numFmtId="0" fontId="1" fillId="3" borderId="1" xfId="0" applyFont="1" applyFill="1" applyBorder="1"/>
    <xf numFmtId="0" fontId="1" fillId="3" borderId="0" xfId="0" applyFont="1" applyFill="1" applyAlignment="1">
      <alignment horizontal="right"/>
    </xf>
    <xf numFmtId="164" fontId="0" fillId="3" borderId="1" xfId="0" applyNumberFormat="1" applyFill="1" applyBorder="1"/>
    <xf numFmtId="167" fontId="0" fillId="3" borderId="0" xfId="0" applyNumberFormat="1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2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" fontId="0" fillId="3" borderId="0" xfId="0" applyNumberFormat="1" applyFill="1"/>
    <xf numFmtId="2" fontId="0" fillId="3" borderId="1" xfId="0" applyNumberFormat="1" applyFill="1" applyBorder="1"/>
    <xf numFmtId="2" fontId="1" fillId="5" borderId="1" xfId="0" applyNumberFormat="1" applyFont="1" applyFill="1" applyBorder="1"/>
    <xf numFmtId="169" fontId="0" fillId="2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" fontId="1" fillId="5" borderId="1" xfId="0" applyNumberFormat="1" applyFont="1" applyFill="1" applyBorder="1"/>
    <xf numFmtId="165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7" fontId="1" fillId="3" borderId="0" xfId="0" applyNumberFormat="1" applyFont="1" applyFill="1" applyAlignment="1">
      <alignment horizontal="right"/>
    </xf>
    <xf numFmtId="2" fontId="1" fillId="5" borderId="1" xfId="0" applyNumberFormat="1" applyFont="1" applyFill="1" applyBorder="1" applyAlignment="1"/>
    <xf numFmtId="4" fontId="0" fillId="3" borderId="1" xfId="0" applyNumberFormat="1" applyFill="1" applyBorder="1"/>
    <xf numFmtId="4" fontId="1" fillId="5" borderId="1" xfId="0" applyNumberFormat="1" applyFont="1" applyFill="1" applyBorder="1"/>
    <xf numFmtId="0" fontId="0" fillId="3" borderId="0" xfId="0" applyFill="1" applyBorder="1"/>
    <xf numFmtId="1" fontId="1" fillId="6" borderId="1" xfId="0" applyNumberFormat="1" applyFont="1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A2E-CD7A-45EC-A337-6BD154C057CE}">
  <dimension ref="A1:O37"/>
  <sheetViews>
    <sheetView tabSelected="1" workbookViewId="0"/>
  </sheetViews>
  <sheetFormatPr defaultRowHeight="15" x14ac:dyDescent="0.25"/>
  <cols>
    <col min="1" max="1" width="26.140625" style="3" customWidth="1"/>
    <col min="2" max="2" width="20.28515625" style="3" bestFit="1" customWidth="1"/>
    <col min="3" max="3" width="15.7109375" style="3" customWidth="1"/>
    <col min="4" max="4" width="9.140625" style="3" customWidth="1"/>
    <col min="5" max="5" width="18.85546875" style="23" bestFit="1" customWidth="1"/>
    <col min="6" max="6" width="11.85546875" style="23" customWidth="1"/>
    <col min="7" max="7" width="19.140625" style="23" customWidth="1"/>
    <col min="8" max="8" width="12.42578125" style="23" customWidth="1"/>
    <col min="9" max="9" width="16.7109375" style="3" customWidth="1"/>
    <col min="10" max="10" width="11.42578125" style="4" customWidth="1"/>
    <col min="11" max="11" width="9" style="4" customWidth="1"/>
    <col min="12" max="12" width="26.85546875" style="4" bestFit="1" customWidth="1"/>
    <col min="13" max="14" width="24.7109375" style="3" bestFit="1" customWidth="1"/>
    <col min="15" max="16384" width="9.140625" style="3"/>
  </cols>
  <sheetData>
    <row r="1" spans="1:14" ht="15.75" thickBot="1" x14ac:dyDescent="0.3">
      <c r="A1" s="22" t="s">
        <v>28</v>
      </c>
      <c r="J1" s="3"/>
      <c r="K1" s="3"/>
      <c r="L1" s="3"/>
      <c r="M1" s="4"/>
      <c r="N1" s="4"/>
    </row>
    <row r="2" spans="1:14" ht="15.75" thickBot="1" x14ac:dyDescent="0.3">
      <c r="J2" s="3"/>
      <c r="K2" s="3"/>
      <c r="L2" s="12" t="s">
        <v>0</v>
      </c>
      <c r="M2" s="13" t="s">
        <v>22</v>
      </c>
      <c r="N2" s="14" t="s">
        <v>23</v>
      </c>
    </row>
    <row r="3" spans="1:14" x14ac:dyDescent="0.25">
      <c r="A3" s="22" t="s">
        <v>4</v>
      </c>
      <c r="B3" s="1">
        <v>500000</v>
      </c>
      <c r="C3" s="3" t="s">
        <v>21</v>
      </c>
      <c r="J3" s="3"/>
      <c r="K3" s="3"/>
      <c r="L3" s="10" t="s">
        <v>1</v>
      </c>
      <c r="M3" s="5">
        <v>1.074E-2</v>
      </c>
      <c r="N3" s="6">
        <v>4.1999999999999997E-3</v>
      </c>
    </row>
    <row r="4" spans="1:14" x14ac:dyDescent="0.25">
      <c r="A4" s="22" t="s">
        <v>3</v>
      </c>
      <c r="B4" s="2" t="s">
        <v>15</v>
      </c>
      <c r="C4" s="3" t="s">
        <v>20</v>
      </c>
      <c r="J4" s="3"/>
      <c r="K4" s="3"/>
      <c r="L4" s="10" t="s">
        <v>2</v>
      </c>
      <c r="M4" s="5">
        <v>8.4600000000000005E-3</v>
      </c>
      <c r="N4" s="7">
        <v>4.5300000000000002E-3</v>
      </c>
    </row>
    <row r="5" spans="1:14" x14ac:dyDescent="0.25">
      <c r="J5" s="3"/>
      <c r="K5" s="3"/>
      <c r="L5" s="10" t="s">
        <v>11</v>
      </c>
      <c r="M5" s="5">
        <v>2.3810000000000001E-2</v>
      </c>
      <c r="N5" s="7">
        <v>1.193E-2</v>
      </c>
    </row>
    <row r="6" spans="1:14" x14ac:dyDescent="0.25">
      <c r="A6" s="24" t="s">
        <v>51</v>
      </c>
      <c r="B6" s="21" t="str">
        <f>IF(B3&gt;25000,"NO","YES")</f>
        <v>NO</v>
      </c>
      <c r="C6" s="3" t="s">
        <v>66</v>
      </c>
      <c r="J6" s="3"/>
      <c r="K6" s="3"/>
      <c r="L6" s="10" t="s">
        <v>7</v>
      </c>
      <c r="M6" s="5">
        <v>7.5799999999999999E-3</v>
      </c>
      <c r="N6" s="7">
        <v>3.4399999999999999E-3</v>
      </c>
    </row>
    <row r="7" spans="1:14" x14ac:dyDescent="0.25">
      <c r="J7" s="3"/>
      <c r="K7" s="3"/>
      <c r="L7" s="10" t="s">
        <v>8</v>
      </c>
      <c r="M7" s="5">
        <v>5.7400000000000003E-3</v>
      </c>
      <c r="N7" s="7">
        <v>1.67E-3</v>
      </c>
    </row>
    <row r="8" spans="1:14" x14ac:dyDescent="0.25">
      <c r="J8" s="3"/>
      <c r="K8" s="3"/>
      <c r="L8" s="10" t="s">
        <v>9</v>
      </c>
      <c r="M8" s="5">
        <v>2.3810000000000001E-2</v>
      </c>
      <c r="N8" s="7">
        <v>1.193E-2</v>
      </c>
    </row>
    <row r="9" spans="1:14" x14ac:dyDescent="0.25">
      <c r="J9" s="3"/>
      <c r="K9" s="3"/>
      <c r="L9" s="10" t="s">
        <v>10</v>
      </c>
      <c r="M9" s="5">
        <v>1.1379999999999999E-2</v>
      </c>
      <c r="N9" s="7">
        <v>5.9800000000000001E-3</v>
      </c>
    </row>
    <row r="10" spans="1:14" x14ac:dyDescent="0.25">
      <c r="A10" s="22" t="s">
        <v>5</v>
      </c>
      <c r="B10" s="27">
        <f>VLOOKUP(B$4,$L$2:$N$17,2,FALSE)</f>
        <v>1.1809999999999999E-2</v>
      </c>
      <c r="C10" s="3" t="s">
        <v>27</v>
      </c>
      <c r="J10" s="3"/>
      <c r="K10" s="3"/>
      <c r="L10" s="10" t="s">
        <v>12</v>
      </c>
      <c r="M10" s="5">
        <v>2.3810000000000001E-2</v>
      </c>
      <c r="N10" s="7">
        <v>1.193E-2</v>
      </c>
    </row>
    <row r="11" spans="1:14" x14ac:dyDescent="0.25">
      <c r="A11" s="22" t="s">
        <v>6</v>
      </c>
      <c r="B11" s="27">
        <f>VLOOKUP(B$4,$L$2:$N$17,3,FALSE)</f>
        <v>4.0299999999999997E-3</v>
      </c>
      <c r="C11" s="3" t="s">
        <v>27</v>
      </c>
      <c r="J11" s="3"/>
      <c r="K11" s="3"/>
      <c r="L11" s="10" t="s">
        <v>13</v>
      </c>
      <c r="M11" s="5">
        <v>2.3810000000000001E-2</v>
      </c>
      <c r="N11" s="7">
        <v>1.193E-2</v>
      </c>
    </row>
    <row r="12" spans="1:14" x14ac:dyDescent="0.25">
      <c r="J12" s="3"/>
      <c r="K12" s="3"/>
      <c r="L12" s="10" t="s">
        <v>14</v>
      </c>
      <c r="M12" s="5">
        <v>7.5799999999999999E-3</v>
      </c>
      <c r="N12" s="7">
        <v>3.4399999999999999E-3</v>
      </c>
    </row>
    <row r="13" spans="1:14" x14ac:dyDescent="0.25">
      <c r="J13" s="3"/>
      <c r="K13" s="3"/>
      <c r="L13" s="10" t="s">
        <v>15</v>
      </c>
      <c r="M13" s="5">
        <v>1.1809999999999999E-2</v>
      </c>
      <c r="N13" s="7">
        <v>4.0299999999999997E-3</v>
      </c>
    </row>
    <row r="14" spans="1:14" x14ac:dyDescent="0.25">
      <c r="A14" s="25" t="s">
        <v>24</v>
      </c>
      <c r="B14" s="38">
        <f>B$3*B10</f>
        <v>5905</v>
      </c>
      <c r="C14" s="40" t="s">
        <v>26</v>
      </c>
      <c r="D14" s="24"/>
      <c r="J14" s="3"/>
      <c r="K14" s="3"/>
      <c r="L14" s="10" t="s">
        <v>16</v>
      </c>
      <c r="M14" s="5">
        <v>9.8700000000000003E-3</v>
      </c>
      <c r="N14" s="7">
        <v>5.2599999999999999E-3</v>
      </c>
    </row>
    <row r="15" spans="1:14" x14ac:dyDescent="0.25">
      <c r="A15" s="25" t="s">
        <v>25</v>
      </c>
      <c r="B15" s="38">
        <f>B$3*B11</f>
        <v>2014.9999999999998</v>
      </c>
      <c r="C15" s="40" t="s">
        <v>26</v>
      </c>
      <c r="D15" s="24"/>
      <c r="J15" s="3"/>
      <c r="K15" s="3"/>
      <c r="L15" s="10" t="s">
        <v>17</v>
      </c>
      <c r="M15" s="5">
        <v>6.7499999999999999E-3</v>
      </c>
      <c r="N15" s="7">
        <v>4.0699999999999998E-3</v>
      </c>
    </row>
    <row r="16" spans="1:14" x14ac:dyDescent="0.25">
      <c r="J16" s="3"/>
      <c r="K16" s="3"/>
      <c r="L16" s="10" t="s">
        <v>18</v>
      </c>
      <c r="M16" s="5">
        <v>4.2599999999999999E-3</v>
      </c>
      <c r="N16" s="6">
        <v>1.1000000000000001E-3</v>
      </c>
    </row>
    <row r="17" spans="1:15" ht="15.75" thickBot="1" x14ac:dyDescent="0.3">
      <c r="J17" s="3"/>
      <c r="K17" s="3"/>
      <c r="L17" s="11" t="s">
        <v>19</v>
      </c>
      <c r="M17" s="8">
        <v>4.2599999999999999E-3</v>
      </c>
      <c r="N17" s="9">
        <v>1.1000000000000001E-3</v>
      </c>
    </row>
    <row r="18" spans="1:15" x14ac:dyDescent="0.25">
      <c r="J18" s="3"/>
      <c r="K18" s="3"/>
      <c r="L18" s="3"/>
      <c r="M18" s="4"/>
      <c r="N18" s="4"/>
    </row>
    <row r="19" spans="1:15" ht="15.75" thickBot="1" x14ac:dyDescent="0.3">
      <c r="A19" s="22" t="s">
        <v>29</v>
      </c>
    </row>
    <row r="20" spans="1:15" x14ac:dyDescent="0.25">
      <c r="E20" s="3"/>
      <c r="F20" s="3"/>
      <c r="G20" s="3"/>
      <c r="H20" s="3"/>
      <c r="I20" s="23"/>
      <c r="J20" s="3"/>
      <c r="K20" s="3"/>
      <c r="L20" s="19" t="s">
        <v>34</v>
      </c>
      <c r="M20" s="17" t="s">
        <v>43</v>
      </c>
      <c r="N20" s="17" t="s">
        <v>75</v>
      </c>
    </row>
    <row r="21" spans="1:15" ht="15.75" thickBot="1" x14ac:dyDescent="0.3">
      <c r="A21" s="22" t="s">
        <v>35</v>
      </c>
      <c r="B21" s="26" t="s">
        <v>74</v>
      </c>
      <c r="C21" s="26" t="s">
        <v>61</v>
      </c>
      <c r="D21" s="26"/>
      <c r="E21" s="26" t="s">
        <v>71</v>
      </c>
      <c r="F21" s="26" t="s">
        <v>73</v>
      </c>
      <c r="G21" s="26" t="s">
        <v>78</v>
      </c>
      <c r="H21" s="26" t="s">
        <v>80</v>
      </c>
      <c r="I21" s="26" t="s">
        <v>65</v>
      </c>
      <c r="J21" s="26" t="s">
        <v>79</v>
      </c>
      <c r="K21" s="3"/>
      <c r="L21" s="20"/>
      <c r="M21" s="18" t="s">
        <v>44</v>
      </c>
      <c r="N21" s="18" t="s">
        <v>76</v>
      </c>
    </row>
    <row r="22" spans="1:15" x14ac:dyDescent="0.25">
      <c r="A22" s="3" t="s">
        <v>30</v>
      </c>
      <c r="B22" s="1">
        <v>15000000</v>
      </c>
      <c r="C22" s="36">
        <v>0.22</v>
      </c>
      <c r="D22" s="29" t="s">
        <v>58</v>
      </c>
      <c r="E22" s="44">
        <f>B22*N22</f>
        <v>51182100</v>
      </c>
      <c r="F22" s="44">
        <f>E22/$B$3</f>
        <v>102.3642</v>
      </c>
      <c r="G22" s="34">
        <f>B22*M22</f>
        <v>4334.4299999999994</v>
      </c>
      <c r="H22" s="44">
        <f>G22/$B$3*1000</f>
        <v>8.6688599999999987</v>
      </c>
      <c r="I22" s="37">
        <f>B22*C22</f>
        <v>3300000</v>
      </c>
      <c r="J22" s="37">
        <f>I22/$B$3</f>
        <v>6.6</v>
      </c>
      <c r="K22" s="3"/>
      <c r="L22" s="10" t="s">
        <v>45</v>
      </c>
      <c r="M22" s="15">
        <v>2.8896199999999998E-4</v>
      </c>
      <c r="N22" s="15">
        <v>3.41214</v>
      </c>
      <c r="O22" s="3" t="s">
        <v>72</v>
      </c>
    </row>
    <row r="23" spans="1:15" x14ac:dyDescent="0.25">
      <c r="A23" s="3" t="s">
        <v>31</v>
      </c>
      <c r="B23" s="1">
        <v>125000</v>
      </c>
      <c r="C23" s="36">
        <v>0.997</v>
      </c>
      <c r="D23" s="29" t="s">
        <v>59</v>
      </c>
      <c r="E23" s="44">
        <f>B23*N23</f>
        <v>12500000</v>
      </c>
      <c r="F23" s="44">
        <f>E23/$B$3</f>
        <v>25</v>
      </c>
      <c r="G23" s="34">
        <f>E23*M23</f>
        <v>663.875</v>
      </c>
      <c r="H23" s="44">
        <f>G23/$B$3*1000</f>
        <v>1.32775</v>
      </c>
      <c r="I23" s="37">
        <f>B23*C23</f>
        <v>124625</v>
      </c>
      <c r="J23" s="37">
        <f>I23/$B$3</f>
        <v>0.24925</v>
      </c>
      <c r="K23" s="3"/>
      <c r="L23" s="10" t="s">
        <v>46</v>
      </c>
      <c r="M23" s="15">
        <v>5.3109999999999998E-5</v>
      </c>
      <c r="N23" s="15">
        <v>100</v>
      </c>
      <c r="O23" s="3" t="s">
        <v>41</v>
      </c>
    </row>
    <row r="24" spans="1:15" x14ac:dyDescent="0.25">
      <c r="A24" s="3" t="s">
        <v>62</v>
      </c>
      <c r="B24" s="1"/>
      <c r="C24" s="36">
        <v>35</v>
      </c>
      <c r="D24" s="29" t="s">
        <v>63</v>
      </c>
      <c r="E24" s="44">
        <f>B24*N24</f>
        <v>0</v>
      </c>
      <c r="F24" s="44">
        <f>E24/$B$3</f>
        <v>0</v>
      </c>
      <c r="G24" s="34">
        <f>E24*M24</f>
        <v>0</v>
      </c>
      <c r="H24" s="44">
        <f>G24/$B$3*1000</f>
        <v>0</v>
      </c>
      <c r="I24" s="37">
        <f>B24*C24</f>
        <v>0</v>
      </c>
      <c r="J24" s="37">
        <f>I24/$B$3</f>
        <v>0</v>
      </c>
      <c r="K24" s="3"/>
      <c r="L24" s="10" t="s">
        <v>47</v>
      </c>
      <c r="M24" s="15">
        <v>4.4929999999999998E-5</v>
      </c>
      <c r="N24" s="15">
        <v>1194</v>
      </c>
      <c r="O24" s="3" t="s">
        <v>64</v>
      </c>
    </row>
    <row r="25" spans="1:15" x14ac:dyDescent="0.25">
      <c r="A25" s="3" t="s">
        <v>32</v>
      </c>
      <c r="B25" s="1"/>
      <c r="C25" s="36">
        <v>1.65</v>
      </c>
      <c r="D25" s="29" t="s">
        <v>60</v>
      </c>
      <c r="E25" s="44">
        <f>B25*N25</f>
        <v>0</v>
      </c>
      <c r="F25" s="44">
        <f>E25/$B$3</f>
        <v>0</v>
      </c>
      <c r="G25" s="34">
        <f>E25*M25</f>
        <v>0</v>
      </c>
      <c r="H25" s="44">
        <f>G25/$B$3*1000</f>
        <v>0</v>
      </c>
      <c r="I25" s="37">
        <f>B25*C25</f>
        <v>0</v>
      </c>
      <c r="J25" s="37">
        <f>I25/$B$3</f>
        <v>0</v>
      </c>
      <c r="K25" s="3"/>
      <c r="L25" s="10" t="s">
        <v>48</v>
      </c>
      <c r="M25" s="15">
        <v>7.4209999999999996E-5</v>
      </c>
      <c r="N25" s="15">
        <v>138</v>
      </c>
      <c r="O25" s="3" t="s">
        <v>42</v>
      </c>
    </row>
    <row r="26" spans="1:15" ht="15.75" thickBot="1" x14ac:dyDescent="0.3">
      <c r="A26" s="3" t="s">
        <v>33</v>
      </c>
      <c r="B26" s="1"/>
      <c r="C26" s="36">
        <v>1.65</v>
      </c>
      <c r="D26" s="29" t="s">
        <v>60</v>
      </c>
      <c r="E26" s="44">
        <f>B26*N26</f>
        <v>0</v>
      </c>
      <c r="F26" s="44">
        <f>E26/$B$3</f>
        <v>0</v>
      </c>
      <c r="G26" s="34">
        <f>E26*M26</f>
        <v>0</v>
      </c>
      <c r="H26" s="44">
        <f>G26/$B$3*1000</f>
        <v>0</v>
      </c>
      <c r="I26" s="37">
        <f>B26*C26</f>
        <v>0</v>
      </c>
      <c r="J26" s="37">
        <f>I26/$B$3</f>
        <v>0</v>
      </c>
      <c r="K26" s="3"/>
      <c r="L26" s="11" t="s">
        <v>49</v>
      </c>
      <c r="M26" s="16">
        <v>7.5290000000000006E-5</v>
      </c>
      <c r="N26" s="16">
        <v>146</v>
      </c>
      <c r="O26" s="3" t="s">
        <v>42</v>
      </c>
    </row>
    <row r="27" spans="1:15" x14ac:dyDescent="0.25">
      <c r="E27" s="45">
        <f>SUM(E22:E26)</f>
        <v>63682100</v>
      </c>
      <c r="F27" s="45">
        <f>E27/$B$3</f>
        <v>127.3642</v>
      </c>
      <c r="G27" s="35">
        <f>SUM(G22:G26)</f>
        <v>4998.3049999999994</v>
      </c>
      <c r="H27" s="45">
        <f>G27/$B$3*1000</f>
        <v>9.9966099999999987</v>
      </c>
      <c r="I27" s="39">
        <f>SUM(I22:I26)</f>
        <v>3424625</v>
      </c>
      <c r="J27" s="39">
        <f>I27/$B$3</f>
        <v>6.8492499999999996</v>
      </c>
      <c r="K27" s="3"/>
      <c r="L27" s="3"/>
      <c r="M27" s="4"/>
      <c r="N27" s="4"/>
    </row>
    <row r="28" spans="1:15" x14ac:dyDescent="0.25">
      <c r="E28" s="3"/>
      <c r="F28" s="3"/>
      <c r="G28" s="28"/>
      <c r="H28" s="28"/>
      <c r="I28" s="23"/>
      <c r="J28" s="3"/>
      <c r="K28" s="3"/>
      <c r="L28" s="3"/>
      <c r="M28" s="4"/>
      <c r="N28" s="4"/>
    </row>
    <row r="29" spans="1:15" x14ac:dyDescent="0.25">
      <c r="C29" s="42" t="s">
        <v>69</v>
      </c>
      <c r="D29" s="42"/>
    </row>
    <row r="30" spans="1:15" x14ac:dyDescent="0.25">
      <c r="A30" s="25" t="s">
        <v>39</v>
      </c>
      <c r="B30" s="41" t="str">
        <f>IF(G$27&gt;B14,"YES","NO")</f>
        <v>NO</v>
      </c>
      <c r="C30" s="43">
        <f>IF(B30="YES",G27-B14,0)</f>
        <v>0</v>
      </c>
      <c r="D30" s="30" t="s">
        <v>70</v>
      </c>
      <c r="E30" s="3"/>
      <c r="F30" s="3"/>
      <c r="J30" s="31"/>
      <c r="K30" s="31"/>
    </row>
    <row r="31" spans="1:15" x14ac:dyDescent="0.25">
      <c r="A31" s="25" t="s">
        <v>40</v>
      </c>
      <c r="B31" s="41" t="str">
        <f>IF(G$27&gt;B15,"YES","NO")</f>
        <v>YES</v>
      </c>
      <c r="C31" s="43">
        <f>IF(B31="YES",G27-B15,0)</f>
        <v>2983.3049999999994</v>
      </c>
      <c r="D31" s="30" t="s">
        <v>70</v>
      </c>
      <c r="E31" s="3"/>
      <c r="F31" s="3"/>
      <c r="J31" s="32"/>
      <c r="K31" s="32"/>
    </row>
    <row r="33" spans="1:6" x14ac:dyDescent="0.25">
      <c r="A33" s="25" t="s">
        <v>37</v>
      </c>
      <c r="B33" s="39">
        <f>IF(B30="YES",C30*268,0)</f>
        <v>0</v>
      </c>
      <c r="C33" s="24" t="s">
        <v>38</v>
      </c>
      <c r="D33" s="24"/>
    </row>
    <row r="34" spans="1:6" x14ac:dyDescent="0.25">
      <c r="A34" s="25" t="s">
        <v>36</v>
      </c>
      <c r="B34" s="39">
        <f>IF(B31="YES",C31*268,0)</f>
        <v>799525.73999999987</v>
      </c>
      <c r="C34" s="24" t="s">
        <v>38</v>
      </c>
      <c r="D34" s="24"/>
    </row>
    <row r="35" spans="1:6" x14ac:dyDescent="0.25">
      <c r="B35" s="33"/>
      <c r="C35" s="46"/>
    </row>
    <row r="36" spans="1:6" x14ac:dyDescent="0.25">
      <c r="A36" s="25" t="s">
        <v>67</v>
      </c>
      <c r="B36" s="39">
        <f>B33+I$27</f>
        <v>3424625</v>
      </c>
      <c r="C36" s="24" t="s">
        <v>77</v>
      </c>
      <c r="D36" s="29"/>
      <c r="E36" s="3"/>
      <c r="F36" s="3"/>
    </row>
    <row r="37" spans="1:6" x14ac:dyDescent="0.25">
      <c r="A37" s="25" t="s">
        <v>68</v>
      </c>
      <c r="B37" s="39">
        <f>B34+I$27</f>
        <v>4224150.74</v>
      </c>
      <c r="C37" s="24" t="s">
        <v>77</v>
      </c>
      <c r="D37" s="29"/>
      <c r="E37" s="3"/>
      <c r="F37" s="3"/>
    </row>
  </sheetData>
  <conditionalFormatting sqref="B6">
    <cfRule type="cellIs" dxfId="5" priority="1" operator="equal">
      <formula>"YES"</formula>
    </cfRule>
    <cfRule type="cellIs" dxfId="4" priority="2" operator="equal">
      <formula>"NO"</formula>
    </cfRule>
  </conditionalFormatting>
  <dataValidations count="1">
    <dataValidation type="list" allowBlank="1" showInputMessage="1" showErrorMessage="1" sqref="B4" xr:uid="{82C5EAD3-924B-4CF1-B016-FD7197583939}">
      <formula1>$L$3:$L$17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C757-CA3E-406D-8E14-248F3BAA525F}">
  <dimension ref="A1:O37"/>
  <sheetViews>
    <sheetView workbookViewId="0"/>
  </sheetViews>
  <sheetFormatPr defaultRowHeight="15" x14ac:dyDescent="0.25"/>
  <cols>
    <col min="1" max="1" width="26.140625" style="3" customWidth="1"/>
    <col min="2" max="2" width="18.85546875" style="3" bestFit="1" customWidth="1"/>
    <col min="3" max="3" width="19.140625" style="3" customWidth="1"/>
    <col min="4" max="4" width="20.28515625" style="3" bestFit="1" customWidth="1"/>
    <col min="5" max="5" width="18.85546875" style="3" bestFit="1" customWidth="1"/>
    <col min="6" max="6" width="11.85546875" style="3" customWidth="1"/>
    <col min="7" max="7" width="19.140625" style="3" customWidth="1"/>
    <col min="8" max="8" width="12.42578125" style="3" customWidth="1"/>
    <col min="9" max="9" width="16.7109375" style="3" customWidth="1"/>
    <col min="10" max="10" width="11.42578125" style="3" customWidth="1"/>
    <col min="11" max="11" width="9.140625" style="3"/>
    <col min="12" max="12" width="26.85546875" style="3" bestFit="1" customWidth="1"/>
    <col min="13" max="13" width="28" style="4" customWidth="1"/>
    <col min="14" max="14" width="27.140625" style="4" customWidth="1"/>
    <col min="15" max="15" width="14.140625" style="3" customWidth="1"/>
    <col min="16" max="16384" width="9.140625" style="3"/>
  </cols>
  <sheetData>
    <row r="1" spans="1:14" ht="15.75" thickBot="1" x14ac:dyDescent="0.3">
      <c r="A1" s="22" t="s">
        <v>28</v>
      </c>
    </row>
    <row r="2" spans="1:14" ht="15.75" thickBot="1" x14ac:dyDescent="0.3">
      <c r="B2" s="26" t="s">
        <v>54</v>
      </c>
      <c r="C2" s="26" t="s">
        <v>55</v>
      </c>
      <c r="D2" s="26" t="s">
        <v>56</v>
      </c>
      <c r="E2" s="26" t="s">
        <v>57</v>
      </c>
      <c r="F2" s="26"/>
      <c r="L2" s="12" t="s">
        <v>0</v>
      </c>
      <c r="M2" s="13" t="s">
        <v>22</v>
      </c>
      <c r="N2" s="14" t="s">
        <v>23</v>
      </c>
    </row>
    <row r="3" spans="1:14" x14ac:dyDescent="0.25">
      <c r="A3" s="22" t="s">
        <v>4</v>
      </c>
      <c r="B3" s="1">
        <v>100000</v>
      </c>
      <c r="C3" s="1">
        <v>200000</v>
      </c>
      <c r="D3" s="1">
        <v>150000</v>
      </c>
      <c r="E3" s="1">
        <v>50000</v>
      </c>
      <c r="F3" s="3" t="s">
        <v>21</v>
      </c>
      <c r="L3" s="10" t="s">
        <v>1</v>
      </c>
      <c r="M3" s="5">
        <v>1.074E-2</v>
      </c>
      <c r="N3" s="6">
        <v>4.1999999999999997E-3</v>
      </c>
    </row>
    <row r="4" spans="1:14" x14ac:dyDescent="0.25">
      <c r="A4" s="22" t="s">
        <v>3</v>
      </c>
      <c r="B4" s="2" t="s">
        <v>1</v>
      </c>
      <c r="C4" s="2" t="s">
        <v>2</v>
      </c>
      <c r="D4" s="2" t="s">
        <v>15</v>
      </c>
      <c r="E4" s="2" t="s">
        <v>18</v>
      </c>
      <c r="F4" s="3" t="s">
        <v>20</v>
      </c>
      <c r="L4" s="10" t="s">
        <v>2</v>
      </c>
      <c r="M4" s="5">
        <v>8.4600000000000005E-3</v>
      </c>
      <c r="N4" s="7">
        <v>4.5300000000000002E-3</v>
      </c>
    </row>
    <row r="5" spans="1:14" x14ac:dyDescent="0.25">
      <c r="L5" s="10" t="s">
        <v>11</v>
      </c>
      <c r="M5" s="5">
        <v>2.3810000000000001E-2</v>
      </c>
      <c r="N5" s="7">
        <v>1.193E-2</v>
      </c>
    </row>
    <row r="6" spans="1:14" x14ac:dyDescent="0.25">
      <c r="A6" s="24" t="s">
        <v>52</v>
      </c>
      <c r="B6" s="44">
        <f>SUM(B3:E3)</f>
        <v>500000</v>
      </c>
      <c r="C6" s="3" t="s">
        <v>53</v>
      </c>
      <c r="L6" s="10" t="s">
        <v>7</v>
      </c>
      <c r="M6" s="5">
        <v>7.5799999999999999E-3</v>
      </c>
      <c r="N6" s="7">
        <v>3.4399999999999999E-3</v>
      </c>
    </row>
    <row r="7" spans="1:14" x14ac:dyDescent="0.25">
      <c r="A7" s="24" t="s">
        <v>51</v>
      </c>
      <c r="B7" s="21" t="str">
        <f>IF(B6&gt;25000,"NO","YES")</f>
        <v>NO</v>
      </c>
      <c r="L7" s="10" t="s">
        <v>8</v>
      </c>
      <c r="M7" s="5">
        <v>5.7400000000000003E-3</v>
      </c>
      <c r="N7" s="7">
        <v>1.67E-3</v>
      </c>
    </row>
    <row r="8" spans="1:14" x14ac:dyDescent="0.25">
      <c r="L8" s="10" t="s">
        <v>9</v>
      </c>
      <c r="M8" s="5">
        <v>2.3810000000000001E-2</v>
      </c>
      <c r="N8" s="7">
        <v>1.193E-2</v>
      </c>
    </row>
    <row r="9" spans="1:14" x14ac:dyDescent="0.25">
      <c r="L9" s="10" t="s">
        <v>10</v>
      </c>
      <c r="M9" s="5">
        <v>1.1379999999999999E-2</v>
      </c>
      <c r="N9" s="7">
        <v>5.9800000000000001E-3</v>
      </c>
    </row>
    <row r="10" spans="1:14" x14ac:dyDescent="0.25">
      <c r="A10" s="22" t="s">
        <v>5</v>
      </c>
      <c r="B10" s="27">
        <f>VLOOKUP(B$4,$L$2:$N$17,2,FALSE)</f>
        <v>1.074E-2</v>
      </c>
      <c r="C10" s="27">
        <f>VLOOKUP(C$4,$L$2:$N$17,2,FALSE)</f>
        <v>8.4600000000000005E-3</v>
      </c>
      <c r="D10" s="27">
        <f>VLOOKUP(D$4,$L$2:$N$17,2,FALSE)</f>
        <v>1.1809999999999999E-2</v>
      </c>
      <c r="E10" s="27">
        <f>VLOOKUP(E$4,$L$2:$N$17,2,FALSE)</f>
        <v>4.2599999999999999E-3</v>
      </c>
      <c r="F10" s="3" t="s">
        <v>27</v>
      </c>
      <c r="L10" s="10" t="s">
        <v>12</v>
      </c>
      <c r="M10" s="5">
        <v>2.3810000000000001E-2</v>
      </c>
      <c r="N10" s="7">
        <v>1.193E-2</v>
      </c>
    </row>
    <row r="11" spans="1:14" x14ac:dyDescent="0.25">
      <c r="A11" s="22" t="s">
        <v>6</v>
      </c>
      <c r="B11" s="27">
        <f>VLOOKUP(B$4,$L$2:$N$17,3,FALSE)</f>
        <v>4.1999999999999997E-3</v>
      </c>
      <c r="C11" s="27">
        <f>VLOOKUP(C$4,$L$2:$N$17,3,FALSE)</f>
        <v>4.5300000000000002E-3</v>
      </c>
      <c r="D11" s="27">
        <f>VLOOKUP(D$4,$L$2:$N$17,3,FALSE)</f>
        <v>4.0299999999999997E-3</v>
      </c>
      <c r="E11" s="27">
        <f>VLOOKUP(E$4,$L$2:$N$17,3,FALSE)</f>
        <v>1.1000000000000001E-3</v>
      </c>
      <c r="F11" s="3" t="s">
        <v>27</v>
      </c>
      <c r="L11" s="10" t="s">
        <v>13</v>
      </c>
      <c r="M11" s="5">
        <v>2.3810000000000001E-2</v>
      </c>
      <c r="N11" s="7">
        <v>1.193E-2</v>
      </c>
    </row>
    <row r="12" spans="1:14" x14ac:dyDescent="0.25">
      <c r="L12" s="10" t="s">
        <v>14</v>
      </c>
      <c r="M12" s="5">
        <v>7.5799999999999999E-3</v>
      </c>
      <c r="N12" s="7">
        <v>3.4399999999999999E-3</v>
      </c>
    </row>
    <row r="13" spans="1:14" x14ac:dyDescent="0.25">
      <c r="F13" s="26" t="s">
        <v>50</v>
      </c>
      <c r="L13" s="10" t="s">
        <v>15</v>
      </c>
      <c r="M13" s="5">
        <v>1.1809999999999999E-2</v>
      </c>
      <c r="N13" s="7">
        <v>4.0299999999999997E-3</v>
      </c>
    </row>
    <row r="14" spans="1:14" x14ac:dyDescent="0.25">
      <c r="A14" s="25" t="s">
        <v>24</v>
      </c>
      <c r="B14" s="47">
        <f>B$3*B10</f>
        <v>1074</v>
      </c>
      <c r="C14" s="47">
        <f>C$3*C10</f>
        <v>1692</v>
      </c>
      <c r="D14" s="47">
        <f>D$3*D10</f>
        <v>1771.5</v>
      </c>
      <c r="E14" s="47">
        <f>E$3*E10</f>
        <v>213</v>
      </c>
      <c r="F14" s="38">
        <f>SUM(B14:E14)</f>
        <v>4750.5</v>
      </c>
      <c r="G14" s="40" t="s">
        <v>26</v>
      </c>
      <c r="L14" s="10" t="s">
        <v>16</v>
      </c>
      <c r="M14" s="5">
        <v>9.8700000000000003E-3</v>
      </c>
      <c r="N14" s="7">
        <v>5.2599999999999999E-3</v>
      </c>
    </row>
    <row r="15" spans="1:14" x14ac:dyDescent="0.25">
      <c r="A15" s="25" t="s">
        <v>25</v>
      </c>
      <c r="B15" s="47">
        <f>B$3*B11</f>
        <v>420</v>
      </c>
      <c r="C15" s="47">
        <f>C$3*C11</f>
        <v>906</v>
      </c>
      <c r="D15" s="47">
        <f>D$3*D11</f>
        <v>604.5</v>
      </c>
      <c r="E15" s="47">
        <f>E$3*E11</f>
        <v>55</v>
      </c>
      <c r="F15" s="38">
        <f>SUM(B15:E15)</f>
        <v>1985.5</v>
      </c>
      <c r="G15" s="40" t="s">
        <v>26</v>
      </c>
      <c r="L15" s="10" t="s">
        <v>17</v>
      </c>
      <c r="M15" s="5">
        <v>6.7499999999999999E-3</v>
      </c>
      <c r="N15" s="7">
        <v>4.0699999999999998E-3</v>
      </c>
    </row>
    <row r="16" spans="1:14" x14ac:dyDescent="0.25">
      <c r="L16" s="10" t="s">
        <v>18</v>
      </c>
      <c r="M16" s="5">
        <v>4.2599999999999999E-3</v>
      </c>
      <c r="N16" s="6">
        <v>1.1000000000000001E-3</v>
      </c>
    </row>
    <row r="17" spans="1:15" ht="15.75" thickBot="1" x14ac:dyDescent="0.3">
      <c r="L17" s="11" t="s">
        <v>19</v>
      </c>
      <c r="M17" s="8">
        <v>4.2599999999999999E-3</v>
      </c>
      <c r="N17" s="9">
        <v>1.1000000000000001E-3</v>
      </c>
    </row>
    <row r="19" spans="1:15" ht="15.75" thickBot="1" x14ac:dyDescent="0.3">
      <c r="A19" s="22" t="s">
        <v>29</v>
      </c>
      <c r="E19" s="23"/>
      <c r="F19" s="23"/>
      <c r="G19" s="23"/>
      <c r="H19" s="23"/>
      <c r="J19" s="4"/>
    </row>
    <row r="20" spans="1:15" x14ac:dyDescent="0.25">
      <c r="I20" s="23"/>
      <c r="L20" s="19" t="s">
        <v>34</v>
      </c>
      <c r="M20" s="17" t="s">
        <v>43</v>
      </c>
      <c r="N20" s="17" t="s">
        <v>75</v>
      </c>
    </row>
    <row r="21" spans="1:15" ht="15.75" thickBot="1" x14ac:dyDescent="0.3">
      <c r="A21" s="22" t="s">
        <v>35</v>
      </c>
      <c r="B21" s="26" t="s">
        <v>74</v>
      </c>
      <c r="C21" s="26" t="s">
        <v>61</v>
      </c>
      <c r="D21" s="26"/>
      <c r="E21" s="26" t="s">
        <v>71</v>
      </c>
      <c r="F21" s="26" t="s">
        <v>73</v>
      </c>
      <c r="G21" s="26" t="s">
        <v>78</v>
      </c>
      <c r="H21" s="26" t="s">
        <v>80</v>
      </c>
      <c r="I21" s="26" t="s">
        <v>65</v>
      </c>
      <c r="J21" s="26" t="s">
        <v>79</v>
      </c>
      <c r="L21" s="20"/>
      <c r="M21" s="18" t="s">
        <v>44</v>
      </c>
      <c r="N21" s="18" t="s">
        <v>76</v>
      </c>
    </row>
    <row r="22" spans="1:15" x14ac:dyDescent="0.25">
      <c r="A22" s="3" t="s">
        <v>30</v>
      </c>
      <c r="B22" s="1">
        <v>17000000</v>
      </c>
      <c r="C22" s="36">
        <v>0.22</v>
      </c>
      <c r="D22" s="29" t="s">
        <v>58</v>
      </c>
      <c r="E22" s="44">
        <f>B22*N22</f>
        <v>58006380</v>
      </c>
      <c r="F22" s="44">
        <f>E22/$B$6</f>
        <v>116.01276</v>
      </c>
      <c r="G22" s="34">
        <f>B22*M22</f>
        <v>4912.3539999999994</v>
      </c>
      <c r="H22" s="44">
        <f>G22/$B$6*1000</f>
        <v>9.8247079999999976</v>
      </c>
      <c r="I22" s="37">
        <f>B22*C22</f>
        <v>3740000</v>
      </c>
      <c r="J22" s="37">
        <f>I22/$B$6</f>
        <v>7.48</v>
      </c>
      <c r="L22" s="10" t="s">
        <v>45</v>
      </c>
      <c r="M22" s="15">
        <v>2.8896199999999998E-4</v>
      </c>
      <c r="N22" s="15">
        <v>3.41214</v>
      </c>
      <c r="O22" s="3" t="s">
        <v>72</v>
      </c>
    </row>
    <row r="23" spans="1:15" x14ac:dyDescent="0.25">
      <c r="A23" s="3" t="s">
        <v>31</v>
      </c>
      <c r="B23" s="1">
        <v>130000</v>
      </c>
      <c r="C23" s="36">
        <v>0.997</v>
      </c>
      <c r="D23" s="29" t="s">
        <v>59</v>
      </c>
      <c r="E23" s="44">
        <f>B23*N23</f>
        <v>13000000</v>
      </c>
      <c r="F23" s="44">
        <f>E23/$B$6</f>
        <v>26</v>
      </c>
      <c r="G23" s="34">
        <f>E23*M23</f>
        <v>690.43</v>
      </c>
      <c r="H23" s="44">
        <f>G23/$B$6*1000</f>
        <v>1.3808599999999998</v>
      </c>
      <c r="I23" s="37">
        <f>B23*C23</f>
        <v>129610</v>
      </c>
      <c r="J23" s="37">
        <f>I23/$B$6</f>
        <v>0.25922000000000001</v>
      </c>
      <c r="L23" s="10" t="s">
        <v>46</v>
      </c>
      <c r="M23" s="15">
        <v>5.3109999999999998E-5</v>
      </c>
      <c r="N23" s="15">
        <v>100</v>
      </c>
      <c r="O23" s="3" t="s">
        <v>41</v>
      </c>
    </row>
    <row r="24" spans="1:15" x14ac:dyDescent="0.25">
      <c r="A24" s="3" t="s">
        <v>62</v>
      </c>
      <c r="B24" s="1"/>
      <c r="C24" s="36">
        <v>35</v>
      </c>
      <c r="D24" s="29" t="s">
        <v>63</v>
      </c>
      <c r="E24" s="44">
        <f>B24*N24</f>
        <v>0</v>
      </c>
      <c r="F24" s="44">
        <f>E24/$B$6</f>
        <v>0</v>
      </c>
      <c r="G24" s="34">
        <f>E24*M24</f>
        <v>0</v>
      </c>
      <c r="H24" s="44">
        <f>G24/$B$6*1000</f>
        <v>0</v>
      </c>
      <c r="I24" s="37">
        <f>B24*C24</f>
        <v>0</v>
      </c>
      <c r="J24" s="37">
        <f>I24/$B$6</f>
        <v>0</v>
      </c>
      <c r="L24" s="10" t="s">
        <v>47</v>
      </c>
      <c r="M24" s="15">
        <v>4.4929999999999998E-5</v>
      </c>
      <c r="N24" s="15">
        <v>1194</v>
      </c>
      <c r="O24" s="3" t="s">
        <v>64</v>
      </c>
    </row>
    <row r="25" spans="1:15" x14ac:dyDescent="0.25">
      <c r="A25" s="3" t="s">
        <v>32</v>
      </c>
      <c r="B25" s="1"/>
      <c r="C25" s="36">
        <v>1.65</v>
      </c>
      <c r="D25" s="29" t="s">
        <v>60</v>
      </c>
      <c r="E25" s="44">
        <f>B25*N25</f>
        <v>0</v>
      </c>
      <c r="F25" s="44">
        <f>E25/$B$6</f>
        <v>0</v>
      </c>
      <c r="G25" s="34">
        <f>E25*M25</f>
        <v>0</v>
      </c>
      <c r="H25" s="44">
        <f>G25/$B$6*1000</f>
        <v>0</v>
      </c>
      <c r="I25" s="37">
        <f>B25*C25</f>
        <v>0</v>
      </c>
      <c r="J25" s="37">
        <f>I25/$B$6</f>
        <v>0</v>
      </c>
      <c r="L25" s="10" t="s">
        <v>48</v>
      </c>
      <c r="M25" s="15">
        <v>7.4209999999999996E-5</v>
      </c>
      <c r="N25" s="15">
        <v>138</v>
      </c>
      <c r="O25" s="3" t="s">
        <v>42</v>
      </c>
    </row>
    <row r="26" spans="1:15" ht="15.75" thickBot="1" x14ac:dyDescent="0.3">
      <c r="A26" s="3" t="s">
        <v>33</v>
      </c>
      <c r="B26" s="1"/>
      <c r="C26" s="36">
        <v>1.65</v>
      </c>
      <c r="D26" s="29" t="s">
        <v>60</v>
      </c>
      <c r="E26" s="44">
        <f>B26*N26</f>
        <v>0</v>
      </c>
      <c r="F26" s="44">
        <f>E26/$B$6</f>
        <v>0</v>
      </c>
      <c r="G26" s="34">
        <f>E26*M26</f>
        <v>0</v>
      </c>
      <c r="H26" s="44">
        <f>G26/$B$6*1000</f>
        <v>0</v>
      </c>
      <c r="I26" s="37">
        <f>B26*C26</f>
        <v>0</v>
      </c>
      <c r="J26" s="37">
        <f>I26/$B$6</f>
        <v>0</v>
      </c>
      <c r="L26" s="11" t="s">
        <v>49</v>
      </c>
      <c r="M26" s="16">
        <v>7.5290000000000006E-5</v>
      </c>
      <c r="N26" s="16">
        <v>146</v>
      </c>
      <c r="O26" s="3" t="s">
        <v>42</v>
      </c>
    </row>
    <row r="27" spans="1:15" x14ac:dyDescent="0.25">
      <c r="E27" s="45">
        <f>SUM(E22:E26)</f>
        <v>71006380</v>
      </c>
      <c r="F27" s="45">
        <f>E27/$B$6</f>
        <v>142.01275999999999</v>
      </c>
      <c r="G27" s="35">
        <f>SUM(G22:G26)</f>
        <v>5602.7839999999997</v>
      </c>
      <c r="H27" s="45">
        <f>G27/$B$6*1000</f>
        <v>11.205568</v>
      </c>
      <c r="I27" s="39">
        <f>SUM(I22:I26)</f>
        <v>3869610</v>
      </c>
      <c r="J27" s="39">
        <f>I27/$B$6</f>
        <v>7.7392200000000004</v>
      </c>
    </row>
    <row r="28" spans="1:15" x14ac:dyDescent="0.25">
      <c r="G28" s="28"/>
      <c r="H28" s="28"/>
      <c r="I28" s="23"/>
    </row>
    <row r="29" spans="1:15" x14ac:dyDescent="0.25">
      <c r="C29" s="42" t="s">
        <v>69</v>
      </c>
      <c r="D29" s="42"/>
      <c r="E29" s="23"/>
      <c r="F29" s="23"/>
      <c r="G29" s="23"/>
      <c r="H29" s="23"/>
      <c r="J29" s="4"/>
      <c r="M29" s="31"/>
    </row>
    <row r="30" spans="1:15" x14ac:dyDescent="0.25">
      <c r="A30" s="25" t="s">
        <v>39</v>
      </c>
      <c r="B30" s="41" t="str">
        <f>IF(G$27&gt;F14,"YES","NO")</f>
        <v>YES</v>
      </c>
      <c r="C30" s="43">
        <f>IF(B30="YES",G27-F14,0)</f>
        <v>852.28399999999965</v>
      </c>
      <c r="D30" s="30" t="s">
        <v>70</v>
      </c>
      <c r="G30" s="23"/>
      <c r="H30" s="23"/>
      <c r="J30" s="31"/>
      <c r="M30" s="32"/>
    </row>
    <row r="31" spans="1:15" x14ac:dyDescent="0.25">
      <c r="A31" s="25" t="s">
        <v>40</v>
      </c>
      <c r="B31" s="41" t="str">
        <f>IF(G$27&gt;F15,"YES","NO")</f>
        <v>YES</v>
      </c>
      <c r="C31" s="43">
        <f>IF(B31="YES",G27-F15,0)</f>
        <v>3617.2839999999997</v>
      </c>
      <c r="D31" s="30" t="s">
        <v>70</v>
      </c>
      <c r="G31" s="23"/>
      <c r="H31" s="23"/>
      <c r="J31" s="32"/>
    </row>
    <row r="32" spans="1:15" x14ac:dyDescent="0.25">
      <c r="E32" s="23"/>
      <c r="F32" s="23"/>
      <c r="G32" s="23"/>
      <c r="H32" s="23"/>
      <c r="J32" s="4"/>
    </row>
    <row r="33" spans="1:10" x14ac:dyDescent="0.25">
      <c r="A33" s="25" t="s">
        <v>37</v>
      </c>
      <c r="B33" s="39">
        <f>IF(B30="YES",C30*268,0)</f>
        <v>228412.11199999991</v>
      </c>
      <c r="C33" s="24" t="s">
        <v>38</v>
      </c>
      <c r="D33" s="24"/>
      <c r="E33" s="23"/>
      <c r="F33" s="23"/>
      <c r="G33" s="23"/>
      <c r="H33" s="23"/>
      <c r="J33" s="4"/>
    </row>
    <row r="34" spans="1:10" x14ac:dyDescent="0.25">
      <c r="A34" s="25" t="s">
        <v>36</v>
      </c>
      <c r="B34" s="39">
        <f>IF(B31="YES",C31*268,0)</f>
        <v>969432.11199999996</v>
      </c>
      <c r="C34" s="24" t="s">
        <v>38</v>
      </c>
      <c r="D34" s="24"/>
      <c r="E34" s="23"/>
      <c r="F34" s="23"/>
      <c r="G34" s="23"/>
      <c r="H34" s="23"/>
      <c r="J34" s="4"/>
    </row>
    <row r="35" spans="1:10" x14ac:dyDescent="0.25">
      <c r="B35" s="33"/>
      <c r="C35" s="46"/>
      <c r="E35" s="23"/>
      <c r="F35" s="23"/>
      <c r="G35" s="23"/>
      <c r="H35" s="23"/>
      <c r="J35" s="4"/>
    </row>
    <row r="36" spans="1:10" x14ac:dyDescent="0.25">
      <c r="A36" s="25" t="s">
        <v>67</v>
      </c>
      <c r="B36" s="39">
        <f>B33+I$27</f>
        <v>4098022.1119999997</v>
      </c>
      <c r="C36" s="24" t="s">
        <v>77</v>
      </c>
      <c r="D36" s="29"/>
      <c r="G36" s="23"/>
      <c r="H36" s="23"/>
      <c r="J36" s="4"/>
    </row>
    <row r="37" spans="1:10" x14ac:dyDescent="0.25">
      <c r="A37" s="25" t="s">
        <v>68</v>
      </c>
      <c r="B37" s="39">
        <f>B34+I$27</f>
        <v>4839042.1119999997</v>
      </c>
      <c r="C37" s="24" t="s">
        <v>77</v>
      </c>
      <c r="D37" s="29"/>
      <c r="G37" s="23"/>
      <c r="H37" s="23"/>
      <c r="J37" s="4"/>
    </row>
  </sheetData>
  <conditionalFormatting sqref="B7">
    <cfRule type="cellIs" dxfId="3" priority="1" operator="equal">
      <formula>"YES"</formula>
    </cfRule>
    <cfRule type="cellIs" dxfId="2" priority="2" operator="equal">
      <formula>"NO"</formula>
    </cfRule>
  </conditionalFormatting>
  <dataValidations count="1">
    <dataValidation type="list" allowBlank="1" showInputMessage="1" showErrorMessage="1" sqref="B4:F4" xr:uid="{F0BAABD3-45B0-4B4F-B710-71399030305C}">
      <formula1>$L$3:$L$17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75C2-DE1A-4121-9F8C-EFEE26FCF19F}">
  <dimension ref="A1:O37"/>
  <sheetViews>
    <sheetView workbookViewId="0"/>
  </sheetViews>
  <sheetFormatPr defaultRowHeight="15" x14ac:dyDescent="0.25"/>
  <cols>
    <col min="1" max="1" width="26.140625" style="3" customWidth="1"/>
    <col min="2" max="2" width="18.85546875" style="3" bestFit="1" customWidth="1"/>
    <col min="3" max="3" width="19.140625" style="3" customWidth="1"/>
    <col min="4" max="4" width="20.28515625" style="3" bestFit="1" customWidth="1"/>
    <col min="5" max="5" width="18.85546875" style="3" bestFit="1" customWidth="1"/>
    <col min="6" max="6" width="11.85546875" style="3" customWidth="1"/>
    <col min="7" max="7" width="19.140625" style="3" customWidth="1"/>
    <col min="8" max="8" width="12.42578125" style="3" customWidth="1"/>
    <col min="9" max="9" width="16.7109375" style="3" customWidth="1"/>
    <col min="10" max="10" width="11.42578125" style="3" customWidth="1"/>
    <col min="11" max="11" width="9.140625" style="3"/>
    <col min="12" max="12" width="26.85546875" style="3" bestFit="1" customWidth="1"/>
    <col min="13" max="13" width="28" style="4" customWidth="1"/>
    <col min="14" max="14" width="27.140625" style="4" customWidth="1"/>
    <col min="15" max="15" width="14.140625" style="3" customWidth="1"/>
    <col min="16" max="16384" width="9.140625" style="3"/>
  </cols>
  <sheetData>
    <row r="1" spans="1:14" ht="15.75" thickBot="1" x14ac:dyDescent="0.3">
      <c r="A1" s="22" t="s">
        <v>28</v>
      </c>
    </row>
    <row r="2" spans="1:14" ht="15.75" thickBot="1" x14ac:dyDescent="0.3">
      <c r="B2" s="26" t="s">
        <v>54</v>
      </c>
      <c r="C2" s="26" t="s">
        <v>55</v>
      </c>
      <c r="D2" s="26" t="s">
        <v>56</v>
      </c>
      <c r="E2" s="26" t="s">
        <v>57</v>
      </c>
      <c r="F2" s="26"/>
      <c r="L2" s="12" t="s">
        <v>0</v>
      </c>
      <c r="M2" s="13" t="s">
        <v>22</v>
      </c>
      <c r="N2" s="14" t="s">
        <v>23</v>
      </c>
    </row>
    <row r="3" spans="1:14" x14ac:dyDescent="0.25">
      <c r="A3" s="22" t="s">
        <v>4</v>
      </c>
      <c r="B3" s="1">
        <v>100000</v>
      </c>
      <c r="C3" s="1">
        <v>200000</v>
      </c>
      <c r="D3" s="1">
        <v>150000</v>
      </c>
      <c r="E3" s="1">
        <v>50000</v>
      </c>
      <c r="F3" s="3" t="s">
        <v>21</v>
      </c>
      <c r="L3" s="10" t="s">
        <v>1</v>
      </c>
      <c r="M3" s="5">
        <v>1.074E-2</v>
      </c>
      <c r="N3" s="6">
        <v>4.1999999999999997E-3</v>
      </c>
    </row>
    <row r="4" spans="1:14" x14ac:dyDescent="0.25">
      <c r="A4" s="22" t="s">
        <v>3</v>
      </c>
      <c r="B4" s="2" t="s">
        <v>1</v>
      </c>
      <c r="C4" s="2" t="s">
        <v>2</v>
      </c>
      <c r="D4" s="2" t="s">
        <v>15</v>
      </c>
      <c r="E4" s="2" t="s">
        <v>18</v>
      </c>
      <c r="F4" s="3" t="s">
        <v>20</v>
      </c>
      <c r="L4" s="10" t="s">
        <v>2</v>
      </c>
      <c r="M4" s="5">
        <v>8.4600000000000005E-3</v>
      </c>
      <c r="N4" s="7">
        <v>4.5300000000000002E-3</v>
      </c>
    </row>
    <row r="5" spans="1:14" x14ac:dyDescent="0.25">
      <c r="L5" s="10" t="s">
        <v>11</v>
      </c>
      <c r="M5" s="5">
        <v>2.3810000000000001E-2</v>
      </c>
      <c r="N5" s="7">
        <v>1.193E-2</v>
      </c>
    </row>
    <row r="6" spans="1:14" x14ac:dyDescent="0.25">
      <c r="A6" s="24" t="s">
        <v>52</v>
      </c>
      <c r="B6" s="44">
        <f>SUM(B3:E3)</f>
        <v>500000</v>
      </c>
      <c r="C6" s="3" t="s">
        <v>53</v>
      </c>
      <c r="L6" s="10" t="s">
        <v>7</v>
      </c>
      <c r="M6" s="5">
        <v>7.5799999999999999E-3</v>
      </c>
      <c r="N6" s="7">
        <v>3.4399999999999999E-3</v>
      </c>
    </row>
    <row r="7" spans="1:14" x14ac:dyDescent="0.25">
      <c r="A7" s="24" t="s">
        <v>51</v>
      </c>
      <c r="B7" s="21" t="str">
        <f>IF(B6&gt;50000,"NO","YES")</f>
        <v>NO</v>
      </c>
      <c r="L7" s="10" t="s">
        <v>8</v>
      </c>
      <c r="M7" s="5">
        <v>5.7400000000000003E-3</v>
      </c>
      <c r="N7" s="7">
        <v>1.67E-3</v>
      </c>
    </row>
    <row r="8" spans="1:14" x14ac:dyDescent="0.25">
      <c r="L8" s="10" t="s">
        <v>9</v>
      </c>
      <c r="M8" s="5">
        <v>2.3810000000000001E-2</v>
      </c>
      <c r="N8" s="7">
        <v>1.193E-2</v>
      </c>
    </row>
    <row r="9" spans="1:14" x14ac:dyDescent="0.25">
      <c r="L9" s="10" t="s">
        <v>10</v>
      </c>
      <c r="M9" s="5">
        <v>1.1379999999999999E-2</v>
      </c>
      <c r="N9" s="7">
        <v>5.9800000000000001E-3</v>
      </c>
    </row>
    <row r="10" spans="1:14" x14ac:dyDescent="0.25">
      <c r="A10" s="22" t="s">
        <v>5</v>
      </c>
      <c r="B10" s="27">
        <f>VLOOKUP(B$4,$L$2:$N$17,2,FALSE)</f>
        <v>1.074E-2</v>
      </c>
      <c r="C10" s="27">
        <f>VLOOKUP(C$4,$L$2:$N$17,2,FALSE)</f>
        <v>8.4600000000000005E-3</v>
      </c>
      <c r="D10" s="27">
        <f>VLOOKUP(D$4,$L$2:$N$17,2,FALSE)</f>
        <v>1.1809999999999999E-2</v>
      </c>
      <c r="E10" s="27">
        <f>VLOOKUP(E$4,$L$2:$N$17,2,FALSE)</f>
        <v>4.2599999999999999E-3</v>
      </c>
      <c r="F10" s="3" t="s">
        <v>27</v>
      </c>
      <c r="L10" s="10" t="s">
        <v>12</v>
      </c>
      <c r="M10" s="5">
        <v>2.3810000000000001E-2</v>
      </c>
      <c r="N10" s="7">
        <v>1.193E-2</v>
      </c>
    </row>
    <row r="11" spans="1:14" x14ac:dyDescent="0.25">
      <c r="A11" s="22" t="s">
        <v>6</v>
      </c>
      <c r="B11" s="27">
        <f>VLOOKUP(B$4,$L$2:$N$17,3,FALSE)</f>
        <v>4.1999999999999997E-3</v>
      </c>
      <c r="C11" s="27">
        <f>VLOOKUP(C$4,$L$2:$N$17,3,FALSE)</f>
        <v>4.5300000000000002E-3</v>
      </c>
      <c r="D11" s="27">
        <f>VLOOKUP(D$4,$L$2:$N$17,3,FALSE)</f>
        <v>4.0299999999999997E-3</v>
      </c>
      <c r="E11" s="27">
        <f>VLOOKUP(E$4,$L$2:$N$17,3,FALSE)</f>
        <v>1.1000000000000001E-3</v>
      </c>
      <c r="F11" s="3" t="s">
        <v>27</v>
      </c>
      <c r="L11" s="10" t="s">
        <v>13</v>
      </c>
      <c r="M11" s="5">
        <v>2.3810000000000001E-2</v>
      </c>
      <c r="N11" s="7">
        <v>1.193E-2</v>
      </c>
    </row>
    <row r="12" spans="1:14" x14ac:dyDescent="0.25">
      <c r="L12" s="10" t="s">
        <v>14</v>
      </c>
      <c r="M12" s="5">
        <v>7.5799999999999999E-3</v>
      </c>
      <c r="N12" s="7">
        <v>3.4399999999999999E-3</v>
      </c>
    </row>
    <row r="13" spans="1:14" x14ac:dyDescent="0.25">
      <c r="F13" s="26" t="s">
        <v>50</v>
      </c>
      <c r="L13" s="10" t="s">
        <v>15</v>
      </c>
      <c r="M13" s="5">
        <v>1.1809999999999999E-2</v>
      </c>
      <c r="N13" s="7">
        <v>4.0299999999999997E-3</v>
      </c>
    </row>
    <row r="14" spans="1:14" x14ac:dyDescent="0.25">
      <c r="A14" s="25" t="s">
        <v>24</v>
      </c>
      <c r="B14" s="47">
        <f>B$3*B10</f>
        <v>1074</v>
      </c>
      <c r="C14" s="47">
        <f>C$3*C10</f>
        <v>1692</v>
      </c>
      <c r="D14" s="47">
        <f>D$3*D10</f>
        <v>1771.5</v>
      </c>
      <c r="E14" s="47">
        <f>E$3*E10</f>
        <v>213</v>
      </c>
      <c r="F14" s="38">
        <f>SUM(B14:E14)</f>
        <v>4750.5</v>
      </c>
      <c r="G14" s="40" t="s">
        <v>26</v>
      </c>
      <c r="L14" s="10" t="s">
        <v>16</v>
      </c>
      <c r="M14" s="5">
        <v>9.8700000000000003E-3</v>
      </c>
      <c r="N14" s="7">
        <v>5.2599999999999999E-3</v>
      </c>
    </row>
    <row r="15" spans="1:14" x14ac:dyDescent="0.25">
      <c r="A15" s="25" t="s">
        <v>25</v>
      </c>
      <c r="B15" s="47">
        <f>B$3*B11</f>
        <v>420</v>
      </c>
      <c r="C15" s="47">
        <f>C$3*C11</f>
        <v>906</v>
      </c>
      <c r="D15" s="47">
        <f>D$3*D11</f>
        <v>604.5</v>
      </c>
      <c r="E15" s="47">
        <f>E$3*E11</f>
        <v>55</v>
      </c>
      <c r="F15" s="38">
        <f>SUM(B15:E15)</f>
        <v>1985.5</v>
      </c>
      <c r="G15" s="40" t="s">
        <v>26</v>
      </c>
      <c r="L15" s="10" t="s">
        <v>17</v>
      </c>
      <c r="M15" s="5">
        <v>6.7499999999999999E-3</v>
      </c>
      <c r="N15" s="7">
        <v>4.0699999999999998E-3</v>
      </c>
    </row>
    <row r="16" spans="1:14" x14ac:dyDescent="0.25">
      <c r="L16" s="10" t="s">
        <v>18</v>
      </c>
      <c r="M16" s="5">
        <v>4.2599999999999999E-3</v>
      </c>
      <c r="N16" s="6">
        <v>1.1000000000000001E-3</v>
      </c>
    </row>
    <row r="17" spans="1:15" ht="15.75" thickBot="1" x14ac:dyDescent="0.3">
      <c r="L17" s="11" t="s">
        <v>19</v>
      </c>
      <c r="M17" s="8">
        <v>4.2599999999999999E-3</v>
      </c>
      <c r="N17" s="9">
        <v>1.1000000000000001E-3</v>
      </c>
    </row>
    <row r="19" spans="1:15" ht="15.75" thickBot="1" x14ac:dyDescent="0.3">
      <c r="A19" s="22" t="s">
        <v>29</v>
      </c>
      <c r="E19" s="23"/>
      <c r="F19" s="23"/>
      <c r="G19" s="23"/>
      <c r="H19" s="23"/>
      <c r="J19" s="4"/>
    </row>
    <row r="20" spans="1:15" x14ac:dyDescent="0.25">
      <c r="I20" s="23"/>
      <c r="L20" s="19" t="s">
        <v>34</v>
      </c>
      <c r="M20" s="17" t="s">
        <v>43</v>
      </c>
      <c r="N20" s="17" t="s">
        <v>75</v>
      </c>
    </row>
    <row r="21" spans="1:15" ht="15.75" thickBot="1" x14ac:dyDescent="0.3">
      <c r="A21" s="22" t="s">
        <v>35</v>
      </c>
      <c r="B21" s="26" t="s">
        <v>74</v>
      </c>
      <c r="C21" s="26" t="s">
        <v>61</v>
      </c>
      <c r="D21" s="26"/>
      <c r="E21" s="26" t="s">
        <v>71</v>
      </c>
      <c r="F21" s="26" t="s">
        <v>73</v>
      </c>
      <c r="G21" s="26" t="s">
        <v>78</v>
      </c>
      <c r="H21" s="26" t="s">
        <v>80</v>
      </c>
      <c r="I21" s="26" t="s">
        <v>65</v>
      </c>
      <c r="J21" s="26" t="s">
        <v>79</v>
      </c>
      <c r="L21" s="20"/>
      <c r="M21" s="18" t="s">
        <v>44</v>
      </c>
      <c r="N21" s="18" t="s">
        <v>76</v>
      </c>
    </row>
    <row r="22" spans="1:15" x14ac:dyDescent="0.25">
      <c r="A22" s="3" t="s">
        <v>30</v>
      </c>
      <c r="B22" s="1">
        <v>17000000</v>
      </c>
      <c r="C22" s="36">
        <v>0.22</v>
      </c>
      <c r="D22" s="29" t="s">
        <v>58</v>
      </c>
      <c r="E22" s="44">
        <f>B22*N22</f>
        <v>58006380</v>
      </c>
      <c r="F22" s="44">
        <f>E22/$B$6</f>
        <v>116.01276</v>
      </c>
      <c r="G22" s="34">
        <f>B22*M22</f>
        <v>4912.3539999999994</v>
      </c>
      <c r="H22" s="44">
        <f>G22/$B$6*1000</f>
        <v>9.8247079999999976</v>
      </c>
      <c r="I22" s="37">
        <f>B22*C22</f>
        <v>3740000</v>
      </c>
      <c r="J22" s="37">
        <f>I22/$B$6</f>
        <v>7.48</v>
      </c>
      <c r="L22" s="10" t="s">
        <v>45</v>
      </c>
      <c r="M22" s="15">
        <v>2.8896199999999998E-4</v>
      </c>
      <c r="N22" s="15">
        <v>3.41214</v>
      </c>
      <c r="O22" s="3" t="s">
        <v>72</v>
      </c>
    </row>
    <row r="23" spans="1:15" x14ac:dyDescent="0.25">
      <c r="A23" s="3" t="s">
        <v>31</v>
      </c>
      <c r="B23" s="1">
        <v>130000</v>
      </c>
      <c r="C23" s="36">
        <v>0.997</v>
      </c>
      <c r="D23" s="29" t="s">
        <v>59</v>
      </c>
      <c r="E23" s="44">
        <f>B23*N23</f>
        <v>13000000</v>
      </c>
      <c r="F23" s="44">
        <f>E23/$B$6</f>
        <v>26</v>
      </c>
      <c r="G23" s="34">
        <f>E23*M23</f>
        <v>690.43</v>
      </c>
      <c r="H23" s="44">
        <f>G23/$B$6*1000</f>
        <v>1.3808599999999998</v>
      </c>
      <c r="I23" s="37">
        <f>B23*C23</f>
        <v>129610</v>
      </c>
      <c r="J23" s="37">
        <f>I23/$B$6</f>
        <v>0.25922000000000001</v>
      </c>
      <c r="L23" s="10" t="s">
        <v>46</v>
      </c>
      <c r="M23" s="15">
        <v>5.3109999999999998E-5</v>
      </c>
      <c r="N23" s="15">
        <v>100</v>
      </c>
      <c r="O23" s="3" t="s">
        <v>41</v>
      </c>
    </row>
    <row r="24" spans="1:15" x14ac:dyDescent="0.25">
      <c r="A24" s="3" t="s">
        <v>62</v>
      </c>
      <c r="B24" s="1"/>
      <c r="C24" s="36">
        <v>35</v>
      </c>
      <c r="D24" s="29" t="s">
        <v>63</v>
      </c>
      <c r="E24" s="44">
        <f>B24*N24</f>
        <v>0</v>
      </c>
      <c r="F24" s="44">
        <f>E24/$B$6</f>
        <v>0</v>
      </c>
      <c r="G24" s="34">
        <f>E24*M24</f>
        <v>0</v>
      </c>
      <c r="H24" s="44">
        <f>G24/$B$6*1000</f>
        <v>0</v>
      </c>
      <c r="I24" s="37">
        <f>B24*C24</f>
        <v>0</v>
      </c>
      <c r="J24" s="37">
        <f>I24/$B$6</f>
        <v>0</v>
      </c>
      <c r="L24" s="10" t="s">
        <v>47</v>
      </c>
      <c r="M24" s="15">
        <v>4.4929999999999998E-5</v>
      </c>
      <c r="N24" s="15">
        <v>1194</v>
      </c>
      <c r="O24" s="3" t="s">
        <v>64</v>
      </c>
    </row>
    <row r="25" spans="1:15" x14ac:dyDescent="0.25">
      <c r="A25" s="3" t="s">
        <v>32</v>
      </c>
      <c r="B25" s="1"/>
      <c r="C25" s="36">
        <v>1.65</v>
      </c>
      <c r="D25" s="29" t="s">
        <v>60</v>
      </c>
      <c r="E25" s="44">
        <f>B25*N25</f>
        <v>0</v>
      </c>
      <c r="F25" s="44">
        <f>E25/$B$6</f>
        <v>0</v>
      </c>
      <c r="G25" s="34">
        <f>E25*M25</f>
        <v>0</v>
      </c>
      <c r="H25" s="44">
        <f>G25/$B$6*1000</f>
        <v>0</v>
      </c>
      <c r="I25" s="37">
        <f>B25*C25</f>
        <v>0</v>
      </c>
      <c r="J25" s="37">
        <f>I25/$B$6</f>
        <v>0</v>
      </c>
      <c r="L25" s="10" t="s">
        <v>48</v>
      </c>
      <c r="M25" s="15">
        <v>7.4209999999999996E-5</v>
      </c>
      <c r="N25" s="15">
        <v>138</v>
      </c>
      <c r="O25" s="3" t="s">
        <v>42</v>
      </c>
    </row>
    <row r="26" spans="1:15" ht="15.75" thickBot="1" x14ac:dyDescent="0.3">
      <c r="A26" s="3" t="s">
        <v>33</v>
      </c>
      <c r="B26" s="1"/>
      <c r="C26" s="36">
        <v>1.65</v>
      </c>
      <c r="D26" s="29" t="s">
        <v>60</v>
      </c>
      <c r="E26" s="44">
        <f>B26*N26</f>
        <v>0</v>
      </c>
      <c r="F26" s="44">
        <f>E26/$B$6</f>
        <v>0</v>
      </c>
      <c r="G26" s="34">
        <f>E26*M26</f>
        <v>0</v>
      </c>
      <c r="H26" s="44">
        <f>G26/$B$6*1000</f>
        <v>0</v>
      </c>
      <c r="I26" s="37">
        <f>B26*C26</f>
        <v>0</v>
      </c>
      <c r="J26" s="37">
        <f>I26/$B$6</f>
        <v>0</v>
      </c>
      <c r="L26" s="11" t="s">
        <v>49</v>
      </c>
      <c r="M26" s="16">
        <v>7.5290000000000006E-5</v>
      </c>
      <c r="N26" s="16">
        <v>146</v>
      </c>
      <c r="O26" s="3" t="s">
        <v>42</v>
      </c>
    </row>
    <row r="27" spans="1:15" x14ac:dyDescent="0.25">
      <c r="E27" s="45">
        <f>SUM(E22:E26)</f>
        <v>71006380</v>
      </c>
      <c r="F27" s="45">
        <f>E27/$B$6</f>
        <v>142.01275999999999</v>
      </c>
      <c r="G27" s="35">
        <f>SUM(G22:G26)</f>
        <v>5602.7839999999997</v>
      </c>
      <c r="H27" s="45">
        <f>G27/$B$6*1000</f>
        <v>11.205568</v>
      </c>
      <c r="I27" s="39">
        <f>SUM(I22:I26)</f>
        <v>3869610</v>
      </c>
      <c r="J27" s="39">
        <f>I27/$B$6</f>
        <v>7.7392200000000004</v>
      </c>
    </row>
    <row r="28" spans="1:15" x14ac:dyDescent="0.25">
      <c r="G28" s="28"/>
      <c r="H28" s="28"/>
      <c r="I28" s="23"/>
    </row>
    <row r="29" spans="1:15" x14ac:dyDescent="0.25">
      <c r="C29" s="42" t="s">
        <v>69</v>
      </c>
      <c r="D29" s="42"/>
      <c r="E29" s="23"/>
      <c r="F29" s="23"/>
      <c r="G29" s="23"/>
      <c r="H29" s="23"/>
      <c r="J29" s="4"/>
      <c r="M29" s="31"/>
    </row>
    <row r="30" spans="1:15" x14ac:dyDescent="0.25">
      <c r="A30" s="25" t="s">
        <v>39</v>
      </c>
      <c r="B30" s="41" t="str">
        <f>IF(G$27&gt;F14,"YES","NO")</f>
        <v>YES</v>
      </c>
      <c r="C30" s="43">
        <f>IF(B30="YES",G27-F14,0)</f>
        <v>852.28399999999965</v>
      </c>
      <c r="D30" s="30" t="s">
        <v>70</v>
      </c>
      <c r="G30" s="23"/>
      <c r="H30" s="23"/>
      <c r="J30" s="31"/>
      <c r="M30" s="32"/>
    </row>
    <row r="31" spans="1:15" x14ac:dyDescent="0.25">
      <c r="A31" s="25" t="s">
        <v>40</v>
      </c>
      <c r="B31" s="41" t="str">
        <f>IF(G$27&gt;F15,"YES","NO")</f>
        <v>YES</v>
      </c>
      <c r="C31" s="43">
        <f>IF(B31="YES",G27-F15,0)</f>
        <v>3617.2839999999997</v>
      </c>
      <c r="D31" s="30" t="s">
        <v>70</v>
      </c>
      <c r="G31" s="23"/>
      <c r="H31" s="23"/>
      <c r="J31" s="32"/>
    </row>
    <row r="32" spans="1:15" x14ac:dyDescent="0.25">
      <c r="E32" s="23"/>
      <c r="F32" s="23"/>
      <c r="G32" s="23"/>
      <c r="H32" s="23"/>
      <c r="J32" s="4"/>
    </row>
    <row r="33" spans="1:10" x14ac:dyDescent="0.25">
      <c r="A33" s="25" t="s">
        <v>37</v>
      </c>
      <c r="B33" s="39">
        <f>IF(B30="YES",C30*268,0)</f>
        <v>228412.11199999991</v>
      </c>
      <c r="C33" s="24" t="s">
        <v>38</v>
      </c>
      <c r="D33" s="24"/>
      <c r="E33" s="23"/>
      <c r="F33" s="23"/>
      <c r="G33" s="23"/>
      <c r="H33" s="23"/>
      <c r="J33" s="4"/>
    </row>
    <row r="34" spans="1:10" x14ac:dyDescent="0.25">
      <c r="A34" s="25" t="s">
        <v>36</v>
      </c>
      <c r="B34" s="39">
        <f>IF(B31="YES",C31*268,0)</f>
        <v>969432.11199999996</v>
      </c>
      <c r="C34" s="24" t="s">
        <v>38</v>
      </c>
      <c r="D34" s="24"/>
      <c r="E34" s="23"/>
      <c r="F34" s="23"/>
      <c r="G34" s="23"/>
      <c r="H34" s="23"/>
      <c r="J34" s="4"/>
    </row>
    <row r="35" spans="1:10" x14ac:dyDescent="0.25">
      <c r="B35" s="33"/>
      <c r="C35" s="46"/>
      <c r="E35" s="23"/>
      <c r="F35" s="23"/>
      <c r="G35" s="23"/>
      <c r="H35" s="23"/>
      <c r="J35" s="4"/>
    </row>
    <row r="36" spans="1:10" x14ac:dyDescent="0.25">
      <c r="A36" s="25" t="s">
        <v>67</v>
      </c>
      <c r="B36" s="39">
        <f>B33+I$27</f>
        <v>4098022.1119999997</v>
      </c>
      <c r="C36" s="24" t="s">
        <v>77</v>
      </c>
      <c r="D36" s="29"/>
      <c r="G36" s="23"/>
      <c r="H36" s="23"/>
      <c r="J36" s="4"/>
    </row>
    <row r="37" spans="1:10" x14ac:dyDescent="0.25">
      <c r="A37" s="25" t="s">
        <v>68</v>
      </c>
      <c r="B37" s="39">
        <f>B34+I$27</f>
        <v>4839042.1119999997</v>
      </c>
      <c r="C37" s="24" t="s">
        <v>77</v>
      </c>
      <c r="D37" s="29"/>
      <c r="G37" s="23"/>
      <c r="H37" s="23"/>
      <c r="J37" s="4"/>
    </row>
  </sheetData>
  <conditionalFormatting sqref="B7">
    <cfRule type="cellIs" dxfId="1" priority="1" operator="equal">
      <formula>"YES"</formula>
    </cfRule>
    <cfRule type="cellIs" dxfId="0" priority="2" operator="equal">
      <formula>"NO"</formula>
    </cfRule>
  </conditionalFormatting>
  <dataValidations count="1">
    <dataValidation type="list" allowBlank="1" showInputMessage="1" showErrorMessage="1" sqref="B4:F4" xr:uid="{535870A0-ABE8-41A6-9BA8-CBD4B5F0179E}">
      <formula1>$L$3:$L$17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Building 1 Occupancy</vt:lpstr>
      <vt:lpstr>1 Bldg Multiple Occupancies</vt:lpstr>
      <vt:lpstr>2 - 4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Fenrir87</dc:creator>
  <cp:lastModifiedBy>Fenrir87</cp:lastModifiedBy>
  <dcterms:created xsi:type="dcterms:W3CDTF">2021-05-28T21:29:06Z</dcterms:created>
  <dcterms:modified xsi:type="dcterms:W3CDTF">2021-07-09T14:55:21Z</dcterms:modified>
</cp:coreProperties>
</file>