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28" documentId="8_{B54C3A2D-C1A0-4C6C-9B8B-5A44A249C64A}" xr6:coauthVersionLast="47" xr6:coauthVersionMax="47" xr10:uidLastSave="{86C4594C-3265-49B3-8C36-D974E4A64483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1" l="1"/>
  <c r="H49" i="1"/>
  <c r="I49" i="1"/>
  <c r="J49" i="1"/>
  <c r="K49" i="1"/>
  <c r="L49" i="1"/>
  <c r="F49" i="1"/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H41" i="1" l="1"/>
  <c r="G41" i="1"/>
  <c r="J41" i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<sst xmlns="http://schemas.openxmlformats.org/spreadsheetml/2006/main" count="1191" uniqueCount="177">
  <si>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</si>
  <si>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</si>
  <si>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</si>
  <si>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</si>
  <si>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</si>
  <si>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</si>
  <si>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</si>
  <si>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</si>
  <si>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</si>
  <si>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</si>
  <si>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</si>
  <si>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</si>
  <si>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</si>
  <si>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</si>
  <si>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</si>
  <si>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</si>
  <si>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</si>
  <si>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</si>
  <si>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</si>
  <si>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</si>
  <si>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</si>
  <si>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</si>
  <si>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</si>
  <si>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</si>
  <si>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</si>
  <si>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</si>
  <si>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</si>
  <si>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</si>
  <si>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</si>
  <si>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</si>
  <si>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</si>
  <si>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</si>
  <si>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</si>
  <si>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</si>
  <si>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</si>
  <si>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</si>
  <si>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</si>
  <si>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</si>
  <si>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</si>
  <si>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</si>
  <si>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</si>
  <si>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</si>
  <si>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</si>
  <si>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</si>
  <si>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</si>
  <si>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</si>
  <si>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</si>
  <si>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</si>
  <si>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</si>
  <si>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</si>
  <si>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</si>
  <si>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</si>
  <si>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</si>
  <si>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</si>
  <si>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</si>
  <si>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</si>
  <si>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</si>
  <si>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</si>
  <si>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</si>
  <si>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</si>
  <si>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</si>
  <si>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</si>
  <si>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</si>
  <si>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</si>
  <si>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</si>
  <si>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</si>
  <si>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</si>
  <si>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</si>
  <si>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</si>
  <si>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</si>
  <si>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</si>
  <si>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</si>
  <si>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</si>
  <si>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</si>
  <si>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</si>
  <si>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</si>
  <si>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</si>
  <si>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</si>
  <si>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</si>
  <si>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</si>
  <si>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</si>
  <si>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</si>
  <si>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</si>
  <si>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</si>
  <si>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</si>
  <si>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</si>
  <si>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</si>
  <si>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</si>
  <si>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</si>
  <si>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</si>
  <si>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</si>
  <si>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</si>
  <si>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</si>
  <si>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</si>
  <si>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</si>
  <si>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</si>
  <si>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</si>
  <si>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</si>
  <si>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</si>
  <si>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</si>
  <si>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</si>
  <si>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</si>
  <si>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</si>
  <si>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</si>
  <si>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</si>
  <si>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</si>
  <si>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</si>
  <si>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</si>
  <si>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</si>
  <si>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</si>
  <si>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</si>
  <si>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</si>
  <si>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</si>
  <si>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</si>
  <si>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</si>
  <si>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</si>
  <si>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</si>
  <si>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</si>
  <si>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</si>
  <si>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</si>
  <si>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</si>
  <si>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</si>
  <si>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</si>
  <si>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</si>
  <si>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</si>
  <si>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</si>
  <si>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</si>
  <si>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</si>
  <si>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</si>
  <si>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</si>
  <si>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</si>
  <si>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</si>
  <si>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</si>
  <si>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</si>
  <si>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</si>
  <si>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</si>
  <si>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</si>
  <si>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</si>
  <si>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</si>
  <si>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</si>
  <si>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</si>
  <si>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</si>
  <si>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</si>
  <si>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</si>
  <si>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</si>
  <si>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</si>
  <si>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</si>
  <si>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</si>
  <si>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</si>
  <si>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</si>
  <si>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</si>
  <si>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</si>
  <si>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</si>
  <si>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</si>
  <si>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</si>
  <si>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</si>
  <si>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</si>
  <si>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</si>
  <si>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</si>
  <si>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</si>
  <si>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</si>
  <si>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</si>
  <si>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</si>
  <si>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</si>
  <si>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</si>
  <si>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</si>
  <si>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</si>
  <si>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</si>
  <si>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</si>
  <si>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</si>
  <si>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</si>
  <si>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</si>
  <si>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Ancienne scierie Fargette</t>
  </si>
  <si>
    <t>2514, 2692, 2693 et 896 (section B)</t>
  </si>
  <si>
    <t>EPF SMAF Auvergne</t>
  </si>
  <si>
    <t>Allègre</t>
  </si>
  <si>
    <t xml:space="preserve">Algo initial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</si>
</sst>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0" fontId="16" fillId="24" borderId="0" xfId="0" applyFon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C24" zoomScale="68" zoomScaleNormal="48" workbookViewId="0">
      <selection activeCell="Q50" sqref="Q50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0" t="s">
        <v>113</v>
      </c>
      <c r="D6" s="50"/>
      <c r="E6" s="50"/>
      <c r="F6" s="50"/>
      <c r="G6" s="50"/>
      <c r="H6" s="50"/>
      <c r="I6" s="50"/>
      <c r="J6" s="50"/>
      <c r="K6" s="50"/>
      <c r="L6" s="50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11427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Neutre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337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1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169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Neutre</v>
      </c>
      <c r="L20" s="16" t="str">
        <f>IFERROR(VLOOKUP($C20,Base!$C$13:$J$17,8,0),"")</f>
        <v>Neutre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149</v>
      </c>
      <c r="D21" s="8" t="s">
        <v>162</v>
      </c>
      <c r="E21" s="1"/>
      <c r="F21" s="16" t="str">
        <f>IFERROR(VLOOKUP($C21,Base!$C$18:$J$22,2,0),"")</f>
        <v>Neutre</v>
      </c>
      <c r="G21" s="16" t="str">
        <f>IFERROR(VLOOKUP($C21,Base!$C$18:$J$22,3,0),"")</f>
        <v>Neutre</v>
      </c>
      <c r="H21" s="16" t="str">
        <f>IFERROR(VLOOKUP($C21,Base!$C$18:$J$22,4,0),"")</f>
        <v>Neutre</v>
      </c>
      <c r="I21" s="16" t="str">
        <f>IFERROR(VLOOKUP($C21,Base!$C$18:$J$22,5,0),"")</f>
        <v>Neutre</v>
      </c>
      <c r="J21" s="16" t="str">
        <f>IFERROR(VLOOKUP($C21,Base!$C$18:$J$22,6,0),"")</f>
        <v>Neutre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163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19.8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55</v>
      </c>
      <c r="D28" s="8" t="s">
        <v>154</v>
      </c>
      <c r="E28" s="1"/>
      <c r="F28" s="16" t="str">
        <f>IFERROR(VLOOKUP($C28,Base!$C$48:$J$50,2,0),"")</f>
        <v>Négatif</v>
      </c>
      <c r="G28" s="16" t="str">
        <f>IFERROR(VLOOKUP($C28,Base!$C$48:$J$50,3,0),"")</f>
        <v>Négatif</v>
      </c>
      <c r="H28" s="16" t="str">
        <f>IFERROR(VLOOKUP($C28,Base!$C$48:$J$50,4,0),"")</f>
        <v>Neutre</v>
      </c>
      <c r="I28" s="16" t="str">
        <f>IFERROR(VLOOKUP($C28,Base!$C$48:$J$50,5,0),"")</f>
        <v>Négatif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110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Neutre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61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65</v>
      </c>
      <c r="D31" s="8" t="s">
        <v>158</v>
      </c>
      <c r="E31" s="1"/>
      <c r="F31" s="16" t="str">
        <f>IFERROR(VLOOKUP($C31,Base!$C$69:$J$73,2,0),"")</f>
        <v>Très négatif</v>
      </c>
      <c r="G31" s="16" t="str">
        <f>IFERROR(VLOOKUP($C31,Base!$C$69:$J$73,3,0),"")</f>
        <v>Très négatif</v>
      </c>
      <c r="H31" s="16" t="str">
        <f>IFERROR(VLOOKUP($C31,Base!$C$69:$J$73,4,0),"")</f>
        <v>Très négatif</v>
      </c>
      <c r="I31" s="16" t="str">
        <f>IFERROR(VLOOKUP($C31,Base!$C$69:$J$73,5,0),"")</f>
        <v>Très négatif</v>
      </c>
      <c r="J31" s="16" t="str">
        <f>IFERROR(VLOOKUP($C31,Base!$C$69:$J$73,6,0),"")</f>
        <v>Très négatif</v>
      </c>
      <c r="K31" s="16" t="str">
        <f>IFERROR(VLOOKUP($C31,Base!$C$69:$J$73,7,0),"")</f>
        <v>Très positif</v>
      </c>
      <c r="L31" s="16" t="str">
        <f>IFERROR(VLOOKUP($C31,Base!$C$69:$J$73,8,0),"")</f>
        <v>Négatif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72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Neutre</v>
      </c>
      <c r="I34" s="16" t="str">
        <f>IFERROR(VLOOKUP($C34,Base!$C$81:$J$86,5,0),"")</f>
        <v>Neutre</v>
      </c>
      <c r="J34" s="16" t="str">
        <f>IFERROR(VLOOKUP($C34,Base!$C$81:$J$86,6,0),"")</f>
        <v>Neutre</v>
      </c>
      <c r="K34" s="16" t="str">
        <f>IFERROR(VLOOKUP($C34,Base!$C$81:$J$86,7,0),"")</f>
        <v>Positif</v>
      </c>
      <c r="L34" s="16" t="str">
        <f>IFERROR(VLOOKUP($C34,Base!$C$81:$J$86,8,0),"")</f>
        <v>Neutre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71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Négatif</v>
      </c>
      <c r="I35" s="16" t="str">
        <f>IFERROR(VLOOKUP($C35,Base!$C$87:$J$92,5,0),"")</f>
        <v>Positif</v>
      </c>
      <c r="J35" s="16" t="str">
        <f>IFERROR(VLOOKUP($C35,Base!$C$87:$J$92,6,0),"")</f>
        <v>Positif</v>
      </c>
      <c r="K35" s="16" t="str">
        <f>IFERROR(VLOOKUP($C35,Base!$C$87:$J$92,7,0),"")</f>
        <v>Neutre</v>
      </c>
      <c r="L35" s="16" t="str">
        <f>IFERROR(VLOOKUP($C35,Base!$C$87:$J$92,8,0),"")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82</v>
      </c>
      <c r="D36" s="8" t="s">
        <v>164</v>
      </c>
      <c r="E36" s="1"/>
      <c r="F36" s="16" t="str">
        <f>IFERROR(VLOOKUP($C36,Base!$C$101:$J$106,2,0),"")</f>
        <v>Neutre</v>
      </c>
      <c r="G36" s="16" t="str">
        <f>IFERROR(VLOOKUP($C36,Base!$C$101:$J$106,3,0),"")</f>
        <v>Neutre</v>
      </c>
      <c r="H36" s="16" t="str">
        <f>IFERROR(VLOOKUP($C36,Base!$C$101:$J$106,4,0),"")</f>
        <v>Neutre</v>
      </c>
      <c r="I36" s="16" t="str">
        <f>IFERROR(VLOOKUP($C36,Base!$C$101:$J$106,5,0),"")</f>
        <v>Neutre</v>
      </c>
      <c r="J36" s="16" t="str">
        <f>IFERROR(VLOOKUP($C36,Base!$C$101:$J$106,6,0),"")</f>
        <v>Neutre</v>
      </c>
      <c r="K36" s="16" t="str">
        <f>IFERROR(VLOOKUP($C36,Base!$C$101:$J$106,7,0),"")</f>
        <v>Positif</v>
      </c>
      <c r="L36" s="16" t="str">
        <f>IFERROR(VLOOKUP($C36,Base!$C$101:$J$106,8,0),"")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14.75</v>
      </c>
      <c r="G38" s="20" cm="1">
        <f t="array" ref="G38">SUMPRODUCT(IF(G$12:G$37="Très Positif",2,0),$M$12:$M$37)+SUMPRODUCT(IF(G$12:G$37="Positif",1,0),$M$12:$M$37)+SUMPRODUCT(IF(G$12:G$37="Neutre",0.5,0),$M$12:$M$37)</f>
        <v>14.25</v>
      </c>
      <c r="H38" s="20" cm="1">
        <f t="array" ref="H38">SUMPRODUCT(IF(H$12:H$37="Très Positif",2,0),$M$12:$M$37)+SUMPRODUCT(IF(H$12:H$37="Positif",1,0),$M$12:$M$37)+SUMPRODUCT(IF(H$12:H$37="Neutre",0.5,0),$M$12:$M$37)</f>
        <v>12.5</v>
      </c>
      <c r="I38" s="20" cm="1">
        <f t="array" ref="I38">SUMPRODUCT(IF(I$12:I$37="Très Positif",2,0),$M$12:$M$37)+SUMPRODUCT(IF(I$12:I$37="Positif",1,0),$M$12:$M$37)+SUMPRODUCT(IF(I$12:I$37="Neutre",0.5,0),$M$12:$M$37)</f>
        <v>13.25</v>
      </c>
      <c r="J38" s="20" cm="1">
        <f t="array" ref="J38">SUMPRODUCT(IF(J$12:J$37="Très Positif",2,0),$M$12:$M$37)+SUMPRODUCT(IF(J$12:J$37="Positif",1,0),$M$12:$M$37)+SUMPRODUCT(IF(J$12:J$37="Neutre",0.5,0),$M$12:$M$37)</f>
        <v>15</v>
      </c>
      <c r="K38" s="20" cm="1">
        <f t="array" ref="K38">SUMPRODUCT(IF(K$12:K$37="Très Positif",2,0),$M$12:$M$37)+SUMPRODUCT(IF(K$12:K$37="Positif",1,0),$M$12:$M$37)+SUMPRODUCT(IF(K$12:K$37="Neutre",0.5,0),$M$12:$M$37)</f>
        <v>15.5</v>
      </c>
      <c r="L38" s="20" cm="1">
        <f t="array" ref="L38">SUMPRODUCT(IF(L$12:L$37="Très Positif",2,0),$M$12:$M$37)+SUMPRODUCT(IF(L$12:L$37="Positif",1,0),$M$12:$M$37)+SUMPRODUCT(IF(L$12:L$37="Neutre",0.5,0),$M$12:$M$37)</f>
        <v>13.75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13.25</v>
      </c>
      <c r="G39" s="21" cm="1">
        <f t="array" ref="G39">SUMPRODUCT(IF(G$12:G$37="Négatif",1,0),$M$12:$M$37)+SUMPRODUCT(IF(G$12:G$37="Très négatif",2,0),$M$12:$M$37)+SUMPRODUCT(IF(G$12:G$37="Neutre",0.5,0),$M$12:$M$37)</f>
        <v>12.75</v>
      </c>
      <c r="H39" s="21" cm="1">
        <f t="array" ref="H39">SUMPRODUCT(IF(H$12:H$37="Négatif",1,0),$M$12:$M$37)+SUMPRODUCT(IF(H$12:H$37="Très négatif",2,0),$M$12:$M$37)+SUMPRODUCT(IF(H$12:H$37="Neutre",0.5,0),$M$12:$M$37)</f>
        <v>12.5</v>
      </c>
      <c r="I39" s="21" cm="1">
        <f t="array" ref="I39">SUMPRODUCT(IF(I$12:I$37="Négatif",1,0),$M$12:$M$37)+SUMPRODUCT(IF(I$12:I$37="Très négatif",2,0),$M$12:$M$37)+SUMPRODUCT(IF(I$12:I$37="Neutre",0.5,0),$M$12:$M$37)</f>
        <v>11.75</v>
      </c>
      <c r="J39" s="21" cm="1">
        <f t="array" ref="J39">SUMPRODUCT(IF(J$12:J$37="Négatif",1,0),$M$12:$M$37)+SUMPRODUCT(IF(J$12:J$37="Très négatif",2,0),$M$12:$M$37)+SUMPRODUCT(IF(J$12:J$37="Neutre",0.5,0),$M$12:$M$37)</f>
        <v>13</v>
      </c>
      <c r="K39" s="21" cm="1">
        <f t="array" ref="K39">SUMPRODUCT(IF(K$12:K$37="Négatif",1,0),$M$12:$M$37)+SUMPRODUCT(IF(K$12:K$37="Très négatif",2,0),$M$12:$M$37)+SUMPRODUCT(IF(K$12:K$37="Neutre",0.5,0),$M$12:$M$37)</f>
        <v>8.5</v>
      </c>
      <c r="L39" s="21" cm="1">
        <f t="array" ref="L39">SUMPRODUCT(IF(L$12:L$37="Négatif",1,0),$M$12:$M$37)+SUMPRODUCT(IF(L$12:L$37="Très négatif",2,0),$M$12:$M$37)+SUMPRODUCT(IF(L$12:L$37="Neutre",0.5,0),$M$12:$M$37)</f>
        <v>12.75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1" t="s">
        <v>39</v>
      </c>
      <c r="G40" s="51"/>
      <c r="H40" s="51"/>
      <c r="I40" s="51"/>
      <c r="J40" s="51"/>
      <c r="K40" s="51"/>
      <c r="L40" s="51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0.5267857142857143</v>
      </c>
      <c r="G41" s="10">
        <f t="shared" si="2"/>
        <v>0.52777777777777779</v>
      </c>
      <c r="H41" s="10">
        <f t="shared" si="2"/>
        <v>0.5</v>
      </c>
      <c r="I41" s="10">
        <f t="shared" si="2"/>
        <v>0.53</v>
      </c>
      <c r="J41" s="10">
        <f t="shared" si="2"/>
        <v>0.5357142857142857</v>
      </c>
      <c r="K41" s="10">
        <f t="shared" si="2"/>
        <v>0.64583333333333337</v>
      </c>
      <c r="L41" s="10">
        <f t="shared" si="2"/>
        <v>0.51886792452830188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3</v>
      </c>
      <c r="G42" s="34">
        <f>RANK(G41,F41:L41,1)</f>
        <v>4</v>
      </c>
      <c r="H42" s="34">
        <f>RANK(H41,F41:L41,1)</f>
        <v>1</v>
      </c>
      <c r="I42" s="34">
        <f>RANK(I41,F41:L41,1)</f>
        <v>5</v>
      </c>
      <c r="J42" s="34">
        <f>RANK(J41,F41:L41,1)</f>
        <v>6</v>
      </c>
      <c r="K42" s="34">
        <f>RANK(K41,F41:L41,1)</f>
        <v>7</v>
      </c>
      <c r="L42" s="34">
        <f>RANK(L41,F41:L41,1)</f>
        <v>2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D46" s="52" t="s">
        <v>176</v>
      </c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0.5546875</v>
      </c>
      <c r="G47" s="10">
        <v>0.57499999999999996</v>
      </c>
      <c r="H47" s="10">
        <v>0.46296296296296297</v>
      </c>
      <c r="I47" s="10">
        <v>0.56481481481481477</v>
      </c>
      <c r="J47" s="10">
        <v>0.43333333333333335</v>
      </c>
      <c r="K47" s="10">
        <v>0.61111111111111116</v>
      </c>
      <c r="L47" s="10">
        <v>0.44915254237288138</v>
      </c>
    </row>
    <row r="49" spans="6:12" x14ac:dyDescent="0.2">
      <c r="F49" s="53">
        <f>F47-F41</f>
        <v>2.7901785714285698E-2</v>
      </c>
      <c r="G49" s="53">
        <f t="shared" ref="G49:L49" si="4">G47-G41</f>
        <v>4.7222222222222165E-2</v>
      </c>
      <c r="H49" s="53">
        <f t="shared" si="4"/>
        <v>-3.7037037037037035E-2</v>
      </c>
      <c r="I49" s="53">
        <f t="shared" si="4"/>
        <v>3.4814814814814743E-2</v>
      </c>
      <c r="J49" s="54">
        <f t="shared" si="4"/>
        <v>-0.10238095238095235</v>
      </c>
      <c r="K49" s="53">
        <f t="shared" si="4"/>
        <v>-3.472222222222221E-2</v>
      </c>
      <c r="L49" s="54">
        <f t="shared" si="4"/>
        <v>-6.9715382155420502E-2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C32" sqref="C32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