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20" documentId="8_{959AD1C3-7E66-4A11-9D06-67AA9AE6193D}" xr6:coauthVersionLast="47" xr6:coauthVersionMax="47" xr10:uidLastSave="{A82A50B9-99D2-480C-A1DF-9BFDCF67BBE9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<sst xmlns="http://schemas.openxmlformats.org/spreadsheetml/2006/main" count="1190" uniqueCount="176">
  <si>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</si>
  <si>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</si>
  <si>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</si>
  <si>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</si>
  <si>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</si>
  <si>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</si>
  <si>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</si>
  <si>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</si>
  <si>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</si>
  <si>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</si>
  <si>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</si>
  <si>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</si>
  <si>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</si>
  <si>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</si>
  <si>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</si>
  <si>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</si>
  <si>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</si>
  <si>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</si>
  <si>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</si>
  <si>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</si>
  <si>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</si>
  <si>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</si>
  <si>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</si>
  <si>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</si>
  <si>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</si>
  <si>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</si>
  <si>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</si>
  <si>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</si>
  <si>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</si>
  <si>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</si>
  <si>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</si>
  <si>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</si>
  <si>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</si>
  <si>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</si>
  <si>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</si>
  <si>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</si>
  <si>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</si>
  <si>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</si>
  <si>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</si>
  <si>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</si>
  <si>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</si>
  <si>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</si>
  <si>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</si>
  <si>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</si>
  <si>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</si>
  <si>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</si>
  <si>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</si>
  <si>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</si>
  <si>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</si>
  <si>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</si>
  <si>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</si>
  <si>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</si>
  <si>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</si>
  <si>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</si>
  <si>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</si>
  <si>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</si>
  <si>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</si>
  <si>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</si>
  <si>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</si>
  <si>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</si>
  <si>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</si>
  <si>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</si>
  <si>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</si>
  <si>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</si>
  <si>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</si>
  <si>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</si>
  <si>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</si>
  <si>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</si>
  <si>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</si>
  <si>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</si>
  <si>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</si>
  <si>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</si>
  <si>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</si>
  <si>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</si>
  <si>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</si>
  <si>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</si>
  <si>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</si>
  <si>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</si>
  <si>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</si>
  <si>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</si>
  <si>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</si>
  <si>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</si>
  <si>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</si>
  <si>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</si>
  <si>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</si>
  <si>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</si>
  <si>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</si>
  <si>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</si>
  <si>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</si>
  <si>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</si>
  <si>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</si>
  <si>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</si>
  <si>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</si>
  <si>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</si>
  <si>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</si>
  <si>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</si>
  <si>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</si>
  <si>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</si>
  <si>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</si>
  <si>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</si>
  <si>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</si>
  <si>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</si>
  <si>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</si>
  <si>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</si>
  <si>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</si>
  <si>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</si>
  <si>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</si>
  <si>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</si>
  <si>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</si>
  <si>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</si>
  <si>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</si>
  <si>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</si>
  <si>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</si>
  <si>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</si>
  <si>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</si>
  <si>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</si>
  <si>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</si>
  <si>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</si>
  <si>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</si>
  <si>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</si>
  <si>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</si>
  <si>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</si>
  <si>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</si>
  <si>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</si>
  <si>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</si>
  <si>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</si>
  <si>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</si>
  <si>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</si>
  <si>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</si>
  <si>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</si>
  <si>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</si>
  <si>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</si>
  <si>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</si>
  <si>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</si>
  <si>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</si>
  <si>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</si>
  <si>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</si>
  <si>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</si>
  <si>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</si>
  <si>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</si>
  <si>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</si>
  <si>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</si>
  <si>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</si>
  <si>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</si>
  <si>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</si>
  <si>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</si>
  <si>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</si>
  <si>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</si>
  <si>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</si>
  <si>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</si>
  <si>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</si>
  <si>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</si>
  <si>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</si>
  <si>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</si>
  <si>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</si>
  <si>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</si>
  <si>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</si>
  <si>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</si>
  <si>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</si>
  <si>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</si>
  <si>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</si>
  <si>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</si>
  <si>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</si>
  <si>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</si>
  <si>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</si>
  <si>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</si>
  <si>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</si>
  <si>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</si>
  <si>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</si>
  <si>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</si>
  <si>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</si>
  <si>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</si>
  <si>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JYS Chrome</t>
  </si>
  <si>
    <t>OA 521</t>
  </si>
  <si>
    <t>Mairie de Montbeugny</t>
  </si>
  <si>
    <t>Montbeugny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</si>
</sst>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4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15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N41" sqref="N41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1" t="s">
        <v>113</v>
      </c>
      <c r="D6" s="51"/>
      <c r="E6" s="51"/>
      <c r="F6" s="51"/>
      <c r="G6" s="51"/>
      <c r="H6" s="51"/>
      <c r="I6" s="51"/>
      <c r="J6" s="51"/>
      <c r="K6" s="51"/>
      <c r="L6" s="51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 t="s">
        <v>174</v>
      </c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175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775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Positif</v>
      </c>
      <c r="G17" s="16" t="str">
        <f>IFERROR(SUBSTITUTE(IF($C$17="","",IF($C$17&lt;Base!$C$7,Base!E$7,IF(AND($C$17&gt;=Base!$C$7,$C$17&lt;Base!$C$8),Base!E$8,IF($C$17&gt;=Base!$C$10,Base!E$10,Base!E$9)))),"0",""),"")</f>
        <v>Positif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Très négatif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0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</v>
      </c>
      <c r="D20" s="8" t="s">
        <v>152</v>
      </c>
      <c r="E20" s="1"/>
      <c r="F20" s="16" t="str">
        <f>IFERROR(VLOOKUP($C20,Base!$C$13:$J$17,2,0),"")</f>
        <v/>
      </c>
      <c r="G20" s="16" t="str">
        <f>IFERROR(VLOOKUP($C20,Base!$C$13:$J$17,3,0),"")</f>
        <v/>
      </c>
      <c r="H20" s="16" t="str">
        <f>IFERROR(VLOOKUP($C20,Base!$C$13:$J$17,4,0),"")</f>
        <v/>
      </c>
      <c r="I20" s="16" t="str">
        <f>IFERROR(VLOOKUP($C20,Base!$C$13:$J$17,5,0),"")</f>
        <v/>
      </c>
      <c r="J20" s="16" t="str">
        <f>IFERROR(VLOOKUP($C20,Base!$C$13:$J$17,6,0),"")</f>
        <v/>
      </c>
      <c r="K20" s="16" t="str">
        <f>IFERROR(VLOOKUP($C20,Base!$C$13:$J$17,7,0),"")</f>
        <v/>
      </c>
      <c r="L20" s="16" t="str">
        <f>IFERROR(VLOOKUP($C20,Base!$C$13:$J$17,8,0),"")</f>
        <v/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148</v>
      </c>
      <c r="D21" s="8" t="s">
        <v>162</v>
      </c>
      <c r="E21" s="1"/>
      <c r="F21" s="16" t="str">
        <f>IFERROR(VLOOKUP($C21,Base!$C$18:$J$22,2,0),"")</f>
        <v>Très négatif</v>
      </c>
      <c r="G21" s="16" t="str">
        <f>IFERROR(VLOOKUP($C21,Base!$C$18:$J$22,3,0),"")</f>
        <v>Très négatif</v>
      </c>
      <c r="H21" s="16" t="str">
        <f>IFERROR(VLOOKUP($C21,Base!$C$18:$J$22,4,0),"")</f>
        <v>Très négatif</v>
      </c>
      <c r="I21" s="16" t="str">
        <f>IFERROR(VLOOKUP($C21,Base!$C$18:$J$22,5,0),"")</f>
        <v>Négatif</v>
      </c>
      <c r="J21" s="16" t="str">
        <f>IFERROR(VLOOKUP($C21,Base!$C$18:$J$22,6,0),"")</f>
        <v>Négatif</v>
      </c>
      <c r="K21" s="16" t="str">
        <f>IFERROR(VLOOKUP($C21,Base!$C$18:$J$22,7,0),"")</f>
        <v>Neutre</v>
      </c>
      <c r="L21" s="16" t="str">
        <f>IFERROR(VLOOKUP($C21,Base!$C$18:$J$22,8,0),"")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4.0999999999999996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Très 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107</v>
      </c>
      <c r="D25" s="8" t="s">
        <v>155</v>
      </c>
      <c r="E25" s="1"/>
      <c r="F25" s="16" t="str">
        <f>IFERROR(VLOOKUP($C25,Base!$C$36:$J$39,2,0),"")</f>
        <v>Positif</v>
      </c>
      <c r="G25" s="16" t="str">
        <f>IFERROR(VLOOKUP($C25,Base!$C$36:$J$39,3,0),"")</f>
        <v>Positif</v>
      </c>
      <c r="H25" s="16" t="str">
        <f>IFERROR(VLOOKUP($C25,Base!$C$36:$J$39,4,0),"")</f>
        <v>Neutre</v>
      </c>
      <c r="I25" s="16" t="str">
        <f>IFERROR(VLOOKUP($C25,Base!$C$36:$J$39,5,0),"")</f>
        <v>Positif</v>
      </c>
      <c r="J25" s="16" t="str">
        <f>IFERROR(VLOOKUP($C25,Base!$C$36:$J$39,6,0),"")</f>
        <v>Très positif</v>
      </c>
      <c r="K25" s="16" t="str">
        <f>IFERROR(VLOOKUP($C25,Base!$C$36:$J$39,7,0),"")</f>
        <v>Neutre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111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Négatif</v>
      </c>
      <c r="K26" s="16" t="str">
        <f>IFERROR(VLOOKUP($C26,Base!$C$40:$J$44,7,0),"")</f>
        <v>Neutre</v>
      </c>
      <c r="L26" s="16" t="str">
        <f>IFERROR(VLOOKUP($C26,Base!$C$40:$J$44,8,0),"")</f>
        <v>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138</v>
      </c>
      <c r="D27" s="8" t="s">
        <v>154</v>
      </c>
      <c r="E27" s="1"/>
      <c r="F27" s="16" t="str">
        <f>IFERROR(VLOOKUP($C27,Base!$C$45:$J$47,2,0),"")</f>
        <v>Très positif</v>
      </c>
      <c r="G27" s="16" t="str">
        <f>IFERROR(VLOOKUP($C27,Base!$C$45:$J$47,3,0),"")</f>
        <v>Très positif</v>
      </c>
      <c r="H27" s="16" t="str">
        <f>IFERROR(VLOOKUP($C27,Base!$C$45:$J$47,4,0),"")</f>
        <v>Positif</v>
      </c>
      <c r="I27" s="16" t="str">
        <f>IFERROR(VLOOKUP($C27,Base!$C$45:$J$47,5,0),"")</f>
        <v>Positif</v>
      </c>
      <c r="J27" s="16" t="str">
        <f>IFERROR(VLOOKUP($C27,Base!$C$45:$J$47,6,0),"")</f>
        <v>Positif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110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Neutre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132</v>
      </c>
      <c r="D31" s="8" t="s">
        <v>158</v>
      </c>
      <c r="E31" s="1"/>
      <c r="F31" s="16" t="str">
        <f>IFERROR(VLOOKUP($C31,Base!$C$69:$J$73,2,0),"")</f>
        <v>Négatif</v>
      </c>
      <c r="G31" s="16" t="str">
        <f>IFERROR(VLOOKUP($C31,Base!$C$69:$J$73,3,0),"")</f>
        <v>Négatif</v>
      </c>
      <c r="H31" s="16" t="str">
        <f>IFERROR(VLOOKUP($C31,Base!$C$69:$J$73,4,0),"")</f>
        <v>Négatif</v>
      </c>
      <c r="I31" s="16" t="str">
        <f>IFERROR(VLOOKUP($C31,Base!$C$69:$J$73,5,0),"")</f>
        <v>Négatif</v>
      </c>
      <c r="J31" s="16" t="str">
        <f>IFERROR(VLOOKUP($C31,Base!$C$69:$J$73,6,0),"")</f>
        <v>Négatif</v>
      </c>
      <c r="K31" s="16" t="str">
        <f>IFERROR(VLOOKUP($C31,Base!$C$69:$J$73,7,0),"")</f>
        <v>Positif</v>
      </c>
      <c r="L31" s="16" t="str">
        <f>IFERROR(VLOOKUP($C31,Base!$C$69:$J$73,8,0),"")</f>
        <v>Négatif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55</v>
      </c>
      <c r="D32" s="8" t="s">
        <v>158</v>
      </c>
      <c r="E32" s="1"/>
      <c r="F32" s="16" t="str">
        <f>IFERROR(VLOOKUP($C32,Base!$C$74:$J$76,2,0),"")</f>
        <v>Neutre</v>
      </c>
      <c r="G32" s="16" t="str">
        <f>IFERROR(VLOOKUP($C32,Base!$C$74:$J$76,3,0),"")</f>
        <v>Neutre</v>
      </c>
      <c r="H32" s="16" t="str">
        <f>IFERROR(VLOOKUP($C32,Base!$C$74:$J$76,4,0),"")</f>
        <v>Neutre</v>
      </c>
      <c r="I32" s="16" t="str">
        <f>IFERROR(VLOOKUP($C32,Base!$C$74:$J$76,5,0),"")</f>
        <v>Neutre</v>
      </c>
      <c r="J32" s="16" t="str">
        <f>IFERROR(VLOOKUP($C32,Base!$C$74:$J$76,6,0),"")</f>
        <v>Neutre</v>
      </c>
      <c r="K32" s="16" t="str">
        <f>IFERROR(VLOOKUP($C32,Base!$C$74:$J$76,7,0),"")</f>
        <v>Neutre</v>
      </c>
      <c r="L32" s="16" t="str">
        <f>IFERROR(VLOOKUP($C32,Base!$C$74:$J$76,8,0),"")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72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Neutre</v>
      </c>
      <c r="I34" s="16" t="str">
        <f>IFERROR(VLOOKUP($C34,Base!$C$81:$J$86,5,0),"")</f>
        <v>Neutre</v>
      </c>
      <c r="J34" s="16" t="str">
        <f>IFERROR(VLOOKUP($C34,Base!$C$81:$J$86,6,0),"")</f>
        <v>Neutre</v>
      </c>
      <c r="K34" s="16" t="str">
        <f>IFERROR(VLOOKUP($C34,Base!$C$81:$J$86,7,0),"")</f>
        <v>Positif</v>
      </c>
      <c r="L34" s="16" t="str">
        <f>IFERROR(VLOOKUP($C34,Base!$C$81:$J$86,8,0),"")</f>
        <v>Neutre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76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Neutre</v>
      </c>
      <c r="I35" s="16" t="str">
        <f>IFERROR(VLOOKUP($C35,Base!$C$87:$J$92,5,0),"")</f>
        <v>Neutre</v>
      </c>
      <c r="J35" s="16" t="str">
        <f>IFERROR(VLOOKUP($C35,Base!$C$87:$J$92,6,0),"")</f>
        <v>Neutre</v>
      </c>
      <c r="K35" s="16" t="str">
        <f>IFERROR(VLOOKUP($C35,Base!$C$87:$J$92,7,0),"")</f>
        <v>Négatif</v>
      </c>
      <c r="L35" s="16" t="str">
        <f>IFERROR(VLOOKUP($C35,Base!$C$87:$J$92,8,0),"")</f>
        <v>Neutre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164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51</v>
      </c>
      <c r="D37" s="8"/>
      <c r="E37" s="1"/>
      <c r="F37" s="16" t="str">
        <f>IFERROR(VLOOKUP($C37,Base!$C$107:$J$111,2,0),"")</f>
        <v>-</v>
      </c>
      <c r="G37" s="16" t="str">
        <f>IFERROR(VLOOKUP($C37,Base!$C$107:$J$111,3,0),"")</f>
        <v>-</v>
      </c>
      <c r="H37" s="16" t="str">
        <f>IFERROR(VLOOKUP($C37,Base!$C$107:$J$111,4,0),"")</f>
        <v>-</v>
      </c>
      <c r="I37" s="16" t="str">
        <f>IFERROR(VLOOKUP($C37,Base!$C$107:$J$111,5,0),"")</f>
        <v>-</v>
      </c>
      <c r="J37" s="16" t="str">
        <f>IFERROR(VLOOKUP($C37,Base!$C$107:$J$111,6,0),"")</f>
        <v>-</v>
      </c>
      <c r="K37" s="16" t="str">
        <f>IFERROR(VLOOKUP($C37,Base!$C$107:$J$111,7,0),"")</f>
        <v>-</v>
      </c>
      <c r="L37" s="16" t="str">
        <f>IFERROR(VLOOKUP($C37,Base!$C$107:$J$111,8,0),"")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20.75</v>
      </c>
      <c r="G38" s="20" cm="1">
        <f t="array" ref="G38">SUMPRODUCT(IF(G$12:G$37="Très Positif",2,0),$M$12:$M$37)+SUMPRODUCT(IF(G$12:G$37="Positif",1,0),$M$12:$M$37)+SUMPRODUCT(IF(G$12:G$37="Neutre",0.5,0),$M$12:$M$37)</f>
        <v>18.25</v>
      </c>
      <c r="H38" s="20" cm="1">
        <f t="array" ref="H38">SUMPRODUCT(IF(H$12:H$37="Très Positif",2,0),$M$12:$M$37)+SUMPRODUCT(IF(H$12:H$37="Positif",1,0),$M$12:$M$37)+SUMPRODUCT(IF(H$12:H$37="Neutre",0.5,0),$M$12:$M$37)</f>
        <v>11</v>
      </c>
      <c r="I38" s="20" cm="1">
        <f t="array" ref="I38">SUMPRODUCT(IF(I$12:I$37="Très Positif",2,0),$M$12:$M$37)+SUMPRODUCT(IF(I$12:I$37="Positif",1,0),$M$12:$M$37)+SUMPRODUCT(IF(I$12:I$37="Neutre",0.5,0),$M$12:$M$37)</f>
        <v>12.75</v>
      </c>
      <c r="J38" s="20" cm="1">
        <f t="array" ref="J38">SUMPRODUCT(IF(J$12:J$37="Très Positif",2,0),$M$12:$M$37)+SUMPRODUCT(IF(J$12:J$37="Positif",1,0),$M$12:$M$37)+SUMPRODUCT(IF(J$12:J$37="Neutre",0.5,0),$M$12:$M$37)</f>
        <v>8.5</v>
      </c>
      <c r="K38" s="20" cm="1">
        <f t="array" ref="K38">SUMPRODUCT(IF(K$12:K$37="Très Positif",2,0),$M$12:$M$37)+SUMPRODUCT(IF(K$12:K$37="Positif",1,0),$M$12:$M$37)+SUMPRODUCT(IF(K$12:K$37="Neutre",0.5,0),$M$12:$M$37)</f>
        <v>12.5</v>
      </c>
      <c r="L38" s="20" cm="1">
        <f t="array" ref="L38">SUMPRODUCT(IF(L$12:L$37="Très Positif",2,0),$M$12:$M$37)+SUMPRODUCT(IF(L$12:L$37="Positif",1,0),$M$12:$M$37)+SUMPRODUCT(IF(L$12:L$37="Neutre",0.5,0),$M$12:$M$37)</f>
        <v>9.25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9.25</v>
      </c>
      <c r="G39" s="21" cm="1">
        <f t="array" ref="G39">SUMPRODUCT(IF(G$12:G$37="Négatif",1,0),$M$12:$M$37)+SUMPRODUCT(IF(G$12:G$37="Très négatif",2,0),$M$12:$M$37)+SUMPRODUCT(IF(G$12:G$37="Neutre",0.5,0),$M$12:$M$37)</f>
        <v>9.75</v>
      </c>
      <c r="H39" s="21" cm="1">
        <f t="array" ref="H39">SUMPRODUCT(IF(H$12:H$37="Négatif",1,0),$M$12:$M$37)+SUMPRODUCT(IF(H$12:H$37="Très négatif",2,0),$M$12:$M$37)+SUMPRODUCT(IF(H$12:H$37="Neutre",0.5,0),$M$12:$M$37)</f>
        <v>13</v>
      </c>
      <c r="I39" s="21" cm="1">
        <f t="array" ref="I39">SUMPRODUCT(IF(I$12:I$37="Négatif",1,0),$M$12:$M$37)+SUMPRODUCT(IF(I$12:I$37="Très négatif",2,0),$M$12:$M$37)+SUMPRODUCT(IF(I$12:I$37="Neutre",0.5,0),$M$12:$M$37)</f>
        <v>9.25</v>
      </c>
      <c r="J39" s="21" cm="1">
        <f t="array" ref="J39">SUMPRODUCT(IF(J$12:J$37="Négatif",1,0),$M$12:$M$37)+SUMPRODUCT(IF(J$12:J$37="Très négatif",2,0),$M$12:$M$37)+SUMPRODUCT(IF(J$12:J$37="Neutre",0.5,0),$M$12:$M$37)</f>
        <v>18</v>
      </c>
      <c r="K39" s="21" cm="1">
        <f t="array" ref="K39">SUMPRODUCT(IF(K$12:K$37="Négatif",1,0),$M$12:$M$37)+SUMPRODUCT(IF(K$12:K$37="Très négatif",2,0),$M$12:$M$37)+SUMPRODUCT(IF(K$12:K$37="Neutre",0.5,0),$M$12:$M$37)</f>
        <v>8.5</v>
      </c>
      <c r="L39" s="21" cm="1">
        <f t="array" ref="L39">SUMPRODUCT(IF(L$12:L$37="Négatif",1,0),$M$12:$M$37)+SUMPRODUCT(IF(L$12:L$37="Très négatif",2,0),$M$12:$M$37)+SUMPRODUCT(IF(L$12:L$37="Neutre",0.5,0),$M$12:$M$37)</f>
        <v>14.75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2" t="s">
        <v>39</v>
      </c>
      <c r="G40" s="52"/>
      <c r="H40" s="52"/>
      <c r="I40" s="52"/>
      <c r="J40" s="52"/>
      <c r="K40" s="52"/>
      <c r="L40" s="52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0.69166666666666665</v>
      </c>
      <c r="G41" s="10">
        <f t="shared" si="2"/>
        <v>0.6517857142857143</v>
      </c>
      <c r="H41" s="10">
        <f t="shared" si="2"/>
        <v>0.45833333333333331</v>
      </c>
      <c r="I41" s="10">
        <f t="shared" si="2"/>
        <v>0.57954545454545459</v>
      </c>
      <c r="J41" s="10">
        <f t="shared" si="2"/>
        <v>0.32075471698113206</v>
      </c>
      <c r="K41" s="10">
        <f t="shared" si="2"/>
        <v>0.59523809523809523</v>
      </c>
      <c r="L41" s="10">
        <f t="shared" si="2"/>
        <v>0.38541666666666669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6</v>
      </c>
      <c r="H42" s="34">
        <f>RANK(H41,F41:L41,1)</f>
        <v>3</v>
      </c>
      <c r="I42" s="34">
        <f>RANK(I41,F41:L41,1)</f>
        <v>4</v>
      </c>
      <c r="J42" s="34">
        <f>RANK(J41,F41:L41,1)</f>
        <v>1</v>
      </c>
      <c r="K42" s="34">
        <f>RANK(K41,F41:L41,1)</f>
        <v>5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0.6171875</v>
      </c>
      <c r="G47" s="10">
        <v>0.58870967741935487</v>
      </c>
      <c r="H47" s="10">
        <v>0.4107142857142857</v>
      </c>
      <c r="I47" s="10">
        <v>0.52884615384615385</v>
      </c>
      <c r="J47" s="10">
        <v>0.36842105263157893</v>
      </c>
      <c r="K47" s="10">
        <v>0.6428571428571429</v>
      </c>
      <c r="L47" s="10">
        <v>0.47580645161290325</v>
      </c>
    </row>
    <row r="49" spans="6:12" x14ac:dyDescent="0.2">
      <c r="F49" s="50">
        <f>F47-F41</f>
        <v>-7.4479166666666652E-2</v>
      </c>
      <c r="G49" s="50">
        <f t="shared" ref="G49:L49" si="4">G47-G41</f>
        <v>-6.3076036866359431E-2</v>
      </c>
      <c r="H49" s="53">
        <f t="shared" si="4"/>
        <v>-4.7619047619047616E-2</v>
      </c>
      <c r="I49" s="53">
        <f t="shared" si="4"/>
        <v>-5.0699300699300731E-2</v>
      </c>
      <c r="J49" s="53">
        <f t="shared" si="4"/>
        <v>4.7666335650446867E-2</v>
      </c>
      <c r="K49" s="53">
        <f t="shared" si="4"/>
        <v>4.7619047619047672E-2</v>
      </c>
      <c r="L49" s="50">
        <f t="shared" si="4"/>
        <v>9.0389784946236562E-2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2025-09-19T13:51:51Z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