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"/>
    </mc:Choice>
  </mc:AlternateContent>
  <xr:revisionPtr revIDLastSave="20" documentId="8_{921A4232-8333-4CC1-919E-14815A089C0C}" xr6:coauthVersionLast="47" xr6:coauthVersionMax="47" xr10:uidLastSave="{0815CC02-A561-41FF-BD40-F8E5A2D9AE78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<sst xmlns="http://schemas.openxmlformats.org/spreadsheetml/2006/main" count="1190" uniqueCount="176">
  <si>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</si>
  <si>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</si>
  <si>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</si>
  <si>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</si>
  <si>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</si>
  <si>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</si>
  <si>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</si>
  <si>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</si>
  <si>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</si>
  <si>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</si>
  <si>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</si>
  <si>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</si>
  <si>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</si>
  <si>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</si>
  <si>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</si>
  <si>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</si>
  <si>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</si>
  <si>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</si>
  <si>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</si>
  <si>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</si>
  <si>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</si>
  <si>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</si>
  <si>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</si>
  <si>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</si>
  <si>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</si>
  <si>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</si>
  <si>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</si>
  <si>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</si>
  <si>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</si>
  <si>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</si>
  <si>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</si>
  <si>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</si>
  <si>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</si>
  <si>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</si>
  <si>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</si>
  <si>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</si>
  <si>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</si>
  <si>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</si>
  <si>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</si>
  <si>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</si>
  <si>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</si>
  <si>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</si>
  <si>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</si>
  <si>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</si>
  <si>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</si>
  <si>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</si>
  <si>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</si>
  <si>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</si>
  <si>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</si>
  <si>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</si>
  <si>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</si>
  <si>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</si>
  <si>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</si>
  <si>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</si>
  <si>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</si>
  <si>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</si>
  <si>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</si>
  <si>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</si>
  <si>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</si>
  <si>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</si>
  <si>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</si>
  <si>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</si>
  <si>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</si>
  <si>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</si>
  <si>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</si>
  <si>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</si>
  <si>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</si>
  <si>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</si>
  <si>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</si>
  <si>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</si>
  <si>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</si>
  <si>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</si>
  <si>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</si>
  <si>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</si>
  <si>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</si>
  <si>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</si>
  <si>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</si>
  <si>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</si>
  <si>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</si>
  <si>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</si>
  <si>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</si>
  <si>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</si>
  <si>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</si>
  <si>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</si>
  <si>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</si>
  <si>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</si>
  <si>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</si>
  <si>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</si>
  <si>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</si>
  <si>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</si>
  <si>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</si>
  <si>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</si>
  <si>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</si>
  <si>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</si>
  <si>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</si>
  <si>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</si>
  <si>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</si>
  <si>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</si>
  <si>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</si>
  <si>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</si>
  <si>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</si>
  <si>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</si>
  <si>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</si>
  <si>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</si>
  <si>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</si>
  <si>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</si>
  <si>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</si>
  <si>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</si>
  <si>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</si>
  <si>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</si>
  <si>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</si>
  <si>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</si>
  <si>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</si>
  <si>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</si>
  <si>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</si>
  <si>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</si>
  <si>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</si>
  <si>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</si>
  <si>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</si>
  <si>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</si>
  <si>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</si>
  <si>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</si>
  <si>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</si>
  <si>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</si>
  <si>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</si>
  <si>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</si>
  <si>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</si>
  <si>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</si>
  <si>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</si>
  <si>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</si>
  <si>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</si>
  <si>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</si>
  <si>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</si>
  <si>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</si>
  <si>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</si>
  <si>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</si>
  <si>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</si>
  <si>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</si>
  <si>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</si>
  <si>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</si>
  <si>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</si>
  <si>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</si>
  <si>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</si>
  <si>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</si>
  <si>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</si>
  <si>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</si>
  <si>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</si>
  <si>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</si>
  <si>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</si>
  <si>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</si>
  <si>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</si>
  <si>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</si>
  <si>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</si>
  <si>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</si>
  <si>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</si>
  <si>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</si>
  <si>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</si>
  <si>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</si>
  <si>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</si>
  <si>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</si>
  <si>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</si>
  <si>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</si>
  <si>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</si>
  <si>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</si>
  <si>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</si>
  <si>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</si>
  <si>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</si>
  <si>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</si>
  <si>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</si>
  <si>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</si>
  <si>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</si>
  <si>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</si>
  <si>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Ancien site minier - Central 7</t>
  </si>
  <si>
    <t>2 parcelles</t>
  </si>
  <si>
    <t>EPCI</t>
  </si>
  <si>
    <t>Segré-en-Anjou 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</si>
</sst>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9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i/>
      <sz val="10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  <xf numFmtId="164" fontId="0" fillId="0" borderId="0" xfId="0" applyNumberFormat="1" applyFill="1">
      <alignment vertical="center" wrapText="1"/>
      <protection hidden="1"/>
    </xf>
    <xf numFmtId="0" fontId="18" fillId="13" borderId="0" xfId="17" applyFont="1" applyFill="1" applyAlignment="1">
      <alignment horizontal="left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N40" sqref="N40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1" t="s">
        <v>113</v>
      </c>
      <c r="D6" s="51"/>
      <c r="E6" s="51"/>
      <c r="F6" s="51"/>
      <c r="G6" s="51"/>
      <c r="H6" s="51"/>
      <c r="I6" s="51"/>
      <c r="J6" s="51"/>
      <c r="K6" s="51"/>
      <c r="L6" s="51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4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10010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Neutre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6600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2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169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Neutre</v>
      </c>
      <c r="L20" s="16" t="str">
        <f>IFERROR(VLOOKUP($C20,Base!$C$13:$J$17,8,0),"")</f>
        <v>Neutre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55</v>
      </c>
      <c r="D21" s="8" t="s">
        <v>162</v>
      </c>
      <c r="E21" s="1"/>
      <c r="F21" s="16" t="str">
        <f>IFERROR(VLOOKUP($C21,Base!$C$18:$J$22,2,0),"")</f>
        <v>Très positif</v>
      </c>
      <c r="G21" s="16" t="str">
        <f>IFERROR(VLOOKUP($C21,Base!$C$18:$J$22,3,0),"")</f>
        <v>Très positif</v>
      </c>
      <c r="H21" s="16" t="str">
        <f>IFERROR(VLOOKUP($C21,Base!$C$18:$J$22,4,0),"")</f>
        <v>Très positif</v>
      </c>
      <c r="I21" s="16" t="str">
        <f>IFERROR(VLOOKUP($C21,Base!$C$18:$J$22,5,0),"")</f>
        <v>Très positif</v>
      </c>
      <c r="J21" s="16" t="str">
        <f>IFERROR(VLOOKUP($C21,Base!$C$18:$J$22,6,0),"")</f>
        <v>Très positif</v>
      </c>
      <c r="K21" s="16" t="str">
        <f>IFERROR(VLOOKUP($C21,Base!$C$18:$J$22,7,0),"")</f>
        <v>Positif</v>
      </c>
      <c r="L21" s="16" t="str">
        <f>IFERROR(VLOOKUP($C21,Base!$C$18:$J$22,8,0),"")</f>
        <v>Positif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55</v>
      </c>
      <c r="D22" s="8" t="s">
        <v>163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8.4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55</v>
      </c>
      <c r="D28" s="8" t="s">
        <v>154</v>
      </c>
      <c r="E28" s="1"/>
      <c r="F28" s="16" t="str">
        <f>IFERROR(VLOOKUP($C28,Base!$C$48:$J$50,2,0),"")</f>
        <v>Négatif</v>
      </c>
      <c r="G28" s="16" t="str">
        <f>IFERROR(VLOOKUP($C28,Base!$C$48:$J$50,3,0),"")</f>
        <v>Négatif</v>
      </c>
      <c r="H28" s="16" t="str">
        <f>IFERROR(VLOOKUP($C28,Base!$C$48:$J$50,4,0),"")</f>
        <v>Neutre</v>
      </c>
      <c r="I28" s="16" t="str">
        <f>IFERROR(VLOOKUP($C28,Base!$C$48:$J$50,5,0),"")</f>
        <v>Négatif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117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Très 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63</v>
      </c>
      <c r="D30" s="8" t="s">
        <v>157</v>
      </c>
      <c r="E30" s="1"/>
      <c r="F30" s="16" t="str">
        <f>IFERROR(VLOOKUP($C30,Base!$C$59:$J$68,2,0),"")</f>
        <v>Positif</v>
      </c>
      <c r="G30" s="16" t="str">
        <f>IFERROR(VLOOKUP($C30,Base!$C$59:$J$68,3,0),"")</f>
        <v>Positif</v>
      </c>
      <c r="H30" s="16" t="str">
        <f>IFERROR(VLOOKUP($C30,Base!$C$59:$J$68,4,0),"")</f>
        <v>Positif</v>
      </c>
      <c r="I30" s="16" t="str">
        <f>IFERROR(VLOOKUP($C30,Base!$C$59:$J$68,5,0),"")</f>
        <v>Positif</v>
      </c>
      <c r="J30" s="16" t="str">
        <f>IFERROR(VLOOKUP($C30,Base!$C$59:$J$68,6,0),"")</f>
        <v>Positif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54</v>
      </c>
      <c r="D32" s="8" t="s">
        <v>158</v>
      </c>
      <c r="E32" s="1"/>
      <c r="F32" s="16" t="str">
        <f>IFERROR(VLOOKUP($C32,Base!$C$74:$J$76,2,0),"")</f>
        <v>Très négatif</v>
      </c>
      <c r="G32" s="16" t="str">
        <f>IFERROR(VLOOKUP($C32,Base!$C$74:$J$76,3,0),"")</f>
        <v>Très négatif</v>
      </c>
      <c r="H32" s="16" t="str">
        <f>IFERROR(VLOOKUP($C32,Base!$C$74:$J$76,4,0),"")</f>
        <v>Très négatif</v>
      </c>
      <c r="I32" s="16" t="str">
        <f>IFERROR(VLOOKUP($C32,Base!$C$74:$J$76,5,0),"")</f>
        <v>Très négatif</v>
      </c>
      <c r="J32" s="16" t="str">
        <f>IFERROR(VLOOKUP($C32,Base!$C$74:$J$76,6,0),"")</f>
        <v>Très positif</v>
      </c>
      <c r="K32" s="16" t="str">
        <f>IFERROR(VLOOKUP($C32,Base!$C$74:$J$76,7,0),"")</f>
        <v>Positif</v>
      </c>
      <c r="L32" s="16" t="str">
        <f>IFERROR(VLOOKUP($C32,Base!$C$74:$J$76,8,0),"")</f>
        <v>Positif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71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Négatif</v>
      </c>
      <c r="I34" s="16" t="str">
        <f>IFERROR(VLOOKUP($C34,Base!$C$81:$J$86,5,0),"")</f>
        <v>Positif</v>
      </c>
      <c r="J34" s="16" t="str">
        <f>IFERROR(VLOOKUP($C34,Base!$C$81:$J$86,6,0),"")</f>
        <v>Positif</v>
      </c>
      <c r="K34" s="16" t="str">
        <f>IFERROR(VLOOKUP($C34,Base!$C$81:$J$86,7,0),"")</f>
        <v>Positif</v>
      </c>
      <c r="L34" s="16" t="str">
        <f>IFERROR(VLOOKUP($C34,Base!$C$81:$J$86,8,0),"")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77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Positif</v>
      </c>
      <c r="I35" s="16" t="str">
        <f>IFERROR(VLOOKUP($C35,Base!$C$87:$J$92,5,0),"")</f>
        <v>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82</v>
      </c>
      <c r="D36" s="8" t="s">
        <v>164</v>
      </c>
      <c r="E36" s="1"/>
      <c r="F36" s="16" t="str">
        <f>IFERROR(VLOOKUP($C36,Base!$C$101:$J$106,2,0),"")</f>
        <v>Neutre</v>
      </c>
      <c r="G36" s="16" t="str">
        <f>IFERROR(VLOOKUP($C36,Base!$C$101:$J$106,3,0),"")</f>
        <v>Neutre</v>
      </c>
      <c r="H36" s="16" t="str">
        <f>IFERROR(VLOOKUP($C36,Base!$C$101:$J$106,4,0),"")</f>
        <v>Neutre</v>
      </c>
      <c r="I36" s="16" t="str">
        <f>IFERROR(VLOOKUP($C36,Base!$C$101:$J$106,5,0),"")</f>
        <v>Neutre</v>
      </c>
      <c r="J36" s="16" t="str">
        <f>IFERROR(VLOOKUP($C36,Base!$C$101:$J$106,6,0),"")</f>
        <v>Neutre</v>
      </c>
      <c r="K36" s="16" t="str">
        <f>IFERROR(VLOOKUP($C36,Base!$C$101:$J$106,7,0),"")</f>
        <v>Positif</v>
      </c>
      <c r="L36" s="16" t="str">
        <f>IFERROR(VLOOKUP($C36,Base!$C$101:$J$106,8,0),"")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86</v>
      </c>
      <c r="D37" s="8"/>
      <c r="E37" s="1"/>
      <c r="F37" s="16" t="str">
        <f>IFERROR(VLOOKUP($C37,Base!$C$107:$J$111,2,0),"")</f>
        <v>Négatif</v>
      </c>
      <c r="G37" s="16" t="str">
        <f>IFERROR(VLOOKUP($C37,Base!$C$107:$J$111,3,0),"")</f>
        <v>Négatif</v>
      </c>
      <c r="H37" s="16" t="str">
        <f>IFERROR(VLOOKUP($C37,Base!$C$107:$J$111,4,0),"")</f>
        <v>Négatif</v>
      </c>
      <c r="I37" s="16" t="str">
        <f>IFERROR(VLOOKUP($C37,Base!$C$107:$J$111,5,0),"")</f>
        <v>Négatif</v>
      </c>
      <c r="J37" s="16" t="str">
        <f>IFERROR(VLOOKUP($C37,Base!$C$107:$J$111,6,0),"")</f>
        <v>Négatif</v>
      </c>
      <c r="K37" s="16" t="str">
        <f>IFERROR(VLOOKUP($C37,Base!$C$107:$J$111,7,0),"")</f>
        <v>Positif</v>
      </c>
      <c r="L37" s="16" t="str">
        <f>IFERROR(VLOOKUP($C37,Base!$C$107:$J$111,8,0),"")</f>
        <v>Négatif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16.75</v>
      </c>
      <c r="G38" s="20" cm="1">
        <f t="array" ref="G38">SUMPRODUCT(IF(G$12:G$37="Très Positif",2,0),$M$12:$M$37)+SUMPRODUCT(IF(G$12:G$37="Positif",1,0),$M$12:$M$37)+SUMPRODUCT(IF(G$12:G$37="Neutre",0.5,0),$M$12:$M$37)</f>
        <v>16.25</v>
      </c>
      <c r="H38" s="20" cm="1">
        <f t="array" ref="H38">SUMPRODUCT(IF(H$12:H$37="Très Positif",2,0),$M$12:$M$37)+SUMPRODUCT(IF(H$12:H$37="Positif",1,0),$M$12:$M$37)+SUMPRODUCT(IF(H$12:H$37="Neutre",0.5,0),$M$12:$M$37)</f>
        <v>16.5</v>
      </c>
      <c r="I38" s="20" cm="1">
        <f t="array" ref="I38">SUMPRODUCT(IF(I$12:I$37="Très Positif",2,0),$M$12:$M$37)+SUMPRODUCT(IF(I$12:I$37="Positif",1,0),$M$12:$M$37)+SUMPRODUCT(IF(I$12:I$37="Neutre",0.5,0),$M$12:$M$37)</f>
        <v>15.75</v>
      </c>
      <c r="J38" s="20" cm="1">
        <f t="array" ref="J38">SUMPRODUCT(IF(J$12:J$37="Très Positif",2,0),$M$12:$M$37)+SUMPRODUCT(IF(J$12:J$37="Positif",1,0),$M$12:$M$37)+SUMPRODUCT(IF(J$12:J$37="Neutre",0.5,0),$M$12:$M$37)</f>
        <v>20.5</v>
      </c>
      <c r="K38" s="20" cm="1">
        <f t="array" ref="K38">SUMPRODUCT(IF(K$12:K$37="Très Positif",2,0),$M$12:$M$37)+SUMPRODUCT(IF(K$12:K$37="Positif",1,0),$M$12:$M$37)+SUMPRODUCT(IF(K$12:K$37="Neutre",0.5,0),$M$12:$M$37)</f>
        <v>16</v>
      </c>
      <c r="L38" s="20" cm="1">
        <f t="array" ref="L38">SUMPRODUCT(IF(L$12:L$37="Très Positif",2,0),$M$12:$M$37)+SUMPRODUCT(IF(L$12:L$37="Positif",1,0),$M$12:$M$37)+SUMPRODUCT(IF(L$12:L$37="Neutre",0.5,0),$M$12:$M$37)</f>
        <v>14.75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13.25</v>
      </c>
      <c r="G39" s="21" cm="1">
        <f t="array" ref="G39">SUMPRODUCT(IF(G$12:G$37="Négatif",1,0),$M$12:$M$37)+SUMPRODUCT(IF(G$12:G$37="Très négatif",2,0),$M$12:$M$37)+SUMPRODUCT(IF(G$12:G$37="Neutre",0.5,0),$M$12:$M$37)</f>
        <v>12.75</v>
      </c>
      <c r="H39" s="21" cm="1">
        <f t="array" ref="H39">SUMPRODUCT(IF(H$12:H$37="Négatif",1,0),$M$12:$M$37)+SUMPRODUCT(IF(H$12:H$37="Très négatif",2,0),$M$12:$M$37)+SUMPRODUCT(IF(H$12:H$37="Neutre",0.5,0),$M$12:$M$37)</f>
        <v>11.5</v>
      </c>
      <c r="I39" s="21" cm="1">
        <f t="array" ref="I39">SUMPRODUCT(IF(I$12:I$37="Négatif",1,0),$M$12:$M$37)+SUMPRODUCT(IF(I$12:I$37="Très négatif",2,0),$M$12:$M$37)+SUMPRODUCT(IF(I$12:I$37="Neutre",0.5,0),$M$12:$M$37)</f>
        <v>12.25</v>
      </c>
      <c r="J39" s="21" cm="1">
        <f t="array" ref="J39">SUMPRODUCT(IF(J$12:J$37="Négatif",1,0),$M$12:$M$37)+SUMPRODUCT(IF(J$12:J$37="Très négatif",2,0),$M$12:$M$37)+SUMPRODUCT(IF(J$12:J$37="Neutre",0.5,0),$M$12:$M$37)</f>
        <v>9.5</v>
      </c>
      <c r="K39" s="21" cm="1">
        <f t="array" ref="K39">SUMPRODUCT(IF(K$12:K$37="Négatif",1,0),$M$12:$M$37)+SUMPRODUCT(IF(K$12:K$37="Très négatif",2,0),$M$12:$M$37)+SUMPRODUCT(IF(K$12:K$37="Neutre",0.5,0),$M$12:$M$37)</f>
        <v>9</v>
      </c>
      <c r="L39" s="21" cm="1">
        <f t="array" ref="L39">SUMPRODUCT(IF(L$12:L$37="Négatif",1,0),$M$12:$M$37)+SUMPRODUCT(IF(L$12:L$37="Très négatif",2,0),$M$12:$M$37)+SUMPRODUCT(IF(L$12:L$37="Neutre",0.5,0),$M$12:$M$37)</f>
        <v>14.75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2" t="s">
        <v>39</v>
      </c>
      <c r="G40" s="52"/>
      <c r="H40" s="52"/>
      <c r="I40" s="52"/>
      <c r="J40" s="52"/>
      <c r="K40" s="52"/>
      <c r="L40" s="52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0.55833333333333335</v>
      </c>
      <c r="G41" s="10">
        <f t="shared" si="2"/>
        <v>0.56034482758620685</v>
      </c>
      <c r="H41" s="10">
        <f t="shared" si="2"/>
        <v>0.5892857142857143</v>
      </c>
      <c r="I41" s="10">
        <f t="shared" si="2"/>
        <v>0.5625</v>
      </c>
      <c r="J41" s="10">
        <f t="shared" si="2"/>
        <v>0.68333333333333335</v>
      </c>
      <c r="K41" s="10">
        <f t="shared" si="2"/>
        <v>0.64</v>
      </c>
      <c r="L41" s="10">
        <f t="shared" si="2"/>
        <v>0.5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2</v>
      </c>
      <c r="G42" s="34">
        <f>RANK(G41,F41:L41,1)</f>
        <v>3</v>
      </c>
      <c r="H42" s="34">
        <f>RANK(H41,F41:L41,1)</f>
        <v>5</v>
      </c>
      <c r="I42" s="34">
        <f>RANK(I41,F41:L41,1)</f>
        <v>4</v>
      </c>
      <c r="J42" s="34">
        <f>RANK(J41,F41:L41,1)</f>
        <v>7</v>
      </c>
      <c r="K42" s="34">
        <f>RANK(K41,F41:L41,1)</f>
        <v>6</v>
      </c>
      <c r="L42" s="34">
        <f>RANK(L41,F41:L41,1)</f>
        <v>1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0.52272727272727271</v>
      </c>
      <c r="G47" s="10">
        <v>0.5390625</v>
      </c>
      <c r="H47" s="10">
        <v>0.54838709677419351</v>
      </c>
      <c r="I47" s="10">
        <v>0.54032258064516125</v>
      </c>
      <c r="J47" s="10">
        <v>0.65151515151515149</v>
      </c>
      <c r="K47" s="10">
        <v>0.60344827586206895</v>
      </c>
      <c r="L47" s="10">
        <v>0.5</v>
      </c>
    </row>
    <row r="49" spans="6:12" x14ac:dyDescent="0.2">
      <c r="F49" s="53">
        <f>F47-F41</f>
        <v>-3.5606060606060641E-2</v>
      </c>
      <c r="G49" s="50">
        <f t="shared" ref="G49:L49" si="4">G47-G41</f>
        <v>-2.1282327586206851E-2</v>
      </c>
      <c r="H49" s="53">
        <f t="shared" si="4"/>
        <v>-4.0898617511520796E-2</v>
      </c>
      <c r="I49" s="50">
        <f t="shared" si="4"/>
        <v>-2.2177419354838745E-2</v>
      </c>
      <c r="J49" s="53">
        <f t="shared" si="4"/>
        <v>-3.1818181818181857E-2</v>
      </c>
      <c r="K49" s="50">
        <f t="shared" si="4"/>
        <v>-3.6551724137931063E-2</v>
      </c>
      <c r="L49" s="53">
        <f t="shared" si="4"/>
        <v>0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2025-09-19T14:19:37Z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