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"/>
    </mc:Choice>
  </mc:AlternateContent>
  <xr:revisionPtr revIDLastSave="17" documentId="8_{9432942C-9684-4BC7-B391-46F1346CFBB7}" xr6:coauthVersionLast="47" xr6:coauthVersionMax="47" xr10:uidLastSave="{BF0836DA-6AF3-44F9-B9FE-0D4D2964FBDF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K23" i="1"/>
  <c r="F33" i="1"/>
  <c r="F32" i="1"/>
  <c r="F31" i="1"/>
  <c r="F37" i="1"/>
  <c r="F36" i="1"/>
  <c r="F35" i="1"/>
  <c r="F34" i="1"/>
  <c r="F28" i="1"/>
  <c r="F27" i="1"/>
  <c r="F25" i="1"/>
  <c r="L23" i="1"/>
  <c r="J23" i="1"/>
  <c r="I23" i="1"/>
  <c r="H23" i="1"/>
  <c r="G23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<sst xmlns="http://schemas.openxmlformats.org/spreadsheetml/2006/main" count="1189" uniqueCount="175">
  <si>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</si>
  <si>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</si>
  <si>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</si>
  <si>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</si>
  <si>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</si>
  <si>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</si>
  <si>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</si>
  <si>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</si>
  <si>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</si>
  <si>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</si>
  <si>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</si>
  <si>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</si>
  <si>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</si>
  <si>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</si>
  <si>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</si>
  <si>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</si>
  <si>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</si>
  <si>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</si>
  <si>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</si>
  <si>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</si>
  <si>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</si>
  <si>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</si>
  <si>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</si>
  <si>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</si>
  <si>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</si>
  <si>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</si>
  <si>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</si>
  <si>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</si>
  <si>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</si>
  <si>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</si>
  <si>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</si>
  <si>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</si>
  <si>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</si>
  <si>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</si>
  <si>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</si>
  <si>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</si>
  <si>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</si>
  <si>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</si>
  <si>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</si>
  <si>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</si>
  <si>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</si>
  <si>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</si>
  <si>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</si>
  <si>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</si>
  <si>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</si>
  <si>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</si>
  <si>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</si>
  <si>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</si>
  <si>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</si>
  <si>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</si>
  <si>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</si>
  <si>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</si>
  <si>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</si>
  <si>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</si>
  <si>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</si>
  <si>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</si>
  <si>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</si>
  <si>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</si>
  <si>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</si>
  <si>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</si>
  <si>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</si>
  <si>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</si>
  <si>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</si>
  <si>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</si>
  <si>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</si>
  <si>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</si>
  <si>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</si>
  <si>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</si>
  <si>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</si>
  <si>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</si>
  <si>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</si>
  <si>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</si>
  <si>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</si>
  <si>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</si>
  <si>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</si>
  <si>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</si>
  <si>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</si>
  <si>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</si>
  <si>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</si>
  <si>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</si>
  <si>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</si>
  <si>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</si>
  <si>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</si>
  <si>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</si>
  <si>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</si>
  <si>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</si>
  <si>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</si>
  <si>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</si>
  <si>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</si>
  <si>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</si>
  <si>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</si>
  <si>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</si>
  <si>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</si>
  <si>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</si>
  <si>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</si>
  <si>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</si>
  <si>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</si>
  <si>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</si>
  <si>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</si>
  <si>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</si>
  <si>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</si>
  <si>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</si>
  <si>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</si>
  <si>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</si>
  <si>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</si>
  <si>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</si>
  <si>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</si>
  <si>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</si>
  <si>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</si>
  <si>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</si>
  <si>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</si>
  <si>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</si>
  <si>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</si>
  <si>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</si>
  <si>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</si>
  <si>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</si>
  <si>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</si>
  <si>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</si>
  <si>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</si>
  <si>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</si>
  <si>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</si>
  <si>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</si>
  <si>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</si>
  <si>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</si>
  <si>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</si>
  <si>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</si>
  <si>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</si>
  <si>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</si>
  <si>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</si>
  <si>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</si>
  <si>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</si>
  <si>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</si>
  <si>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</si>
  <si>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</si>
  <si>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</si>
  <si>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</si>
  <si>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</si>
  <si>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</si>
  <si>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</si>
  <si>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</si>
  <si>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</si>
  <si>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</si>
  <si>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</si>
  <si>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</si>
  <si>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</si>
  <si>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</si>
  <si>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</si>
  <si>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</si>
  <si>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</si>
  <si>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</si>
  <si>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</si>
  <si>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</si>
  <si>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</si>
  <si>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</si>
  <si>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</si>
  <si>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</si>
  <si>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</si>
  <si>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</si>
  <si>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</si>
  <si>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</si>
  <si>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</si>
  <si>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</si>
  <si>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</si>
  <si>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</si>
  <si>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</si>
  <si>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</si>
  <si>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</si>
  <si>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</si>
  <si>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</si>
  <si>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</si>
  <si>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</si>
  <si>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</si>
  <si>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Friche de la Folie</t>
  </si>
  <si>
    <t>Ville de Thouars</t>
  </si>
  <si>
    <t>Thouars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</si>
</sst>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  <xf numFmtId="164" fontId="0" fillId="0" borderId="0" xfId="0" applyNumberFormat="1" applyFill="1">
      <alignment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M36" sqref="M36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/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173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174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53700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Très 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0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</v>
      </c>
      <c r="D20" s="8" t="s">
        <v>152</v>
      </c>
      <c r="E20" s="1"/>
      <c r="F20" s="16" t="str">
        <f>IFERROR(VLOOKUP($C20,Base!$C$13:$J$17,2,0),"")</f>
        <v/>
      </c>
      <c r="G20" s="16" t="str">
        <f>IFERROR(VLOOKUP($C20,Base!$C$13:$J$17,3,0),"")</f>
        <v/>
      </c>
      <c r="H20" s="16" t="str">
        <f>IFERROR(VLOOKUP($C20,Base!$C$13:$J$17,4,0),"")</f>
        <v/>
      </c>
      <c r="I20" s="16" t="str">
        <f>IFERROR(VLOOKUP($C20,Base!$C$13:$J$17,5,0),"")</f>
        <v/>
      </c>
      <c r="J20" s="16" t="str">
        <f>IFERROR(VLOOKUP($C20,Base!$C$13:$J$17,6,0),"")</f>
        <v/>
      </c>
      <c r="K20" s="16" t="str">
        <f>IFERROR(VLOOKUP($C20,Base!$C$13:$J$17,7,0),"")</f>
        <v/>
      </c>
      <c r="L20" s="16" t="str">
        <f>IFERROR(VLOOKUP($C20,Base!$C$13:$J$17,8,0),"")</f>
        <v/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148</v>
      </c>
      <c r="D21" s="8" t="s">
        <v>162</v>
      </c>
      <c r="E21" s="1"/>
      <c r="F21" s="16" t="str">
        <f>IFERROR(VLOOKUP($C21,Base!$C$18:$J$22,2,0),"")</f>
        <v>Très négatif</v>
      </c>
      <c r="G21" s="16" t="str">
        <f>IFERROR(VLOOKUP($C21,Base!$C$18:$J$22,3,0),"")</f>
        <v>Très négatif</v>
      </c>
      <c r="H21" s="16" t="str">
        <f>IFERROR(VLOOKUP($C21,Base!$C$18:$J$22,4,0),"")</f>
        <v>Très négatif</v>
      </c>
      <c r="I21" s="16" t="str">
        <f>IFERROR(VLOOKUP($C21,Base!$C$18:$J$22,5,0),"")</f>
        <v>Négatif</v>
      </c>
      <c r="J21" s="16" t="str">
        <f>IFERROR(VLOOKUP($C21,Base!$C$18:$J$22,6,0),"")</f>
        <v>Négatif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55</v>
      </c>
      <c r="D22" s="8" t="s">
        <v>163</v>
      </c>
      <c r="E22" s="1"/>
      <c r="F22" s="16" t="str">
        <f>IFERROR(VLOOKUP($C22,Base!$C$26:$J$28,2,0),"")</f>
        <v>Très négatif</v>
      </c>
      <c r="G22" s="16" t="str">
        <f>IFERROR(VLOOKUP($C22,Base!$C$26:$J$28,3,0),"")</f>
        <v>Négatif</v>
      </c>
      <c r="H22" s="16" t="str">
        <f>IFERROR(VLOOKUP($C22,Base!$C$26:$J$28,4,0),"")</f>
        <v>Neutre</v>
      </c>
      <c r="I22" s="16" t="str">
        <f>IFERROR(VLOOKUP($C22,Base!$C$26:$J$28,5,0),"")</f>
        <v>Négatif</v>
      </c>
      <c r="J22" s="16" t="str">
        <f>IFERROR(VLOOKUP($C22,Base!$C$26:$J$28,6,0),"")</f>
        <v>Très positif</v>
      </c>
      <c r="K22" s="16" t="str">
        <f>IFERROR(VLOOKUP($C22,Base!$C$26:$J$28,7,0),"")</f>
        <v>Positif</v>
      </c>
      <c r="L22" s="16" t="str">
        <f>IFERROR(VLOOKUP($C22,Base!$C$26:$J$28,8,0),"")</f>
        <v>Très 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11.3</v>
      </c>
      <c r="D23" s="8" t="s">
        <v>153</v>
      </c>
      <c r="E23" s="1"/>
      <c r="F23" s="16" t="str">
        <f>SUBSTITUTE(IF($C$23="","",IF($C$23&lt;=Base!$C$29,Base!D$29,IF(AND($C$23&gt;Base!$C$29,$C$23&lt;=Base!$C$30),Base!D$30,IF(AND($C$23&gt;=Base!$C$32,$C$23&lt;Base!#REF!),Base!D$32,IF($C$23&gt;=Base!#REF!,Base!#REF!,Base!D$31))))),"0","")</f>
        <v>Positif</v>
      </c>
      <c r="G23" s="16" t="str">
        <f>SUBSTITUTE(IF($C$23="","",IF($C$23&lt;=Base!$C$29,Base!E$29,IF(AND($C$23&gt;Base!$C$29,$C$23&lt;=Base!$C$30),Base!E$30,IF(AND($C$23&gt;=Base!$C$32,$C$23&lt;Base!#REF!),Base!E$32,IF($C$23&gt;=Base!#REF!,Base!#REF!,Base!E$31))))),"0","")</f>
        <v>Neutre</v>
      </c>
      <c r="H23" s="16" t="str">
        <f>SUBSTITUTE(IF($C$23="","",IF($C$23&lt;=Base!$C$29,Base!F$29,IF(AND($C$23&gt;Base!$C$29,$C$23&lt;=Base!$C$30),Base!F$30,IF(AND($C$23&gt;=Base!$C$32,$C$23&lt;Base!#REF!),Base!F$32,IF($C$23&gt;=Base!#REF!,Base!#REF!,Base!F$31))))),"0","")</f>
        <v>Neutre</v>
      </c>
      <c r="I23" s="16" t="str">
        <f>SUBSTITUTE(IF($C$23="","",IF($C$23&lt;=Base!$C$29,Base!G$29,IF(AND($C$23&gt;Base!$C$29,$C$23&lt;=Base!$C$30),Base!G$30,IF(AND($C$23&gt;=Base!$C$32,$C$23&lt;Base!#REF!),Base!G$32,IF($C$23&gt;=Base!#REF!,Base!#REF!,Base!G$31))))),"0","")</f>
        <v>Neutre</v>
      </c>
      <c r="J23" s="16" t="str">
        <f>SUBSTITUTE(IF($C$23="","",IF($C$23&lt;=Base!$C$29,Base!H$29,IF(AND($C$23&gt;Base!$C$29,$C$23&lt;=Base!$C$30),Base!H$30,IF(AND($C$23&gt;=Base!$C$32,$C$23&lt;Base!#REF!),Base!H$32,IF($C$23&gt;=Base!#REF!,Base!#REF!,Base!H$31))))),"0","")</f>
        <v>Neutre</v>
      </c>
      <c r="K23" s="16" t="str">
        <f>SUBSTITUTE(IF($C$23="","",IF($C$23&lt;=Base!$C$29,Base!I$29,IF(AND($C$23&gt;Base!$C$29,$C$23&lt;=Base!$C$30),Base!I$30,IF(AND($C$23&gt;=Base!$C$32,$C$23&lt;Base!#REF!),Base!I$32,IF($C$23&gt;=Base!#REF!,Base!#REF!,Base!I$31))))),"0","")</f>
        <v>Neutre</v>
      </c>
      <c r="L23" s="16" t="str">
        <f>SUBSTITUTE(IF($C$23="","",IF($C$23&lt;=Base!$C$29,Base!J$29,IF(AND($C$23&gt;Base!$C$29,$C$23&lt;=Base!$C$30),Base!J$30,IF(AND($C$23&gt;=Base!$C$32,$C$23&lt;Base!#REF!),Base!J$32,IF($C$23&gt;=Base!#REF!,Base!#REF!,Base!J$31))))),"0","")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138</v>
      </c>
      <c r="D27" s="8" t="s">
        <v>154</v>
      </c>
      <c r="E27" s="1"/>
      <c r="F27" s="16" t="str">
        <f>IFERROR(VLOOKUP($C27,Base!$C$45:$J$47,2,0),"")</f>
        <v>Très positif</v>
      </c>
      <c r="G27" s="16" t="str">
        <f>IFERROR(VLOOKUP($C27,Base!$C$45:$J$47,3,0),"")</f>
        <v>Très positif</v>
      </c>
      <c r="H27" s="16" t="str">
        <f>IFERROR(VLOOKUP($C27,Base!$C$45:$J$47,4,0),"")</f>
        <v>Positif</v>
      </c>
      <c r="I27" s="16" t="str">
        <f>IFERROR(VLOOKUP($C27,Base!$C$45:$J$47,5,0),"")</f>
        <v>Positif</v>
      </c>
      <c r="J27" s="16" t="str">
        <f>IFERROR(VLOOKUP($C27,Base!$C$45:$J$47,6,0),"")</f>
        <v>Positif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146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Négatif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62</v>
      </c>
      <c r="D30" s="8" t="s">
        <v>157</v>
      </c>
      <c r="E30" s="1"/>
      <c r="F30" s="16" t="str">
        <f>IFERROR(VLOOKUP($C30,Base!$C$59:$J$68,2,0),"")</f>
        <v>Neutre</v>
      </c>
      <c r="G30" s="16" t="str">
        <f>IFERROR(VLOOKUP($C30,Base!$C$59:$J$68,3,0),"")</f>
        <v>Neutre</v>
      </c>
      <c r="H30" s="16" t="str">
        <f>IFERROR(VLOOKUP($C30,Base!$C$59:$J$68,4,0),"")</f>
        <v>Neutre</v>
      </c>
      <c r="I30" s="16" t="str">
        <f>IFERROR(VLOOKUP($C30,Base!$C$59:$J$68,5,0),"")</f>
        <v>Neutre</v>
      </c>
      <c r="J30" s="16" t="str">
        <f>IFERROR(VLOOKUP($C30,Base!$C$59:$J$68,6,0),"")</f>
        <v>Neutre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66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70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Négatif</v>
      </c>
      <c r="I34" s="16" t="str">
        <f>IFERROR(VLOOKUP($C34,Base!$C$81:$J$86,5,0),"")</f>
        <v>Positif</v>
      </c>
      <c r="J34" s="16" t="str">
        <f>IFERROR(VLOOKUP($C34,Base!$C$81:$J$86,6,0),"")</f>
        <v>Positif</v>
      </c>
      <c r="K34" s="16" t="str">
        <f>IFERROR(VLOOKUP($C34,Base!$C$81:$J$86,7,0),"")</f>
        <v>Positif</v>
      </c>
      <c r="L34" s="16" t="str">
        <f>IFERROR(VLOOKUP($C34,Base!$C$81:$J$86,8,0),"")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77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Positif</v>
      </c>
      <c r="I35" s="16" t="str">
        <f>IFERROR(VLOOKUP($C35,Base!$C$87:$J$92,5,0),"")</f>
        <v>Négatif</v>
      </c>
      <c r="J35" s="16" t="str">
        <f>IFERROR(VLOOKUP($C35,Base!$C$87:$J$92,6,0),"")</f>
        <v>Négatif</v>
      </c>
      <c r="K35" s="16" t="str">
        <f>IFERROR(VLOOKUP($C35,Base!$C$87:$J$92,7,0),"")</f>
        <v>Très négatif</v>
      </c>
      <c r="L35" s="16" t="str">
        <f>IFERROR(VLOOKUP($C35,Base!$C$87:$J$92,8,0),"")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79</v>
      </c>
      <c r="D36" s="8" t="s">
        <v>164</v>
      </c>
      <c r="E36" s="1"/>
      <c r="F36" s="16" t="str">
        <f>IFERROR(VLOOKUP($C36,Base!$C$101:$J$106,2,0),"")</f>
        <v>Positif</v>
      </c>
      <c r="G36" s="16" t="str">
        <f>IFERROR(VLOOKUP($C36,Base!$C$101:$J$106,3,0),"")</f>
        <v>Positif</v>
      </c>
      <c r="H36" s="16" t="str">
        <f>IFERROR(VLOOKUP($C36,Base!$C$101:$J$106,4,0),"")</f>
        <v>Positif</v>
      </c>
      <c r="I36" s="16" t="str">
        <f>IFERROR(VLOOKUP($C36,Base!$C$101:$J$106,5,0),"")</f>
        <v>Positif</v>
      </c>
      <c r="J36" s="16" t="str">
        <f>IFERROR(VLOOKUP($C36,Base!$C$101:$J$106,6,0),"")</f>
        <v>Positif</v>
      </c>
      <c r="K36" s="16" t="str">
        <f>IFERROR(VLOOKUP($C36,Base!$C$101:$J$106,7,0),"")</f>
        <v>Neutre</v>
      </c>
      <c r="L36" s="16" t="str">
        <f>IFERROR(VLOOKUP($C36,Base!$C$101:$J$106,8,0),"")</f>
        <v>Positif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87</v>
      </c>
      <c r="D37" s="8"/>
      <c r="E37" s="1"/>
      <c r="F37" s="16" t="str">
        <f>IFERROR(VLOOKUP($C37,Base!$C$107:$J$111,2,0),"")</f>
        <v>Négatif</v>
      </c>
      <c r="G37" s="16" t="str">
        <f>IFERROR(VLOOKUP($C37,Base!$C$107:$J$111,3,0),"")</f>
        <v>Négatif</v>
      </c>
      <c r="H37" s="16" t="str">
        <f>IFERROR(VLOOKUP($C37,Base!$C$107:$J$111,4,0),"")</f>
        <v>Négatif</v>
      </c>
      <c r="I37" s="16" t="str">
        <f>IFERROR(VLOOKUP($C37,Base!$C$107:$J$111,5,0),"")</f>
        <v>Négatif</v>
      </c>
      <c r="J37" s="16" t="str">
        <f>IFERROR(VLOOKUP($C37,Base!$C$107:$J$111,6,0),"")</f>
        <v>Négatif</v>
      </c>
      <c r="K37" s="16" t="str">
        <f>IFERROR(VLOOKUP($C37,Base!$C$107:$J$111,7,0),"")</f>
        <v>Très positif</v>
      </c>
      <c r="L37" s="16" t="str">
        <f>IFERROR(VLOOKUP($C37,Base!$C$107:$J$111,8,0),"")</f>
        <v>Négatif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15.75</v>
      </c>
      <c r="G38" s="20" cm="1">
        <f t="array" ref="G38">SUMPRODUCT(IF(G$12:G$37="Très Positif",2,0),$M$12:$M$37)+SUMPRODUCT(IF(G$12:G$37="Positif",1,0),$M$12:$M$37)+SUMPRODUCT(IF(G$12:G$37="Neutre",0.5,0),$M$12:$M$37)</f>
        <v>15.25</v>
      </c>
      <c r="H38" s="20" cm="1">
        <f t="array" ref="H38">SUMPRODUCT(IF(H$12:H$37="Très Positif",2,0),$M$12:$M$37)+SUMPRODUCT(IF(H$12:H$37="Positif",1,0),$M$12:$M$37)+SUMPRODUCT(IF(H$12:H$37="Neutre",0.5,0),$M$12:$M$37)</f>
        <v>12.5</v>
      </c>
      <c r="I38" s="20" cm="1">
        <f t="array" ref="I38">SUMPRODUCT(IF(I$12:I$37="Très Positif",2,0),$M$12:$M$37)+SUMPRODUCT(IF(I$12:I$37="Positif",1,0),$M$12:$M$37)+SUMPRODUCT(IF(I$12:I$37="Neutre",0.5,0),$M$12:$M$37)</f>
        <v>11.75</v>
      </c>
      <c r="J38" s="20" cm="1">
        <f t="array" ref="J38">SUMPRODUCT(IF(J$12:J$37="Très Positif",2,0),$M$12:$M$37)+SUMPRODUCT(IF(J$12:J$37="Positif",1,0),$M$12:$M$37)+SUMPRODUCT(IF(J$12:J$37="Neutre",0.5,0),$M$12:$M$37)</f>
        <v>16.5</v>
      </c>
      <c r="K38" s="20" cm="1">
        <f t="array" ref="K38">SUMPRODUCT(IF(K$12:K$37="Très Positif",2,0),$M$12:$M$37)+SUMPRODUCT(IF(K$12:K$37="Positif",1,0),$M$12:$M$37)+SUMPRODUCT(IF(K$12:K$37="Neutre",0.5,0),$M$12:$M$37)</f>
        <v>14</v>
      </c>
      <c r="L38" s="20" cm="1">
        <f t="array" ref="L38">SUMPRODUCT(IF(L$12:L$37="Très Positif",2,0),$M$12:$M$37)+SUMPRODUCT(IF(L$12:L$37="Positif",1,0),$M$12:$M$37)+SUMPRODUCT(IF(L$12:L$37="Neutre",0.5,0),$M$12:$M$37)</f>
        <v>16.75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13.25</v>
      </c>
      <c r="G39" s="21" cm="1">
        <f t="array" ref="G39">SUMPRODUCT(IF(G$12:G$37="Négatif",1,0),$M$12:$M$37)+SUMPRODUCT(IF(G$12:G$37="Très négatif",2,0),$M$12:$M$37)+SUMPRODUCT(IF(G$12:G$37="Neutre",0.5,0),$M$12:$M$37)</f>
        <v>12.75</v>
      </c>
      <c r="H39" s="21" cm="1">
        <f t="array" ref="H39">SUMPRODUCT(IF(H$12:H$37="Négatif",1,0),$M$12:$M$37)+SUMPRODUCT(IF(H$12:H$37="Très négatif",2,0),$M$12:$M$37)+SUMPRODUCT(IF(H$12:H$37="Neutre",0.5,0),$M$12:$M$37)</f>
        <v>12.5</v>
      </c>
      <c r="I39" s="21" cm="1">
        <f t="array" ref="I39">SUMPRODUCT(IF(I$12:I$37="Négatif",1,0),$M$12:$M$37)+SUMPRODUCT(IF(I$12:I$37="Très négatif",2,0),$M$12:$M$37)+SUMPRODUCT(IF(I$12:I$37="Neutre",0.5,0),$M$12:$M$37)</f>
        <v>11.25</v>
      </c>
      <c r="J39" s="21" cm="1">
        <f t="array" ref="J39">SUMPRODUCT(IF(J$12:J$37="Négatif",1,0),$M$12:$M$37)+SUMPRODUCT(IF(J$12:J$37="Très négatif",2,0),$M$12:$M$37)+SUMPRODUCT(IF(J$12:J$37="Neutre",0.5,0),$M$12:$M$37)</f>
        <v>10.5</v>
      </c>
      <c r="K39" s="21" cm="1">
        <f t="array" ref="K39">SUMPRODUCT(IF(K$12:K$37="Négatif",1,0),$M$12:$M$37)+SUMPRODUCT(IF(K$12:K$37="Très négatif",2,0),$M$12:$M$37)+SUMPRODUCT(IF(K$12:K$37="Neutre",0.5,0),$M$12:$M$37)</f>
        <v>10</v>
      </c>
      <c r="L39" s="21" cm="1">
        <f t="array" ref="L39">SUMPRODUCT(IF(L$12:L$37="Négatif",1,0),$M$12:$M$37)+SUMPRODUCT(IF(L$12:L$37="Très négatif",2,0),$M$12:$M$37)+SUMPRODUCT(IF(L$12:L$37="Neutre",0.5,0),$M$12:$M$37)</f>
        <v>9.75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0.5431034482758621</v>
      </c>
      <c r="G41" s="10">
        <f t="shared" si="2"/>
        <v>0.5446428571428571</v>
      </c>
      <c r="H41" s="10">
        <f t="shared" si="2"/>
        <v>0.5</v>
      </c>
      <c r="I41" s="10">
        <f t="shared" si="2"/>
        <v>0.51086956521739135</v>
      </c>
      <c r="J41" s="10">
        <f t="shared" si="2"/>
        <v>0.61111111111111116</v>
      </c>
      <c r="K41" s="10">
        <f t="shared" si="2"/>
        <v>0.58333333333333337</v>
      </c>
      <c r="L41" s="10">
        <f t="shared" si="2"/>
        <v>0.63207547169811318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3</v>
      </c>
      <c r="G42" s="34">
        <f>RANK(G41,F41:L41,1)</f>
        <v>4</v>
      </c>
      <c r="H42" s="34">
        <f>RANK(H41,F41:L41,1)</f>
        <v>1</v>
      </c>
      <c r="I42" s="34">
        <f>RANK(I41,F41:L41,1)</f>
        <v>2</v>
      </c>
      <c r="J42" s="34">
        <f>RANK(J41,F41:L41,1)</f>
        <v>6</v>
      </c>
      <c r="K42" s="34">
        <f>RANK(K41,F41:L41,1)</f>
        <v>5</v>
      </c>
      <c r="L42" s="34">
        <f>RANK(L41,F41:L41,1)</f>
        <v>7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0.5083333333333333</v>
      </c>
      <c r="G47" s="10">
        <v>0.5431034482758621</v>
      </c>
      <c r="H47" s="10">
        <v>0.51851851851851849</v>
      </c>
      <c r="I47" s="10">
        <v>0.49074074074074076</v>
      </c>
      <c r="J47" s="10">
        <v>0.61290322580645162</v>
      </c>
      <c r="K47" s="10">
        <v>0.64516129032258063</v>
      </c>
      <c r="L47" s="10">
        <v>0.64925373134328357</v>
      </c>
    </row>
    <row r="49" spans="6:12" x14ac:dyDescent="0.2">
      <c r="F49" s="51">
        <f>F47-F41</f>
        <v>-3.4770114942528796E-2</v>
      </c>
      <c r="G49" s="51">
        <f t="shared" ref="G49:L49" si="4">G47-G41</f>
        <v>-1.5394088669949957E-3</v>
      </c>
      <c r="H49" s="51">
        <f t="shared" si="4"/>
        <v>1.851851851851849E-2</v>
      </c>
      <c r="I49" s="51">
        <f t="shared" si="4"/>
        <v>-2.0128824476650597E-2</v>
      </c>
      <c r="J49" s="54">
        <f t="shared" si="4"/>
        <v>1.7921146953404632E-3</v>
      </c>
      <c r="K49" s="50">
        <f t="shared" si="4"/>
        <v>6.1827956989247257E-2</v>
      </c>
      <c r="L49" s="54">
        <f t="shared" si="4"/>
        <v>1.7178259645170391E-2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2025-09-19T14:27:19Z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