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609" documentId="8_{E634FC12-7DD1-413A-8F43-186915709F53}" xr6:coauthVersionLast="47" xr6:coauthVersionMax="47" xr10:uidLastSave="{62666266-A268-4BD7-AAB9-4324E2A22505}"/>
  <bookViews>
    <workbookView xWindow="20370" yWindow="-120" windowWidth="29040" windowHeight="15720" activeTab="1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K54" i="1"/>
  <c r="L54" i="1"/>
  <c r="G54" i="1"/>
  <c r="H54" i="1"/>
  <c r="I54" i="1"/>
  <c r="G49" i="1"/>
  <c r="H49" i="1"/>
  <c r="I49" i="1"/>
  <c r="J49" i="1"/>
  <c r="K49" i="1"/>
  <c r="L49" i="1"/>
  <c r="F49" i="1"/>
  <c r="F23" i="1"/>
  <c r="G23" i="1"/>
  <c r="F54" i="1" l="1"/>
  <c r="J23" i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G42" i="1" l="1"/>
  <c r="F42" i="1"/>
  <c r="J48" i="1"/>
  <c r="J53" i="1"/>
  <c r="G48" i="1"/>
  <c r="G53" i="1"/>
  <c r="H48" i="1"/>
  <c r="H53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<sst xmlns="http://schemas.openxmlformats.org/spreadsheetml/2006/main" count="998" uniqueCount="156">
  <si>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</si>
  <si>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</si>
  <si>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</si>
  <si>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</si>
  <si>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</si>
  <si>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</si>
  <si>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</si>
  <si>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</si>
  <si>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</si>
  <si>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</si>
  <si>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</si>
  <si>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</si>
  <si>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</si>
  <si>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</si>
  <si>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</si>
  <si>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</si>
  <si>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</si>
  <si>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</si>
  <si>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</si>
  <si>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</si>
  <si>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</si>
  <si>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</si>
  <si>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</si>
  <si>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</si>
  <si>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</si>
  <si>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</si>
  <si>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</si>
  <si>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</si>
  <si>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</si>
  <si>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</si>
  <si>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</si>
  <si>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</si>
  <si>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</si>
  <si>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</si>
  <si>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</si>
  <si>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</si>
  <si>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</si>
  <si>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</si>
  <si>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</si>
  <si>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</si>
  <si>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</si>
  <si>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</si>
  <si>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</si>
  <si>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</si>
  <si>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</si>
  <si>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</si>
  <si>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</si>
  <si>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</si>
  <si>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</si>
  <si>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</si>
  <si>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</si>
  <si>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</si>
  <si>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</si>
  <si>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</si>
  <si>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</si>
  <si>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</si>
  <si>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</si>
  <si>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</si>
  <si>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</si>
  <si>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</si>
  <si>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</si>
  <si>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</si>
  <si>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</si>
  <si>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</si>
  <si>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</si>
  <si>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</si>
  <si>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</si>
  <si>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</si>
  <si>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</si>
  <si>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</si>
  <si>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</si>
  <si>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</si>
  <si>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</si>
  <si>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</si>
  <si>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</si>
  <si>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</si>
  <si>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</si>
  <si>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</si>
  <si>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</si>
  <si>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</si>
  <si>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</si>
  <si>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</si>
  <si>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</si>
  <si>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</si>
  <si>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</si>
  <si>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</si>
  <si>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</si>
  <si>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</si>
  <si>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</si>
  <si>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</si>
  <si>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</si>
  <si>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</si>
  <si>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</si>
  <si>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</si>
  <si>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</si>
  <si>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</si>
  <si>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</si>
  <si>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</si>
  <si>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</si>
  <si>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</si>
  <si>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</si>
  <si>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</si>
  <si>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</si>
  <si>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</si>
  <si>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</si>
  <si>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</si>
  <si>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</si>
  <si>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</si>
  <si>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</si>
  <si>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</si>
  <si>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</si>
  <si>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</si>
  <si>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</si>
  <si>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</si>
  <si>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</si>
  <si>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</si>
  <si>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</si>
  <si>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</si>
  <si>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</si>
  <si>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</si>
  <si>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</si>
  <si>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</si>
  <si>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</si>
  <si>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</si>
  <si>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</si>
  <si>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</si>
  <si>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</si>
  <si>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</si>
  <si>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</si>
  <si>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</si>
  <si>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</si>
  <si>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</si>
  <si>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</si>
  <si>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</si>
  <si>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</si>
  <si>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</si>
  <si>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</si>
  <si>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</si>
  <si>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</si>
  <si>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</si>
  <si>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</si>
  <si>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</si>
  <si>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</si>
  <si>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</si>
  <si>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</si>
  <si>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</si>
  <si>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</si>
  <si>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</si>
  <si>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</si>
  <si>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</si>
  <si>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</si>
  <si>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</si>
  <si>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</si>
  <si>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Friche de la Folie</t>
  </si>
  <si>
    <t>Ville de Thouars</t>
  </si>
  <si>
    <t>Thouars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</si>
</sst>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rgb="FF869EC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18" borderId="0" xfId="18" applyNumberFormat="1" applyFont="1" applyFill="1">
      <alignment horizontal="center" vertical="center" wrapText="1"/>
      <protection hidden="1"/>
    </xf>
    <xf numFmtId="0" fontId="0" fillId="19" borderId="0" xfId="0" applyFill="1" applyAlignment="1">
      <alignment horizontal="left" vertical="center" wrapText="1"/>
      <protection hidden="1"/>
    </xf>
    <xf numFmtId="0" fontId="0" fillId="19" borderId="0" xfId="0" applyFill="1">
      <alignment vertical="center" wrapText="1"/>
      <protection hidden="1"/>
    </xf>
    <xf numFmtId="0" fontId="1" fillId="20" borderId="0" xfId="18" applyFill="1">
      <alignment horizontal="center" vertical="center" wrapText="1"/>
      <protection hidden="1"/>
    </xf>
    <xf numFmtId="0" fontId="0" fillId="21" borderId="0" xfId="18" applyFont="1" applyFill="1">
      <alignment horizontal="center" vertical="center" wrapText="1"/>
      <protection hidden="1"/>
    </xf>
    <xf numFmtId="0" fontId="3" fillId="19" borderId="0" xfId="0" applyFont="1" applyFill="1">
      <alignment vertical="center" wrapText="1"/>
      <protection hidden="1"/>
    </xf>
    <xf numFmtId="165" fontId="0" fillId="20" borderId="2" xfId="18" applyNumberFormat="1" applyFont="1" applyFill="1" applyBorder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19" borderId="0" xfId="0" applyFill="1" applyAlignment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164" fontId="0" fillId="23" borderId="0" xfId="18" applyNumberFormat="1" applyFont="1" applyFill="1">
      <alignment horizontal="center" vertical="center" wrapText="1"/>
      <protection hidden="1"/>
    </xf>
    <xf numFmtId="0" fontId="0" fillId="23" borderId="0" xfId="0" applyFill="1" applyAlignment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opLeftCell="B13" zoomScale="68" zoomScaleNormal="48" workbookViewId="0">
      <selection activeCell="I41" sqref="H41:I4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3" t="s">
        <v>89</v>
      </c>
      <c r="D6" s="53"/>
      <c r="E6" s="53"/>
      <c r="F6" s="53"/>
      <c r="G6" s="53"/>
      <c r="H6" s="53"/>
      <c r="I6" s="53"/>
      <c r="J6" s="53"/>
      <c r="K6" s="53"/>
      <c r="L6" s="53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/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154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155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39</v>
      </c>
      <c r="D16" s="8" t="s">
        <v>132</v>
      </c>
      <c r="E16" s="1"/>
      <c r="F16" s="15" t="str">
        <f>IFERROR(VLOOKUP($C16,Base!$C$2:$J$6,2,0),"")</f>
        <v>Très positif</v>
      </c>
      <c r="G16" s="15" t="str">
        <f>IFERROR(VLOOKUP($C16,Base!$C$2:$J$6,3,0),"")</f>
        <v>Très positif</v>
      </c>
      <c r="H16" s="15" t="str">
        <f>IFERROR(VLOOKUP($C16,Base!$C$2:$J$6,4,0),"")</f>
        <v>Positif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Positif</v>
      </c>
      <c r="L16" s="15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53700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Négatif</v>
      </c>
      <c r="G17" s="15" t="str">
        <f>IFERROR(SUBSTITUTE(IF($C$17="","",IF($C$17&lt;Base!$C$7,Base!E$7,IF(AND($C$17&gt;=Base!$C$7,$C$17&lt;Base!$C$8),Base!E$8,IF($C$17&gt;=Base!$C$10,Base!E$10,Base!E$9)))),"0",""),"")</f>
        <v>Négatif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Négatif</v>
      </c>
      <c r="J17" s="15" t="str">
        <f>IFERROR(SUBSTITUTE(IF($C$17="","",IF($C$17&lt;Base!$C$7,Base!H$7,IF(AND($C$17&gt;=Base!$C$7,$C$17&lt;Base!$C$8),Base!H$8,IF($C$17&gt;=Base!$C$10,Base!H$10,Base!H$9)))),"0",""),"")</f>
        <v>Très positif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0</v>
      </c>
      <c r="D18" s="8" t="s">
        <v>132</v>
      </c>
      <c r="E18" s="1"/>
      <c r="F18" s="45" t="str">
        <f>IFERROR(SUBSTITUTE(IF($C$18="","",IF($C$18&lt;Base!$C$11,Base!D$11,IF($C$18&lt;=Base!$C$13,Base!D$12,Base!D$13))),"0",""),"")</f>
        <v>Positif</v>
      </c>
      <c r="G18" s="45" t="str">
        <f>IFERROR(SUBSTITUTE(IF($C$18="","",IF($C$18&lt;Base!$C$11,Base!E$11,IF($C$18&lt;=Base!$C$13,Base!E$12,Base!E$13))),"0",""),"")</f>
        <v>Neutre</v>
      </c>
      <c r="H18" s="45" t="str">
        <f>IFERROR(SUBSTITUTE(IF($C$18="","",IF($C$18&lt;Base!$C$11,Base!F$11,IF($C$18&lt;=Base!$C$13,Base!F$12,Base!F$13))),"0",""),"")</f>
        <v>Neutre</v>
      </c>
      <c r="I18" s="45" t="str">
        <f>IFERROR(SUBSTITUTE(IF($C$18="","",IF($C$18&lt;Base!$C$11,Base!G$11,IF($C$18&lt;=Base!$C$13,Base!G$12,Base!G$13))),"0",""),"")</f>
        <v>Neutre</v>
      </c>
      <c r="J18" s="45" t="str">
        <f>IFERROR(SUBSTITUTE(IF($C$18="","",IF($C$18&lt;Base!$C$11,Base!H$11,IF($C$18&lt;=Base!$C$13,Base!H$12,Base!H$13))),"0",""),"")</f>
        <v>Très négatif</v>
      </c>
      <c r="K18" s="45" t="str">
        <f>IFERROR(SUBSTITUTE(IF($C$18="","",IF($C$18&lt;Base!$C$11,Base!I$11,IF($C$18&lt;=Base!$C$13,Base!I$12,Base!I$13))),"0",""),"")</f>
        <v>Positif</v>
      </c>
      <c r="L18" s="45" t="str">
        <f>IFERROR(SUBSTITUTE(IF($C$18="","",IF($C$18&lt;Base!$C$11,Base!J$11,IF($C$18&lt;=Base!$C$13,Base!J$12,Base!J$13))),"0",""),"")</f>
        <v>Positif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17</v>
      </c>
      <c r="D20" s="8" t="s">
        <v>123</v>
      </c>
      <c r="E20" s="1"/>
      <c r="F20" s="15" t="str">
        <f>IFERROR(VLOOKUP($C20,Base!$C$14:$J$19,2,0),"")</f>
        <v/>
      </c>
      <c r="G20" s="15" t="str">
        <f>IFERROR(VLOOKUP($C20,Base!$C$14:$J$19,3,0),"")</f>
        <v/>
      </c>
      <c r="H20" s="15" t="str">
        <f>IFERROR(VLOOKUP($C20,Base!$C$14:$J$19,4,0),"")</f>
        <v/>
      </c>
      <c r="I20" s="15" t="str">
        <f>IFERROR(VLOOKUP($C20,Base!$C$14:$J$19,5,0),"")</f>
        <v/>
      </c>
      <c r="J20" s="15" t="str">
        <f>IFERROR(VLOOKUP($C20,Base!$C$14:$J$19,6,0),"")</f>
        <v/>
      </c>
      <c r="K20" s="15" t="str">
        <f>IFERROR(VLOOKUP($C20,Base!$C$14:$J$19,7,0),"")</f>
        <v/>
      </c>
      <c r="L20" s="15" t="str">
        <f>IFERROR(VLOOKUP($C20,Base!$C$14:$J$19,8,0),"")</f>
        <v/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120</v>
      </c>
      <c r="D21" s="8" t="s">
        <v>133</v>
      </c>
      <c r="E21" s="1"/>
      <c r="F21" s="15" t="str">
        <f>IFERROR(VLOOKUP($C21,Base!$C$20:$J$24,2,0),"")</f>
        <v>Très négatif</v>
      </c>
      <c r="G21" s="15" t="str">
        <f>IFERROR(VLOOKUP($C21,Base!$C$20:$J$24,3,0),"")</f>
        <v>Très négatif</v>
      </c>
      <c r="H21" s="15" t="str">
        <f>IFERROR(VLOOKUP($C21,Base!$C$20:$J$24,4,0),"")</f>
        <v>Très négatif</v>
      </c>
      <c r="I21" s="15" t="str">
        <f>IFERROR(VLOOKUP($C21,Base!$C$20:$J$24,5,0),"")</f>
        <v>Négatif</v>
      </c>
      <c r="J21" s="15" t="str">
        <f>IFERROR(VLOOKUP($C21,Base!$C$20:$J$24,6,0),"")</f>
        <v>Négatif</v>
      </c>
      <c r="K21" s="15" t="str">
        <f>IFERROR(VLOOKUP($C21,Base!$C$20:$J$24,7,0),"")</f>
        <v>Neutre</v>
      </c>
      <c r="L21" s="15" t="str">
        <f>IFERROR(VLOOKUP($C21,Base!$C$20:$J$24,8,0),"")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51</v>
      </c>
      <c r="D22" s="8" t="s">
        <v>134</v>
      </c>
      <c r="E22" s="1"/>
      <c r="F22" s="15" t="str">
        <f>IFERROR(VLOOKUP($C22,Base!$C$25:$J$27,2,0),"")</f>
        <v>Très négatif</v>
      </c>
      <c r="G22" s="15" t="str">
        <f>IFERROR(VLOOKUP($C22,Base!$C$25:$J$27,3,0),"")</f>
        <v>Négatif</v>
      </c>
      <c r="H22" s="15" t="str">
        <f>IFERROR(VLOOKUP($C22,Base!$C$25:$J$27,4,0),"")</f>
        <v>Neutre</v>
      </c>
      <c r="I22" s="15" t="str">
        <f>IFERROR(VLOOKUP($C22,Base!$C$25:$J$27,5,0),"")</f>
        <v>Négatif</v>
      </c>
      <c r="J22" s="15" t="str">
        <f>IFERROR(VLOOKUP($C22,Base!$C$25:$J$27,6,0),"")</f>
        <v>Très positif</v>
      </c>
      <c r="K22" s="15" t="str">
        <f>IFERROR(VLOOKUP($C22,Base!$C$25:$J$27,7,0),"")</f>
        <v>Positif</v>
      </c>
      <c r="L22" s="15" t="str">
        <f>IFERROR(VLOOKUP($C22,Base!$C$25:$J$27,8,0),"")</f>
        <v>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11.3</v>
      </c>
      <c r="D23" s="8" t="s">
        <v>124</v>
      </c>
      <c r="E23" s="1"/>
      <c r="F23" s="45" t="str">
        <f>IFERROR(IF(C23&lt;Base!C28,Base!D28,IF(C23&lt;Base!C29,Base!D29,IF(C23&lt;Base!C30,Base!D30,Base!D31))),"")</f>
        <v>Très négatif</v>
      </c>
      <c r="G23" s="45" t="str">
        <f>IFERROR(IF(D23&lt;Base!D28,Base!E28,IF(D23&lt;Base!D29,Base!E29,IF(D23&lt;Base!D30,Base!E30,Base!E31))),"")</f>
        <v>Neutre</v>
      </c>
      <c r="H23" s="45" t="str">
        <f>IFERROR(IF(E23&lt;Base!E28,Base!F28,IF(E23&lt;Base!E29,Base!F29,IF(E23&lt;Base!E30,Base!F30,Base!F31))),"")</f>
        <v>Neutre</v>
      </c>
      <c r="I23" s="45" t="str">
        <f>IFERROR(IF(F23&lt;Base!F28,Base!G28,IF(F23&lt;Base!F29,Base!G29,IF(F23&lt;Base!F30,Base!G30,Base!G31))),"")</f>
        <v>Neutre</v>
      </c>
      <c r="J23" s="45" t="str">
        <f>IFERROR(IF(G23&lt;Base!G28,Base!H28,IF(G23&lt;Base!G29,Base!H29,IF(G23&lt;Base!G30,Base!H30,Base!H31))),"")</f>
        <v>Neutre</v>
      </c>
      <c r="K23" s="45" t="str">
        <f>IFERROR(IF(H23&lt;Base!H28,Base!I28,IF(H23&lt;Base!H29,Base!I29,IF(H23&lt;Base!H30,Base!I30,Base!I31))),"")</f>
        <v>Neutre</v>
      </c>
      <c r="L23" s="45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83</v>
      </c>
      <c r="D25" s="8" t="s">
        <v>126</v>
      </c>
      <c r="E25" s="1"/>
      <c r="F25" s="15" t="str">
        <f>IFERROR(VLOOKUP($C25,Base!$C$35:$J$38,2,0),"")</f>
        <v>Positif</v>
      </c>
      <c r="G25" s="15" t="str">
        <f>IFERROR(VLOOKUP($C25,Base!$C$35:$J$38,3,0),"")</f>
        <v>Positif</v>
      </c>
      <c r="H25" s="15" t="str">
        <f>IFERROR(VLOOKUP($C25,Base!$C$35:$J$38,4,0),"")</f>
        <v>Neutre</v>
      </c>
      <c r="I25" s="15" t="str">
        <f>IFERROR(VLOOKUP($C25,Base!$C$35:$J$38,5,0),"")</f>
        <v>Positif</v>
      </c>
      <c r="J25" s="15" t="str">
        <f>IFERROR(VLOOKUP($C25,Base!$C$35:$J$38,6,0),"")</f>
        <v>Très positif</v>
      </c>
      <c r="K25" s="15" t="str">
        <f>IFERROR(VLOOKUP($C25,Base!$C$35:$J$38,7,0),"")</f>
        <v>Neutre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91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Très négatif</v>
      </c>
      <c r="K26" s="15" t="str">
        <f>IFERROR(VLOOKUP($C26,Base!$C$39:$J$43,7,0),"")</f>
        <v>Neutre</v>
      </c>
      <c r="L26" s="15" t="str">
        <f>IFERROR(VLOOKUP($C26,Base!$C$39:$J$43,8,0),"")</f>
        <v>Très 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110</v>
      </c>
      <c r="D27" s="8" t="s">
        <v>125</v>
      </c>
      <c r="E27" s="1"/>
      <c r="F27" s="15" t="str">
        <f>IFERROR(VLOOKUP($C27,Base!$C$44:$J$46,2,0),"")</f>
        <v>Positif</v>
      </c>
      <c r="G27" s="15" t="str">
        <f>IFERROR(VLOOKUP($C27,Base!$C$44:$J$46,3,0),"")</f>
        <v>Positif</v>
      </c>
      <c r="H27" s="15" t="str">
        <f>IFERROR(VLOOKUP($C27,Base!$C$44:$J$46,4,0),"")</f>
        <v>Positif</v>
      </c>
      <c r="I27" s="15" t="str">
        <f>IFERROR(VLOOKUP($C27,Base!$C$44:$J$46,5,0),"")</f>
        <v>Positif</v>
      </c>
      <c r="J27" s="15" t="str">
        <f>IFERROR(VLOOKUP($C27,Base!$C$44:$J$46,6,0),"")</f>
        <v>Positif</v>
      </c>
      <c r="K27" s="15" t="str">
        <f>IFERROR(VLOOKUP($C27,Base!$C$44:$J$46,7,0),"")</f>
        <v>Neutre</v>
      </c>
      <c r="L27" s="15" t="str">
        <f>IFERROR(VLOOKUP($C27,Base!$C$44:$J$46,8,0),"")</f>
        <v>Négatif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50</v>
      </c>
      <c r="D28" s="8" t="s">
        <v>125</v>
      </c>
      <c r="E28" s="1"/>
      <c r="F28" s="15" t="str">
        <f>IFERROR(VLOOKUP($C28,Base!$C$47:$J$49,2,0),"")</f>
        <v>Très positif</v>
      </c>
      <c r="G28" s="15" t="str">
        <f>IFERROR(VLOOKUP($C28,Base!$C$47:$J$49,3,0),"")</f>
        <v>Très positif</v>
      </c>
      <c r="H28" s="15" t="str">
        <f>IFERROR(VLOOKUP($C28,Base!$C$47:$J$49,4,0),"")</f>
        <v>Neutre</v>
      </c>
      <c r="I28" s="15" t="str">
        <f>IFERROR(VLOOKUP($C28,Base!$C$47:$J$49,5,0),"")</f>
        <v>Positif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118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Négatif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47</v>
      </c>
      <c r="D30" s="8" t="s">
        <v>128</v>
      </c>
      <c r="E30" s="1"/>
      <c r="F30" s="15" t="str">
        <f>IFERROR(VLOOKUP($C30,Base!$C$58:$J$66,2,0),"")</f>
        <v>-</v>
      </c>
      <c r="G30" s="15" t="str">
        <f>IFERROR(VLOOKUP($C30,Base!$C$58:$J$66,3,0),"")</f>
        <v>-</v>
      </c>
      <c r="H30" s="15" t="str">
        <f>IFERROR(VLOOKUP($C30,Base!$C$58:$J$66,4,0),"")</f>
        <v>-</v>
      </c>
      <c r="I30" s="15" t="str">
        <f>IFERROR(VLOOKUP($C30,Base!$C$58:$J$66,5,0),"")</f>
        <v>-</v>
      </c>
      <c r="J30" s="15" t="str">
        <f>IFERROR(VLOOKUP($C30,Base!$C$58:$J$66,6,0),"")</f>
        <v>-</v>
      </c>
      <c r="K30" s="15" t="str">
        <f>IFERROR(VLOOKUP($C30,Base!$C$58:$J$66,7,0),"")</f>
        <v>-</v>
      </c>
      <c r="L30" s="15" t="str">
        <f>IFERROR(VLOOKUP($C30,Base!$C$58:$J$66,8,0),"")</f>
        <v>-</v>
      </c>
      <c r="M30" s="47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58</v>
      </c>
      <c r="D31" s="8" t="s">
        <v>129</v>
      </c>
      <c r="E31" s="1"/>
      <c r="F31" s="15" t="str">
        <f>IFERROR(VLOOKUP($C31,Base!$C$67:$J$71,2,0),"")</f>
        <v>Neutre</v>
      </c>
      <c r="G31" s="15" t="str">
        <f>IFERROR(VLOOKUP($C31,Base!$C$67:$J$71,3,0),"")</f>
        <v>Neutre</v>
      </c>
      <c r="H31" s="15" t="str">
        <f>IFERROR(VLOOKUP($C31,Base!$C$67:$J$71,4,0),"")</f>
        <v>Neutre</v>
      </c>
      <c r="I31" s="15" t="str">
        <f>IFERROR(VLOOKUP($C31,Base!$C$67:$J$71,5,0),"")</f>
        <v>Neutre</v>
      </c>
      <c r="J31" s="15" t="str">
        <f>IFERROR(VLOOKUP($C31,Base!$C$67:$J$71,6,0),"")</f>
        <v>Neutre</v>
      </c>
      <c r="K31" s="15" t="str">
        <f>IFERROR(VLOOKUP($C31,Base!$C$67:$J$71,7,0),"")</f>
        <v>Neutre</v>
      </c>
      <c r="L31" s="15" t="str">
        <f>IFERROR(VLOOKUP($C31,Base!$C$67:$J$71,8,0),"")</f>
        <v>Neutre</v>
      </c>
      <c r="M31" s="47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62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Négatif</v>
      </c>
      <c r="I34" s="15" t="str">
        <f>IFERROR(VLOOKUP($C34,Base!$C$79:$J$82,5,0),"")</f>
        <v>Neutre</v>
      </c>
      <c r="J34" s="15" t="str">
        <f>IFERROR(VLOOKUP($C34,Base!$C$79:$J$82,6,0),"")</f>
        <v>Positif</v>
      </c>
      <c r="K34" s="15" t="str">
        <f>IFERROR(VLOOKUP($C34,Base!$C$79:$J$82,7,0),"")</f>
        <v>Positif</v>
      </c>
      <c r="L34" s="15" t="str">
        <f>IFERROR(VLOOKUP($C34,Base!$C$79:$J$82,8,0),"")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149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Positif</v>
      </c>
      <c r="I35" s="15" t="str">
        <f>IFERROR(VLOOKUP($C35,Base!$C$83:$J$86,5,0),"")</f>
        <v>Neutre</v>
      </c>
      <c r="J35" s="15" t="str">
        <f>IFERROR(VLOOKUP($C35,Base!$C$83:$J$86,6,0),"")</f>
        <v>Négatif</v>
      </c>
      <c r="K35" s="15" t="str">
        <f>IFERROR(VLOOKUP($C35,Base!$C$83:$J$86,7,0),"")</f>
        <v>Très négatif</v>
      </c>
      <c r="L35" s="15" t="str">
        <f>IFERROR(VLOOKUP($C35,Base!$C$83:$J$86,8,0),"")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64</v>
      </c>
      <c r="D36" s="8" t="s">
        <v>135</v>
      </c>
      <c r="E36" s="1"/>
      <c r="F36" s="15" t="str">
        <f>IFERROR(VLOOKUP($C36,Base!$C$87:$J$92,2,0),"")</f>
        <v>Positif</v>
      </c>
      <c r="G36" s="15" t="str">
        <f>IFERROR(VLOOKUP($C36,Base!$C$87:$J$92,3,0),"")</f>
        <v>Positif</v>
      </c>
      <c r="H36" s="15" t="str">
        <f>IFERROR(VLOOKUP($C36,Base!$C$87:$J$92,4,0),"")</f>
        <v>Positif</v>
      </c>
      <c r="I36" s="15" t="str">
        <f>IFERROR(VLOOKUP($C36,Base!$C$87:$J$92,5,0),"")</f>
        <v>Positif</v>
      </c>
      <c r="J36" s="15" t="str">
        <f>IFERROR(VLOOKUP($C36,Base!$C$87:$J$92,6,0),"")</f>
        <v>Positif</v>
      </c>
      <c r="K36" s="15" t="str">
        <f>IFERROR(VLOOKUP($C36,Base!$C$87:$J$92,7,0),"")</f>
        <v>Neutre</v>
      </c>
      <c r="L36" s="15" t="str">
        <f>IFERROR(VLOOKUP($C36,Base!$C$87:$J$92,8,0),"")</f>
        <v>Positif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72</v>
      </c>
      <c r="D37" s="8"/>
      <c r="E37" s="1"/>
      <c r="F37" s="15" t="str">
        <f>IFERROR(VLOOKUP($C37,Base!$C$93:$J$97,2,0),"")</f>
        <v>Négatif</v>
      </c>
      <c r="G37" s="15" t="str">
        <f>IFERROR(VLOOKUP($C37,Base!$C$93:$J$97,3,0),"")</f>
        <v>Négatif</v>
      </c>
      <c r="H37" s="15" t="str">
        <f>IFERROR(VLOOKUP($C37,Base!$C$93:$J$97,4,0),"")</f>
        <v>Négatif</v>
      </c>
      <c r="I37" s="15" t="str">
        <f>IFERROR(VLOOKUP($C37,Base!$C$93:$J$97,5,0),"")</f>
        <v>Négatif</v>
      </c>
      <c r="J37" s="15" t="str">
        <f>IFERROR(VLOOKUP($C37,Base!$C$93:$J$97,6,0),"")</f>
        <v>Négatif</v>
      </c>
      <c r="K37" s="15" t="str">
        <f>IFERROR(VLOOKUP($C37,Base!$C$93:$J$97,7,0),"")</f>
        <v>Très positif</v>
      </c>
      <c r="L37" s="15" t="str">
        <f>IFERROR(VLOOKUP($C37,Base!$C$93:$J$97,8,0),"")</f>
        <v>Négatif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14.75</v>
      </c>
      <c r="G38" s="19" cm="1">
        <f t="array" ref="G38">SUMPRODUCT(IF(G$12:G$37="Très Positif",2,0),$M$12:$M$37)+SUMPRODUCT(IF(G$12:G$37="Positif",1,0),$M$12:$M$37)+SUMPRODUCT(IF(G$12:G$37="Neutre",0.5,0),$M$12:$M$37)</f>
        <v>14.25</v>
      </c>
      <c r="H38" s="19" cm="1">
        <f t="array" ref="H38">SUMPRODUCT(IF(H$12:H$37="Très Positif",2,0),$M$12:$M$37)+SUMPRODUCT(IF(H$12:H$37="Positif",1,0),$M$12:$M$37)+SUMPRODUCT(IF(H$12:H$37="Neutre",0.5,0),$M$12:$M$37)</f>
        <v>12.5</v>
      </c>
      <c r="I38" s="19" cm="1">
        <f t="array" ref="I38">SUMPRODUCT(IF(I$12:I$37="Très Positif",2,0),$M$12:$M$37)+SUMPRODUCT(IF(I$12:I$37="Positif",1,0),$M$12:$M$37)+SUMPRODUCT(IF(I$12:I$37="Neutre",0.5,0),$M$12:$M$37)</f>
        <v>11.75</v>
      </c>
      <c r="J38" s="19" cm="1">
        <f t="array" ref="J38">SUMPRODUCT(IF(J$12:J$37="Très Positif",2,0),$M$12:$M$37)+SUMPRODUCT(IF(J$12:J$37="Positif",1,0),$M$12:$M$37)+SUMPRODUCT(IF(J$12:J$37="Neutre",0.5,0),$M$12:$M$37)</f>
        <v>16.5</v>
      </c>
      <c r="K38" s="19" cm="1">
        <f t="array" ref="K38">SUMPRODUCT(IF(K$12:K$37="Très Positif",2,0),$M$12:$M$37)+SUMPRODUCT(IF(K$12:K$37="Positif",1,0),$M$12:$M$37)+SUMPRODUCT(IF(K$12:K$37="Neutre",0.5,0),$M$12:$M$37)</f>
        <v>15</v>
      </c>
      <c r="L38" s="19" cm="1">
        <f t="array" ref="L38">SUMPRODUCT(IF(L$12:L$37="Très Positif",2,0),$M$12:$M$37)+SUMPRODUCT(IF(L$12:L$37="Positif",1,0),$M$12:$M$37)+SUMPRODUCT(IF(L$12:L$37="Neutre",0.5,0),$M$12:$M$37)</f>
        <v>16.25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14.25</v>
      </c>
      <c r="G39" s="20" cm="1">
        <f t="array" ref="G39">SUMPRODUCT(IF(G$12:G$37="Négatif",1,0),$M$12:$M$37)+SUMPRODUCT(IF(G$12:G$37="Très négatif",2,0),$M$12:$M$37)+SUMPRODUCT(IF(G$12:G$37="Neutre",0.5,0),$M$12:$M$37)</f>
        <v>12.75</v>
      </c>
      <c r="H39" s="20" cm="1">
        <f t="array" ref="H39">SUMPRODUCT(IF(H$12:H$37="Négatif",1,0),$M$12:$M$37)+SUMPRODUCT(IF(H$12:H$37="Très négatif",2,0),$M$12:$M$37)+SUMPRODUCT(IF(H$12:H$37="Neutre",0.5,0),$M$12:$M$37)</f>
        <v>12.5</v>
      </c>
      <c r="I39" s="20" cm="1">
        <f t="array" ref="I39">SUMPRODUCT(IF(I$12:I$37="Négatif",1,0),$M$12:$M$37)+SUMPRODUCT(IF(I$12:I$37="Très négatif",2,0),$M$12:$M$37)+SUMPRODUCT(IF(I$12:I$37="Neutre",0.5,0),$M$12:$M$37)</f>
        <v>11.25</v>
      </c>
      <c r="J39" s="20" cm="1">
        <f t="array" ref="J39">SUMPRODUCT(IF(J$12:J$37="Négatif",1,0),$M$12:$M$37)+SUMPRODUCT(IF(J$12:J$37="Très négatif",2,0),$M$12:$M$37)+SUMPRODUCT(IF(J$12:J$37="Neutre",0.5,0),$M$12:$M$37)</f>
        <v>12.5</v>
      </c>
      <c r="K39" s="20" cm="1">
        <f t="array" ref="K39">SUMPRODUCT(IF(K$12:K$37="Négatif",1,0),$M$12:$M$37)+SUMPRODUCT(IF(K$12:K$37="Très négatif",2,0),$M$12:$M$37)+SUMPRODUCT(IF(K$12:K$37="Neutre",0.5,0),$M$12:$M$37)</f>
        <v>9</v>
      </c>
      <c r="L39" s="20" cm="1">
        <f t="array" ref="L39">SUMPRODUCT(IF(L$12:L$37="Négatif",1,0),$M$12:$M$37)+SUMPRODUCT(IF(L$12:L$37="Très négatif",2,0),$M$12:$M$37)+SUMPRODUCT(IF(L$12:L$37="Neutre",0.5,0),$M$12:$M$37)</f>
        <v>9.25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4" t="s">
        <v>35</v>
      </c>
      <c r="G40" s="54"/>
      <c r="H40" s="54"/>
      <c r="I40" s="54"/>
      <c r="J40" s="54"/>
      <c r="K40" s="54"/>
      <c r="L40" s="54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51">
        <f t="shared" ref="F41:L41" si="2">IF(F38+F39=0,0,F38/(F38+F39))</f>
        <v>0.50862068965517238</v>
      </c>
      <c r="G41" s="49">
        <f t="shared" si="2"/>
        <v>0.52777777777777779</v>
      </c>
      <c r="H41" s="51">
        <f t="shared" si="2"/>
        <v>0.5</v>
      </c>
      <c r="I41" s="51">
        <f t="shared" si="2"/>
        <v>0.51086956521739135</v>
      </c>
      <c r="J41" s="49">
        <f t="shared" si="2"/>
        <v>0.56896551724137934</v>
      </c>
      <c r="K41" s="51">
        <f t="shared" si="2"/>
        <v>0.625</v>
      </c>
      <c r="L41" s="51">
        <f t="shared" si="2"/>
        <v>0.63725490196078427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52">
        <f>RANK(F41,F41:L41,1)</f>
        <v>2</v>
      </c>
      <c r="G42" s="46">
        <f>RANK(G41,F41:L41,1)</f>
        <v>4</v>
      </c>
      <c r="H42" s="52">
        <f>RANK(H41,F41:L41,1)</f>
        <v>1</v>
      </c>
      <c r="I42" s="52">
        <f>RANK(I41,F41:L41,1)</f>
        <v>3</v>
      </c>
      <c r="J42" s="46">
        <f>RANK(J41,F41:L41,1)</f>
        <v>5</v>
      </c>
      <c r="K42" s="52">
        <f>RANK(K41,F41:L41,1)</f>
        <v>6</v>
      </c>
      <c r="L42" s="52">
        <f>RANK(L41,F41:L41,1)</f>
        <v>7</v>
      </c>
      <c r="M42" s="1"/>
      <c r="N42" s="1"/>
      <c r="Q42" s="1"/>
    </row>
    <row r="43" spans="1:17" s="18" customFormat="1" x14ac:dyDescent="0.2">
      <c r="D43" s="32" t="s">
        <v>93</v>
      </c>
      <c r="F43" s="52">
        <f t="shared" ref="F43:L43" si="3">COUNTIF(F16:F37,OR("Très négatif","Négatif","Neutre","Positif","Très positif"))</f>
        <v>0</v>
      </c>
      <c r="G43" s="46">
        <f t="shared" si="3"/>
        <v>0</v>
      </c>
      <c r="H43" s="52">
        <f t="shared" si="3"/>
        <v>0</v>
      </c>
      <c r="I43" s="52">
        <f t="shared" si="3"/>
        <v>0</v>
      </c>
      <c r="J43" s="46">
        <f t="shared" si="3"/>
        <v>0</v>
      </c>
      <c r="K43" s="52">
        <f t="shared" si="3"/>
        <v>0</v>
      </c>
      <c r="L43" s="52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50">
        <v>0.5083333333333333</v>
      </c>
      <c r="G47" s="50">
        <v>0.5431034482758621</v>
      </c>
      <c r="H47" s="50">
        <v>0.51851851851851849</v>
      </c>
      <c r="I47" s="50">
        <v>0.49074074074074076</v>
      </c>
      <c r="J47" s="50">
        <v>0.61290322580645162</v>
      </c>
      <c r="K47" s="50">
        <v>0.64516129032258063</v>
      </c>
      <c r="L47" s="50">
        <v>0.64925373134328357</v>
      </c>
    </row>
    <row r="48" spans="1:17" x14ac:dyDescent="0.2">
      <c r="F48" s="38">
        <f t="shared" ref="F48:L48" si="4">F47-F41</f>
        <v>-2.8735632183907178E-4</v>
      </c>
      <c r="G48" s="38">
        <f t="shared" si="4"/>
        <v>1.5325670498084309E-2</v>
      </c>
      <c r="H48" s="38">
        <f t="shared" si="4"/>
        <v>1.851851851851849E-2</v>
      </c>
      <c r="I48" s="38">
        <f t="shared" si="4"/>
        <v>-2.0128824476650597E-2</v>
      </c>
      <c r="J48" s="38">
        <f t="shared" si="4"/>
        <v>4.3937708565072287E-2</v>
      </c>
      <c r="K48" s="38">
        <f t="shared" si="4"/>
        <v>2.0161290322580627E-2</v>
      </c>
      <c r="L48" s="38">
        <f t="shared" si="4"/>
        <v>1.1998829382499299E-2</v>
      </c>
    </row>
    <row r="49" spans="4:12" x14ac:dyDescent="0.2">
      <c r="F49">
        <f>RANK(F47,$F$47:$L$47,1)</f>
        <v>2</v>
      </c>
      <c r="G49">
        <f>RANK(G47,$F$47:$L$47,1)</f>
        <v>4</v>
      </c>
      <c r="H49">
        <f t="shared" ref="H49:L49" si="5">RANK(H47,$F$47:$L$47,1)</f>
        <v>3</v>
      </c>
      <c r="I49">
        <f t="shared" si="5"/>
        <v>1</v>
      </c>
      <c r="J49">
        <f t="shared" si="5"/>
        <v>5</v>
      </c>
      <c r="K49">
        <f t="shared" si="5"/>
        <v>6</v>
      </c>
      <c r="L49">
        <f t="shared" si="5"/>
        <v>7</v>
      </c>
    </row>
    <row r="51" spans="4:12" x14ac:dyDescent="0.2">
      <c r="F51" t="s">
        <v>35</v>
      </c>
    </row>
    <row r="52" spans="4:12" x14ac:dyDescent="0.2">
      <c r="D52" t="s">
        <v>152</v>
      </c>
      <c r="F52" s="39">
        <v>0.49166666666666664</v>
      </c>
      <c r="G52" s="39">
        <v>0.5446428571428571</v>
      </c>
      <c r="H52" s="39">
        <v>0.5</v>
      </c>
      <c r="I52" s="39">
        <v>0.51086956521739135</v>
      </c>
      <c r="J52" s="39">
        <v>0.61111111111111116</v>
      </c>
      <c r="K52" s="39">
        <v>0.6428571428571429</v>
      </c>
      <c r="L52" s="39">
        <v>0.63207547169811318</v>
      </c>
    </row>
    <row r="53" spans="4:12" x14ac:dyDescent="0.2">
      <c r="F53" s="38">
        <f>F52-F41</f>
        <v>-1.6954022988505735E-2</v>
      </c>
      <c r="G53" s="38">
        <f t="shared" ref="G53:L53" si="6">G52-G41</f>
        <v>1.6865079365079305E-2</v>
      </c>
      <c r="H53" s="38">
        <f t="shared" si="6"/>
        <v>0</v>
      </c>
      <c r="I53" s="38">
        <f t="shared" si="6"/>
        <v>0</v>
      </c>
      <c r="J53" s="38">
        <f t="shared" si="6"/>
        <v>4.2145593869731823E-2</v>
      </c>
      <c r="K53" s="38">
        <f t="shared" si="6"/>
        <v>1.7857142857142905E-2</v>
      </c>
      <c r="L53" s="38">
        <f t="shared" si="6"/>
        <v>-5.179430262671092E-3</v>
      </c>
    </row>
    <row r="54" spans="4:12" x14ac:dyDescent="0.2">
      <c r="F54">
        <f>RANK(F52,$F$52:$L$52,1)</f>
        <v>1</v>
      </c>
      <c r="G54">
        <f t="shared" ref="G54:L54" si="7">RANK(G52,$F$52:$L$52,1)</f>
        <v>4</v>
      </c>
      <c r="H54">
        <f t="shared" si="7"/>
        <v>2</v>
      </c>
      <c r="I54">
        <f t="shared" si="7"/>
        <v>3</v>
      </c>
      <c r="J54">
        <f t="shared" si="7"/>
        <v>5</v>
      </c>
      <c r="K54">
        <f t="shared" si="7"/>
        <v>7</v>
      </c>
      <c r="L54">
        <f t="shared" si="7"/>
        <v>6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tabSelected="1" zoomScale="80" zoomScaleNormal="80" workbookViewId="0">
      <pane ySplit="1" topLeftCell="A2" activePane="bottomLeft" state="frozen"/>
      <selection pane="bottomLeft" activeCell="J11" sqref="J11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2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40">
        <v>5000</v>
      </c>
      <c r="D11" s="42" t="s">
        <v>41</v>
      </c>
      <c r="E11" s="42" t="s">
        <v>42</v>
      </c>
      <c r="F11" s="42" t="s">
        <v>42</v>
      </c>
      <c r="G11" s="42" t="s">
        <v>42</v>
      </c>
      <c r="H11" s="42" t="s">
        <v>48</v>
      </c>
      <c r="I11" s="42" t="s">
        <v>41</v>
      </c>
      <c r="J11" s="43" t="s">
        <v>41</v>
      </c>
    </row>
    <row r="12" spans="1:12" x14ac:dyDescent="0.2">
      <c r="C12" s="40" t="s">
        <v>140</v>
      </c>
      <c r="D12" s="42" t="s">
        <v>41</v>
      </c>
      <c r="E12" s="42" t="s">
        <v>42</v>
      </c>
      <c r="F12" s="42" t="s">
        <v>42</v>
      </c>
      <c r="G12" s="42" t="s">
        <v>42</v>
      </c>
      <c r="H12" s="42" t="s">
        <v>45</v>
      </c>
      <c r="I12" s="42" t="s">
        <v>42</v>
      </c>
      <c r="J12" s="43" t="s">
        <v>42</v>
      </c>
    </row>
    <row r="13" spans="1:12" x14ac:dyDescent="0.2">
      <c r="C13" s="40">
        <v>10000</v>
      </c>
      <c r="D13" s="42" t="s">
        <v>45</v>
      </c>
      <c r="E13" s="42" t="s">
        <v>42</v>
      </c>
      <c r="F13" s="42" t="s">
        <v>42</v>
      </c>
      <c r="G13" s="42" t="s">
        <v>42</v>
      </c>
      <c r="H13" s="42" t="s">
        <v>41</v>
      </c>
      <c r="I13" s="42" t="s">
        <v>45</v>
      </c>
      <c r="J13" s="43" t="s">
        <v>45</v>
      </c>
    </row>
    <row r="14" spans="1:12" x14ac:dyDescent="0.2">
      <c r="B14" t="s">
        <v>21</v>
      </c>
      <c r="C14" s="41" t="s">
        <v>136</v>
      </c>
      <c r="D14" s="43" t="s">
        <v>40</v>
      </c>
      <c r="E14" s="43" t="s">
        <v>40</v>
      </c>
      <c r="F14" s="43" t="s">
        <v>40</v>
      </c>
      <c r="G14" s="43" t="s">
        <v>40</v>
      </c>
      <c r="H14" s="43" t="s">
        <v>40</v>
      </c>
      <c r="I14" s="42" t="s">
        <v>48</v>
      </c>
      <c r="J14" s="43" t="s">
        <v>48</v>
      </c>
    </row>
    <row r="15" spans="1:12" x14ac:dyDescent="0.2">
      <c r="C15" s="41" t="s">
        <v>137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2" t="s">
        <v>42</v>
      </c>
      <c r="J15" s="43" t="s">
        <v>42</v>
      </c>
    </row>
    <row r="16" spans="1:12" x14ac:dyDescent="0.2">
      <c r="C16" s="41" t="s">
        <v>138</v>
      </c>
      <c r="D16" s="43" t="s">
        <v>45</v>
      </c>
      <c r="E16" s="43" t="s">
        <v>45</v>
      </c>
      <c r="F16" s="43" t="s">
        <v>45</v>
      </c>
      <c r="G16" s="43" t="s">
        <v>45</v>
      </c>
      <c r="H16" s="43" t="s">
        <v>45</v>
      </c>
      <c r="I16" s="42" t="s">
        <v>40</v>
      </c>
      <c r="J16" s="43" t="s">
        <v>40</v>
      </c>
    </row>
    <row r="17" spans="1:12" x14ac:dyDescent="0.2">
      <c r="C17" s="41" t="s">
        <v>139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2" t="s">
        <v>45</v>
      </c>
      <c r="J17" s="43" t="s">
        <v>45</v>
      </c>
    </row>
    <row r="18" spans="1:12" x14ac:dyDescent="0.2">
      <c r="C18" s="41" t="s">
        <v>141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41</v>
      </c>
      <c r="I18" s="42" t="s">
        <v>40</v>
      </c>
      <c r="J18" s="43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3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40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40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40">
        <v>9</v>
      </c>
      <c r="D30" s="42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40">
        <v>10</v>
      </c>
      <c r="D31" s="42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1" t="s">
        <v>142</v>
      </c>
      <c r="C32" s="40" t="s">
        <v>50</v>
      </c>
      <c r="D32" s="42" t="s">
        <v>40</v>
      </c>
      <c r="E32" s="43" t="s">
        <v>40</v>
      </c>
      <c r="F32" s="43" t="s">
        <v>40</v>
      </c>
      <c r="G32" s="43" t="s">
        <v>40</v>
      </c>
      <c r="H32" s="43" t="s">
        <v>40</v>
      </c>
      <c r="I32" s="43" t="s">
        <v>42</v>
      </c>
      <c r="J32" s="43" t="s">
        <v>42</v>
      </c>
    </row>
    <row r="33" spans="2:12" x14ac:dyDescent="0.2">
      <c r="C33" s="40" t="s">
        <v>51</v>
      </c>
      <c r="D33" s="42" t="s">
        <v>48</v>
      </c>
      <c r="E33" s="43" t="s">
        <v>48</v>
      </c>
      <c r="F33" s="43" t="s">
        <v>48</v>
      </c>
      <c r="G33" s="43" t="s">
        <v>48</v>
      </c>
      <c r="H33" s="43" t="s">
        <v>48</v>
      </c>
      <c r="I33" s="43" t="s">
        <v>41</v>
      </c>
      <c r="J33" s="43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2" t="s">
        <v>41</v>
      </c>
      <c r="E44" s="42" t="s">
        <v>41</v>
      </c>
      <c r="F44" s="48" t="s">
        <v>41</v>
      </c>
      <c r="G44" s="11" t="s">
        <v>41</v>
      </c>
      <c r="H44" s="11" t="s">
        <v>41</v>
      </c>
      <c r="I44" s="12" t="s">
        <v>42</v>
      </c>
      <c r="J44" s="43" t="s">
        <v>45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12" t="s">
        <v>42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40" t="s">
        <v>55</v>
      </c>
      <c r="D58" s="11" t="s">
        <v>40</v>
      </c>
      <c r="E58" s="11" t="s">
        <v>40</v>
      </c>
      <c r="F58" s="42" t="s">
        <v>41</v>
      </c>
      <c r="G58" s="21" t="s">
        <v>41</v>
      </c>
      <c r="H58" s="42" t="s">
        <v>42</v>
      </c>
      <c r="I58" s="42" t="s">
        <v>42</v>
      </c>
      <c r="J58" s="43" t="s">
        <v>45</v>
      </c>
    </row>
    <row r="59" spans="1:12" x14ac:dyDescent="0.2">
      <c r="C59" s="40" t="s">
        <v>56</v>
      </c>
      <c r="D59" s="42" t="s">
        <v>41</v>
      </c>
      <c r="E59" s="42" t="s">
        <v>41</v>
      </c>
      <c r="F59" s="21" t="s">
        <v>42</v>
      </c>
      <c r="G59" s="21" t="s">
        <v>41</v>
      </c>
      <c r="H59" s="42" t="s">
        <v>42</v>
      </c>
      <c r="I59" s="42" t="s">
        <v>45</v>
      </c>
      <c r="J59" s="43" t="s">
        <v>45</v>
      </c>
    </row>
    <row r="60" spans="1:12" x14ac:dyDescent="0.2">
      <c r="C60" s="40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2" t="s">
        <v>45</v>
      </c>
      <c r="J60" s="12" t="s">
        <v>42</v>
      </c>
      <c r="L60" s="25"/>
    </row>
    <row r="61" spans="1:12" ht="25.5" x14ac:dyDescent="0.2">
      <c r="C61" s="40" t="s">
        <v>144</v>
      </c>
      <c r="D61" s="42" t="s">
        <v>41</v>
      </c>
      <c r="E61" s="42" t="s">
        <v>41</v>
      </c>
      <c r="F61" s="42" t="s">
        <v>41</v>
      </c>
      <c r="G61" s="42" t="s">
        <v>41</v>
      </c>
      <c r="H61" s="42" t="s">
        <v>41</v>
      </c>
      <c r="I61" s="42" t="s">
        <v>45</v>
      </c>
      <c r="J61" s="43" t="s">
        <v>45</v>
      </c>
      <c r="L61" s="25"/>
    </row>
    <row r="62" spans="1:12" ht="25.5" x14ac:dyDescent="0.2">
      <c r="C62" s="40" t="s">
        <v>145</v>
      </c>
      <c r="D62" s="42" t="s">
        <v>42</v>
      </c>
      <c r="E62" s="42" t="s">
        <v>42</v>
      </c>
      <c r="F62" s="42" t="s">
        <v>42</v>
      </c>
      <c r="G62" s="42" t="s">
        <v>42</v>
      </c>
      <c r="H62" s="42" t="s">
        <v>42</v>
      </c>
      <c r="I62" s="42" t="s">
        <v>42</v>
      </c>
      <c r="J62" s="43" t="s">
        <v>42</v>
      </c>
      <c r="L62" s="25"/>
    </row>
    <row r="63" spans="1:12" ht="25.5" x14ac:dyDescent="0.2">
      <c r="C63" s="40" t="s">
        <v>146</v>
      </c>
      <c r="D63" s="42" t="s">
        <v>48</v>
      </c>
      <c r="E63" s="42" t="s">
        <v>45</v>
      </c>
      <c r="F63" s="42" t="s">
        <v>45</v>
      </c>
      <c r="G63" s="42" t="s">
        <v>48</v>
      </c>
      <c r="H63" s="42" t="s">
        <v>48</v>
      </c>
      <c r="I63" s="42" t="s">
        <v>40</v>
      </c>
      <c r="J63" s="43" t="s">
        <v>41</v>
      </c>
      <c r="L63" s="25"/>
    </row>
    <row r="64" spans="1:12" x14ac:dyDescent="0.2">
      <c r="C64" s="40" t="s">
        <v>147</v>
      </c>
      <c r="D64" s="42" t="s">
        <v>48</v>
      </c>
      <c r="E64" s="42" t="s">
        <v>45</v>
      </c>
      <c r="F64" s="42" t="s">
        <v>45</v>
      </c>
      <c r="G64" s="42" t="s">
        <v>48</v>
      </c>
      <c r="H64" s="42" t="s">
        <v>48</v>
      </c>
      <c r="I64" s="42" t="s">
        <v>40</v>
      </c>
      <c r="J64" s="43" t="s">
        <v>42</v>
      </c>
    </row>
    <row r="65" spans="1:12" x14ac:dyDescent="0.2">
      <c r="C65" s="40" t="s">
        <v>148</v>
      </c>
      <c r="D65" s="42" t="s">
        <v>48</v>
      </c>
      <c r="E65" s="42" t="s">
        <v>45</v>
      </c>
      <c r="F65" s="42" t="s">
        <v>45</v>
      </c>
      <c r="G65" s="42" t="s">
        <v>48</v>
      </c>
      <c r="H65" s="42" t="s">
        <v>48</v>
      </c>
      <c r="I65" s="42" t="s">
        <v>40</v>
      </c>
      <c r="J65" s="43" t="s">
        <v>42</v>
      </c>
    </row>
    <row r="66" spans="1:12" x14ac:dyDescent="0.2">
      <c r="C66" s="40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40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40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40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40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40" t="s">
        <v>62</v>
      </c>
      <c r="D83" s="42" t="s">
        <v>42</v>
      </c>
      <c r="E83" s="42" t="s">
        <v>42</v>
      </c>
      <c r="F83" s="42" t="s">
        <v>45</v>
      </c>
      <c r="G83" s="42" t="s">
        <v>42</v>
      </c>
      <c r="H83" s="42" t="s">
        <v>41</v>
      </c>
      <c r="I83" s="42" t="s">
        <v>41</v>
      </c>
      <c r="J83" s="43" t="s">
        <v>41</v>
      </c>
    </row>
    <row r="84" spans="2:10" x14ac:dyDescent="0.2">
      <c r="C84" s="40" t="s">
        <v>63</v>
      </c>
      <c r="D84" s="42" t="s">
        <v>42</v>
      </c>
      <c r="E84" s="42" t="s">
        <v>42</v>
      </c>
      <c r="F84" s="42" t="s">
        <v>42</v>
      </c>
      <c r="G84" s="42" t="s">
        <v>42</v>
      </c>
      <c r="H84" s="42" t="s">
        <v>41</v>
      </c>
      <c r="I84" s="42" t="s">
        <v>41</v>
      </c>
      <c r="J84" s="43" t="s">
        <v>41</v>
      </c>
    </row>
    <row r="85" spans="2:10" x14ac:dyDescent="0.2">
      <c r="C85" s="40" t="s">
        <v>149</v>
      </c>
      <c r="D85" s="42" t="s">
        <v>42</v>
      </c>
      <c r="E85" s="42" t="s">
        <v>42</v>
      </c>
      <c r="F85" s="42" t="s">
        <v>41</v>
      </c>
      <c r="G85" s="42" t="s">
        <v>42</v>
      </c>
      <c r="H85" s="42" t="s">
        <v>45</v>
      </c>
      <c r="I85" s="42" t="s">
        <v>48</v>
      </c>
      <c r="J85" s="43" t="s">
        <v>48</v>
      </c>
    </row>
    <row r="86" spans="2:10" x14ac:dyDescent="0.2">
      <c r="C86" s="40" t="s">
        <v>150</v>
      </c>
      <c r="D86" s="42" t="s">
        <v>42</v>
      </c>
      <c r="E86" s="42" t="s">
        <v>42</v>
      </c>
      <c r="F86" s="42" t="s">
        <v>42</v>
      </c>
      <c r="G86" s="42" t="s">
        <v>42</v>
      </c>
      <c r="H86" s="42" t="s">
        <v>42</v>
      </c>
      <c r="I86" s="42" t="s">
        <v>40</v>
      </c>
      <c r="J86" s="43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4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1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1" t="str">
        <f>Base!C58</f>
        <v>Zone urbaine – U</v>
      </c>
      <c r="L3" s="10" t="s">
        <v>57</v>
      </c>
      <c r="M3" t="s">
        <v>59</v>
      </c>
      <c r="N3" s="41" t="str">
        <f>Base!C79</f>
        <v>Sans intérêt</v>
      </c>
      <c r="O3" s="41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1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1" t="str">
        <f>Base!C59</f>
        <v>Zone à urbaniser – AU</v>
      </c>
      <c r="L4" s="10" t="s">
        <v>104</v>
      </c>
      <c r="M4" t="s">
        <v>60</v>
      </c>
      <c r="N4" s="41" t="str">
        <f>Base!C80</f>
        <v>Ordinaire</v>
      </c>
      <c r="O4" s="41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1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1" t="str">
        <f>Base!C60</f>
        <v>Zone à vocation activités</v>
      </c>
      <c r="L5" t="s">
        <v>105</v>
      </c>
      <c r="M5" t="s">
        <v>61</v>
      </c>
      <c r="N5" s="41" t="str">
        <f>Base!C81</f>
        <v>Interet remarquable</v>
      </c>
      <c r="O5" s="41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1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1" t="str">
        <f>Base!C61</f>
        <v>Secteur de carte communale ouvert à la construction</v>
      </c>
      <c r="L6" s="10" t="s">
        <v>58</v>
      </c>
      <c r="M6" t="s">
        <v>47</v>
      </c>
      <c r="N6" s="41" t="str">
        <f>Base!C82</f>
        <v>Ne sait pas</v>
      </c>
      <c r="O6" s="41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1" t="s">
        <v>141</v>
      </c>
      <c r="E7" t="s">
        <v>47</v>
      </c>
      <c r="H7" t="s">
        <v>47</v>
      </c>
      <c r="K7" s="41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1" t="str">
        <f>Base!C63</f>
        <v>Secteur de carte communale non ouvert à la construction</v>
      </c>
      <c r="P8" t="s">
        <v>47</v>
      </c>
    </row>
    <row r="9" spans="1:18" ht="25.5" x14ac:dyDescent="0.2">
      <c r="K9" s="41" t="str">
        <f>Base!C64</f>
        <v>zone agricole “A”</v>
      </c>
    </row>
    <row r="10" spans="1:18" ht="38.25" x14ac:dyDescent="0.2">
      <c r="K10" s="41" t="str">
        <f>Base!C65</f>
        <v>zone naturelle et forestière “N”</v>
      </c>
    </row>
    <row r="11" spans="1:18" x14ac:dyDescent="0.2">
      <c r="K11" s="41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