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20" documentId="8_{DC83C121-23CC-4493-AE18-06E3221CF8CF}" xr6:coauthVersionLast="47" xr6:coauthVersionMax="47" xr10:uidLastSave="{7846C684-51BC-473C-A9C3-BBA202E4D589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K23" i="1" s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<sst xmlns="http://schemas.openxmlformats.org/spreadsheetml/2006/main" count="1190" uniqueCount="176">
  <si>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</si>
  <si>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</si>
  <si>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</si>
  <si>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</si>
  <si>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</si>
  <si>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</si>
  <si>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</si>
  <si>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</si>
  <si>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</si>
  <si>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</si>
  <si>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</si>
  <si>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</si>
  <si>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</si>
  <si>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</si>
  <si>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</si>
  <si>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</si>
  <si>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</si>
  <si>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</si>
  <si>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</si>
  <si>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</si>
  <si>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</si>
  <si>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</si>
  <si>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</si>
  <si>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</si>
  <si>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</si>
  <si>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</si>
  <si>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</si>
  <si>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</si>
  <si>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</si>
  <si>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</si>
  <si>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</si>
  <si>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</si>
  <si>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</si>
  <si>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</si>
  <si>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</si>
  <si>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</si>
  <si>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</si>
  <si>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</si>
  <si>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</si>
  <si>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</si>
  <si>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</si>
  <si>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</si>
  <si>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</si>
  <si>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</si>
  <si>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</si>
  <si>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</si>
  <si>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</si>
  <si>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</si>
  <si>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</si>
  <si>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</si>
  <si>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</si>
  <si>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</si>
  <si>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</si>
  <si>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</si>
  <si>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</si>
  <si>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</si>
  <si>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</si>
  <si>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</si>
  <si>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</si>
  <si>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</si>
  <si>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</si>
  <si>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</si>
  <si>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</si>
  <si>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</si>
  <si>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</si>
  <si>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</si>
  <si>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</si>
  <si>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</si>
  <si>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</si>
  <si>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</si>
  <si>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</si>
  <si>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</si>
  <si>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</si>
  <si>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</si>
  <si>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</si>
  <si>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</si>
  <si>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</si>
  <si>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</si>
  <si>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</si>
  <si>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</si>
  <si>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</si>
  <si>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</si>
  <si>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</si>
  <si>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</si>
  <si>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</si>
  <si>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</si>
  <si>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</si>
  <si>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</si>
  <si>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</si>
  <si>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</si>
  <si>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</si>
  <si>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</si>
  <si>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</si>
  <si>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</si>
  <si>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</si>
  <si>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</si>
  <si>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</si>
  <si>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</si>
  <si>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</si>
  <si>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</si>
  <si>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</si>
  <si>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</si>
  <si>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</si>
  <si>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</si>
  <si>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</si>
  <si>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</si>
  <si>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</si>
  <si>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</si>
  <si>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</si>
  <si>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</si>
  <si>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</si>
  <si>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</si>
  <si>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</si>
  <si>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</si>
  <si>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</si>
  <si>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</si>
  <si>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</si>
  <si>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</si>
  <si>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</si>
  <si>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</si>
  <si>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</si>
  <si>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</si>
  <si>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</si>
  <si>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</si>
  <si>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</si>
  <si>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</si>
  <si>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</si>
  <si>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</si>
  <si>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</si>
  <si>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</si>
  <si>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</si>
  <si>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</si>
  <si>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</si>
  <si>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</si>
  <si>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</si>
  <si>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</si>
  <si>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</si>
  <si>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</si>
  <si>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</si>
  <si>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</si>
  <si>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</si>
  <si>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</si>
  <si>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</si>
  <si>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</si>
  <si>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</si>
  <si>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</si>
  <si>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</si>
  <si>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</si>
  <si>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</si>
  <si>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</si>
  <si>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</si>
  <si>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</si>
  <si>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</si>
  <si>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</si>
  <si>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</si>
  <si>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</si>
  <si>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</si>
  <si>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</si>
  <si>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</si>
  <si>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</si>
  <si>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</si>
  <si>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</si>
  <si>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</si>
  <si>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</si>
  <si>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</si>
  <si>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</si>
  <si>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</si>
  <si>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</si>
  <si>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</si>
  <si>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</si>
  <si>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</si>
  <si>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</si>
  <si>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 xml:space="preserve">Foyer Sonacotra de Geilles </t>
  </si>
  <si>
    <t>000 : E839, E829</t>
  </si>
  <si>
    <t>Commune d'Oyonnax et SEMCODA</t>
  </si>
  <si>
    <t>Oyonnax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</si>
</sst>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F23" sqref="F23:L2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20000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2000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1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170</v>
      </c>
      <c r="D20" s="8" t="s">
        <v>152</v>
      </c>
      <c r="E20" s="1"/>
      <c r="F20" s="16" t="str">
        <f>IFERROR(VLOOKUP($C20,Base!$C$13:$J$17,2,0),"")</f>
        <v>Négatif</v>
      </c>
      <c r="G20" s="16" t="str">
        <f>IFERROR(VLOOKUP($C20,Base!$C$13:$J$17,3,0),"")</f>
        <v>Négatif</v>
      </c>
      <c r="H20" s="16" t="str">
        <f>IFERROR(VLOOKUP($C20,Base!$C$13:$J$17,4,0),"")</f>
        <v>Négatif</v>
      </c>
      <c r="I20" s="16" t="str">
        <f>IFERROR(VLOOKUP($C20,Base!$C$13:$J$17,5,0),"")</f>
        <v>Négatif</v>
      </c>
      <c r="J20" s="16" t="str">
        <f>IFERROR(VLOOKUP($C20,Base!$C$13:$J$17,6,0),"")</f>
        <v>Négatif</v>
      </c>
      <c r="K20" s="16" t="str">
        <f>IFERROR(VLOOKUP($C20,Base!$C$13:$J$17,7,0),"")</f>
        <v>Très positif</v>
      </c>
      <c r="L20" s="16" t="str">
        <f>IFERROR(VLOOKUP($C20,Base!$C$13:$J$17,8,0),"")</f>
        <v>Très positif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149</v>
      </c>
      <c r="D21" s="8" t="s">
        <v>162</v>
      </c>
      <c r="E21" s="1"/>
      <c r="F21" s="16" t="str">
        <f>IFERROR(VLOOKUP($C21,Base!$C$18:$J$22,2,0),"")</f>
        <v>Neutre</v>
      </c>
      <c r="G21" s="16" t="str">
        <f>IFERROR(VLOOKUP($C21,Base!$C$18:$J$22,3,0),"")</f>
        <v>Neutre</v>
      </c>
      <c r="H21" s="16" t="str">
        <f>IFERROR(VLOOKUP($C21,Base!$C$18:$J$22,4,0),"")</f>
        <v>Neutre</v>
      </c>
      <c r="I21" s="16" t="str">
        <f>IFERROR(VLOOKUP($C21,Base!$C$18:$J$22,5,0),"")</f>
        <v>Neutre</v>
      </c>
      <c r="J21" s="16" t="str">
        <f>IFERROR(VLOOKUP($C21,Base!$C$18:$J$22,6,0),"")</f>
        <v>Neutre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163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12.4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Très négatif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111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Négatif</v>
      </c>
      <c r="K26" s="16" t="str">
        <f>IFERROR(VLOOKUP($C26,Base!$C$40:$J$44,7,0),"")</f>
        <v>Neutre</v>
      </c>
      <c r="L26" s="16" t="str">
        <f>IFERROR(VLOOKUP($C26,Base!$C$40:$J$44,8,0),"")</f>
        <v>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55</v>
      </c>
      <c r="D28" s="8" t="s">
        <v>154</v>
      </c>
      <c r="E28" s="1"/>
      <c r="F28" s="16" t="str">
        <f>IFERROR(VLOOKUP($C28,Base!$C$48:$J$50,2,0),"")</f>
        <v>Négatif</v>
      </c>
      <c r="G28" s="16" t="str">
        <f>IFERROR(VLOOKUP($C28,Base!$C$48:$J$50,3,0),"")</f>
        <v>Négatif</v>
      </c>
      <c r="H28" s="16" t="str">
        <f>IFERROR(VLOOKUP($C28,Base!$C$48:$J$50,4,0),"")</f>
        <v>Neutre</v>
      </c>
      <c r="I28" s="16" t="str">
        <f>IFERROR(VLOOKUP($C28,Base!$C$48:$J$50,5,0),"")</f>
        <v>Négatif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74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Très positif</v>
      </c>
      <c r="I34" s="16" t="str">
        <f>IFERROR(VLOOKUP($C34,Base!$C$81:$J$86,5,0),"")</f>
        <v>Négatif</v>
      </c>
      <c r="J34" s="16" t="str">
        <f>IFERROR(VLOOKUP($C34,Base!$C$81:$J$86,6,0),"")</f>
        <v>Très négatif</v>
      </c>
      <c r="K34" s="16" t="str">
        <f>IFERROR(VLOOKUP($C34,Base!$C$81:$J$86,7,0),"")</f>
        <v>Positif</v>
      </c>
      <c r="L34" s="16" t="str">
        <f>IFERROR(VLOOKUP($C34,Base!$C$81:$J$86,8,0),"")</f>
        <v>Très 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71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Négatif</v>
      </c>
      <c r="I35" s="16" t="str">
        <f>IFERROR(VLOOKUP($C35,Base!$C$87:$J$92,5,0),"")</f>
        <v>Positif</v>
      </c>
      <c r="J35" s="16" t="str">
        <f>IFERROR(VLOOKUP($C35,Base!$C$87:$J$92,6,0),"")</f>
        <v>Positif</v>
      </c>
      <c r="K35" s="16" t="str">
        <f>IFERROR(VLOOKUP($C35,Base!$C$87:$J$92,7,0),"")</f>
        <v>Neutre</v>
      </c>
      <c r="L35" s="16" t="str">
        <f>IFERROR(VLOOKUP($C35,Base!$C$87:$J$92,8,0),"")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135</v>
      </c>
      <c r="D36" s="8" t="s">
        <v>164</v>
      </c>
      <c r="E36" s="1"/>
      <c r="F36" s="16" t="str">
        <f>IFERROR(VLOOKUP($C36,Base!$C$101:$J$106,2,0),"")</f>
        <v>Négatif</v>
      </c>
      <c r="G36" s="16" t="str">
        <f>IFERROR(VLOOKUP($C36,Base!$C$101:$J$106,3,0),"")</f>
        <v>Négatif</v>
      </c>
      <c r="H36" s="16" t="str">
        <f>IFERROR(VLOOKUP($C36,Base!$C$101:$J$106,4,0),"")</f>
        <v>Négatif</v>
      </c>
      <c r="I36" s="16" t="str">
        <f>IFERROR(VLOOKUP($C36,Base!$C$101:$J$106,5,0),"")</f>
        <v>Négatif</v>
      </c>
      <c r="J36" s="16" t="str">
        <f>IFERROR(VLOOKUP($C36,Base!$C$101:$J$106,6,0),"")</f>
        <v>Négatif</v>
      </c>
      <c r="K36" s="16" t="str">
        <f>IFERROR(VLOOKUP($C36,Base!$C$101:$J$106,7,0),"")</f>
        <v>Positif</v>
      </c>
      <c r="L36" s="16" t="str">
        <f>IFERROR(VLOOKUP($C36,Base!$C$101:$J$106,8,0),"")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12.75</v>
      </c>
      <c r="G38" s="20" cm="1">
        <f t="array" ref="G38">SUMPRODUCT(IF(G$12:G$37="Très Positif",2,0),$M$12:$M$37)+SUMPRODUCT(IF(G$12:G$37="Positif",1,0),$M$12:$M$37)+SUMPRODUCT(IF(G$12:G$37="Neutre",0.5,0),$M$12:$M$37)</f>
        <v>13.25</v>
      </c>
      <c r="H38" s="20" cm="1">
        <f t="array" ref="H38">SUMPRODUCT(IF(H$12:H$37="Très Positif",2,0),$M$12:$M$37)+SUMPRODUCT(IF(H$12:H$37="Positif",1,0),$M$12:$M$37)+SUMPRODUCT(IF(H$12:H$37="Neutre",0.5,0),$M$12:$M$37)</f>
        <v>13</v>
      </c>
      <c r="I38" s="20" cm="1">
        <f t="array" ref="I38">SUMPRODUCT(IF(I$12:I$37="Très Positif",2,0),$M$12:$M$37)+SUMPRODUCT(IF(I$12:I$37="Positif",1,0),$M$12:$M$37)+SUMPRODUCT(IF(I$12:I$37="Neutre",0.5,0),$M$12:$M$37)</f>
        <v>10.75</v>
      </c>
      <c r="J38" s="20" cm="1">
        <f t="array" ref="J38">SUMPRODUCT(IF(J$12:J$37="Très Positif",2,0),$M$12:$M$37)+SUMPRODUCT(IF(J$12:J$37="Positif",1,0),$M$12:$M$37)+SUMPRODUCT(IF(J$12:J$37="Neutre",0.5,0),$M$12:$M$37)</f>
        <v>13.5</v>
      </c>
      <c r="K38" s="20" cm="1">
        <f t="array" ref="K38">SUMPRODUCT(IF(K$12:K$37="Très Positif",2,0),$M$12:$M$37)+SUMPRODUCT(IF(K$12:K$37="Positif",1,0),$M$12:$M$37)+SUMPRODUCT(IF(K$12:K$37="Neutre",0.5,0),$M$12:$M$37)</f>
        <v>17</v>
      </c>
      <c r="L38" s="20" cm="1">
        <f t="array" ref="L38">SUMPRODUCT(IF(L$12:L$37="Très Positif",2,0),$M$12:$M$37)+SUMPRODUCT(IF(L$12:L$37="Positif",1,0),$M$12:$M$37)+SUMPRODUCT(IF(L$12:L$37="Neutre",0.5,0),$M$12:$M$37)</f>
        <v>17.25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15.25</v>
      </c>
      <c r="G39" s="21" cm="1">
        <f t="array" ref="G39">SUMPRODUCT(IF(G$12:G$37="Négatif",1,0),$M$12:$M$37)+SUMPRODUCT(IF(G$12:G$37="Très négatif",2,0),$M$12:$M$37)+SUMPRODUCT(IF(G$12:G$37="Neutre",0.5,0),$M$12:$M$37)</f>
        <v>12.75</v>
      </c>
      <c r="H39" s="21" cm="1">
        <f t="array" ref="H39">SUMPRODUCT(IF(H$12:H$37="Négatif",1,0),$M$12:$M$37)+SUMPRODUCT(IF(H$12:H$37="Très négatif",2,0),$M$12:$M$37)+SUMPRODUCT(IF(H$12:H$37="Neutre",0.5,0),$M$12:$M$37)</f>
        <v>12</v>
      </c>
      <c r="I39" s="21" cm="1">
        <f t="array" ref="I39">SUMPRODUCT(IF(I$12:I$37="Négatif",1,0),$M$12:$M$37)+SUMPRODUCT(IF(I$12:I$37="Très négatif",2,0),$M$12:$M$37)+SUMPRODUCT(IF(I$12:I$37="Neutre",0.5,0),$M$12:$M$37)</f>
        <v>13.25</v>
      </c>
      <c r="J39" s="21" cm="1">
        <f t="array" ref="J39">SUMPRODUCT(IF(J$12:J$37="Négatif",1,0),$M$12:$M$37)+SUMPRODUCT(IF(J$12:J$37="Très négatif",2,0),$M$12:$M$37)+SUMPRODUCT(IF(J$12:J$37="Neutre",0.5,0),$M$12:$M$37)</f>
        <v>14</v>
      </c>
      <c r="K39" s="21" cm="1">
        <f t="array" ref="K39">SUMPRODUCT(IF(K$12:K$37="Négatif",1,0),$M$12:$M$37)+SUMPRODUCT(IF(K$12:K$37="Très négatif",2,0),$M$12:$M$37)+SUMPRODUCT(IF(K$12:K$37="Neutre",0.5,0),$M$12:$M$37)</f>
        <v>8</v>
      </c>
      <c r="L39" s="21" cm="1">
        <f t="array" ref="L39">SUMPRODUCT(IF(L$12:L$37="Négatif",1,0),$M$12:$M$37)+SUMPRODUCT(IF(L$12:L$37="Très négatif",2,0),$M$12:$M$37)+SUMPRODUCT(IF(L$12:L$37="Neutre",0.5,0),$M$12:$M$37)</f>
        <v>9.75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0.45535714285714285</v>
      </c>
      <c r="G41" s="10">
        <f t="shared" si="2"/>
        <v>0.50961538461538458</v>
      </c>
      <c r="H41" s="10">
        <f t="shared" si="2"/>
        <v>0.52</v>
      </c>
      <c r="I41" s="10">
        <f t="shared" si="2"/>
        <v>0.44791666666666669</v>
      </c>
      <c r="J41" s="10">
        <f t="shared" si="2"/>
        <v>0.49090909090909091</v>
      </c>
      <c r="K41" s="10">
        <f t="shared" si="2"/>
        <v>0.68</v>
      </c>
      <c r="L41" s="10">
        <f t="shared" si="2"/>
        <v>0.63888888888888884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2</v>
      </c>
      <c r="G42" s="34">
        <f>RANK(G41,F41:L41,1)</f>
        <v>4</v>
      </c>
      <c r="H42" s="34">
        <f>RANK(H41,F41:L41,1)</f>
        <v>5</v>
      </c>
      <c r="I42" s="34">
        <f>RANK(I41,F41:L41,1)</f>
        <v>1</v>
      </c>
      <c r="J42" s="34">
        <f>RANK(J41,F41:L41,1)</f>
        <v>3</v>
      </c>
      <c r="K42" s="34">
        <f>RANK(K41,F41:L41,1)</f>
        <v>7</v>
      </c>
      <c r="L42" s="34">
        <f>RANK(L41,F41:L41,1)</f>
        <v>6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0.42741935483870969</v>
      </c>
      <c r="G47" s="10">
        <v>0.45833333333333331</v>
      </c>
      <c r="H47" s="10">
        <v>0.44827586206896552</v>
      </c>
      <c r="I47" s="10">
        <v>0.4017857142857143</v>
      </c>
      <c r="J47" s="10">
        <v>0.44444444444444442</v>
      </c>
      <c r="K47" s="10">
        <v>0.63461538461538458</v>
      </c>
      <c r="L47" s="10">
        <v>0.5982142857142857</v>
      </c>
    </row>
    <row r="49" spans="6:12" x14ac:dyDescent="0.2">
      <c r="F49" s="50">
        <f>F47-F41</f>
        <v>-2.7937788018433163E-2</v>
      </c>
      <c r="G49" s="51">
        <f t="shared" ref="G49:L49" si="4">G47-G41</f>
        <v>-5.1282051282051266E-2</v>
      </c>
      <c r="H49" s="50">
        <f t="shared" si="4"/>
        <v>-7.1724137931034493E-2</v>
      </c>
      <c r="I49" s="51">
        <f t="shared" si="4"/>
        <v>-4.6130952380952384E-2</v>
      </c>
      <c r="J49" s="51">
        <f t="shared" si="4"/>
        <v>-4.6464646464646486E-2</v>
      </c>
      <c r="K49" s="51">
        <f t="shared" si="4"/>
        <v>-4.5384615384615468E-2</v>
      </c>
      <c r="L49" s="51">
        <f t="shared" si="4"/>
        <v>-4.0674603174603141E-2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