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/"/>
    </mc:Choice>
  </mc:AlternateContent>
  <xr:revisionPtr revIDLastSave="57" documentId="8_{B54C3A2D-C1A0-4C6C-9B8B-5A44A249C64A}" xr6:coauthVersionLast="47" xr6:coauthVersionMax="47" xr10:uidLastSave="{F9A27850-0A80-4BA8-8D11-E49B81ED7372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H23" i="1"/>
  <c r="J23" i="1"/>
  <c r="K23" i="1"/>
  <c r="F23" i="1"/>
  <c r="I23" i="1" s="1"/>
  <c r="L23" i="1" s="1"/>
  <c r="F24" i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F33" i="1"/>
  <c r="F32" i="1"/>
  <c r="F31" i="1"/>
  <c r="F37" i="1"/>
  <c r="F36" i="1"/>
  <c r="F35" i="1"/>
  <c r="F34" i="1"/>
  <c r="F28" i="1"/>
  <c r="F27" i="1"/>
  <c r="F25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<sst xmlns="http://schemas.openxmlformats.org/spreadsheetml/2006/main" count="1188" uniqueCount="174">
  <si>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</si>
  <si>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</si>
  <si>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</si>
  <si>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</si>
  <si>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</si>
  <si>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</si>
  <si>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</si>
  <si>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</si>
  <si>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</si>
  <si>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</si>
  <si>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</si>
  <si>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</si>
  <si>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</si>
  <si>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</si>
  <si>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</si>
  <si>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</si>
  <si>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</si>
  <si>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</si>
  <si>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</si>
  <si>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</si>
  <si>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</si>
  <si>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</si>
  <si>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</si>
  <si>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</si>
  <si>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</si>
  <si>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</si>
  <si>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</si>
  <si>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</si>
  <si>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</si>
  <si>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</si>
  <si>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</si>
  <si>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</si>
  <si>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</si>
  <si>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</si>
  <si>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</si>
  <si>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</si>
  <si>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</si>
  <si>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</si>
  <si>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</si>
  <si>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</si>
  <si>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</si>
  <si>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</si>
  <si>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</si>
  <si>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</si>
  <si>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</si>
  <si>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</si>
  <si>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</si>
  <si>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</si>
  <si>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</si>
  <si>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</si>
  <si>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</si>
  <si>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</si>
  <si>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</si>
  <si>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</si>
  <si>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</si>
  <si>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</si>
  <si>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</si>
  <si>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</si>
  <si>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</si>
  <si>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</si>
  <si>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</si>
  <si>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</si>
  <si>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</si>
  <si>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</si>
  <si>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</si>
  <si>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</si>
  <si>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</si>
  <si>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</si>
  <si>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</si>
  <si>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</si>
  <si>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</si>
  <si>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</si>
  <si>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</si>
  <si>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</si>
  <si>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</si>
  <si>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</si>
  <si>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</si>
  <si>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</si>
  <si>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</si>
  <si>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</si>
  <si>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</si>
  <si>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</si>
  <si>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</si>
  <si>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</si>
  <si>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</si>
  <si>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</si>
  <si>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</si>
  <si>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</si>
  <si>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</si>
  <si>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</si>
  <si>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</si>
  <si>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</si>
  <si>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</si>
  <si>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</si>
  <si>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</si>
  <si>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</si>
  <si>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</si>
  <si>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</si>
  <si>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</si>
  <si>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</si>
  <si>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</si>
  <si>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</si>
  <si>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</si>
  <si>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</si>
  <si>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</si>
  <si>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</si>
  <si>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</si>
  <si>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</si>
  <si>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</si>
  <si>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</si>
  <si>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</si>
  <si>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</si>
  <si>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</si>
  <si>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</si>
  <si>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</si>
  <si>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</si>
  <si>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</si>
  <si>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</si>
  <si>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</si>
  <si>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</si>
  <si>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</si>
  <si>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</si>
  <si>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</si>
  <si>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</si>
  <si>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</si>
  <si>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</si>
  <si>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</si>
  <si>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</si>
  <si>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</si>
  <si>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</si>
  <si>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</si>
  <si>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</si>
  <si>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</si>
  <si>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</si>
  <si>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</si>
  <si>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</si>
  <si>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</si>
  <si>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</si>
  <si>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</si>
  <si>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</si>
  <si>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</si>
  <si>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</si>
  <si>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</si>
  <si>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</si>
  <si>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</si>
  <si>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</si>
  <si>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</si>
  <si>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</si>
  <si>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</si>
  <si>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</si>
  <si>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</si>
  <si>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</si>
  <si>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</si>
  <si>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</si>
  <si>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</si>
  <si>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</si>
  <si>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</si>
  <si>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</si>
  <si>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</si>
  <si>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</si>
  <si>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</si>
  <si>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</si>
  <si>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</si>
  <si>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</si>
  <si>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</si>
  <si>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Dégradation inexistante ou faible</t>
  </si>
  <si>
    <t>dégradation moyenne</t>
  </si>
  <si>
    <t>dégradation très importante</t>
  </si>
  <si>
    <t>dégradation hétérogène</t>
  </si>
  <si>
    <t>Ancienne scierie Fargette</t>
  </si>
  <si>
    <t>2514, 2692, 2693 et 896 (section B)</t>
  </si>
  <si>
    <t>EPF SMAF Auvergne</t>
  </si>
  <si>
    <t>Allègre</t>
  </si>
  <si>
    <t xml:space="preserve">Algo initial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</si>
</sst>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4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0" fontId="16" fillId="24" borderId="0" xfId="0" applyFont="1" applyFill="1">
      <alignment vertical="center" wrapText="1"/>
      <protection hidden="1"/>
    </xf>
    <xf numFmtId="164" fontId="0" fillId="0" borderId="0" xfId="0" applyNumberFormat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0" zoomScale="68" zoomScaleNormal="48" workbookViewId="0">
      <selection activeCell="D33" sqref="D33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113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169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170</v>
      </c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 t="s">
        <v>171</v>
      </c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172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43</v>
      </c>
      <c r="D16" s="8" t="s">
        <v>161</v>
      </c>
      <c r="E16" s="1"/>
      <c r="F16" s="16" t="str">
        <f>IFERROR(VLOOKUP($C16,Base!$C$2:$J$6,2,0),"")</f>
        <v>Très positif</v>
      </c>
      <c r="G16" s="16" t="str">
        <f>IFERROR(VLOOKUP($C16,Base!$C$2:$J$6,3,0),"")</f>
        <v>Très positif</v>
      </c>
      <c r="H16" s="16" t="str">
        <f>IFERROR(VLOOKUP($C16,Base!$C$2:$J$6,4,0),"")</f>
        <v>Positif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Positif</v>
      </c>
      <c r="L16" s="16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11427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Négatif</v>
      </c>
      <c r="G17" s="16" t="str">
        <f>IFERROR(SUBSTITUTE(IF($C$17="","",IF($C$17&lt;Base!$C$7,Base!E$7,IF(AND($C$17&gt;=Base!$C$7,$C$17&lt;Base!$C$8),Base!E$8,IF($C$17&gt;=Base!$C$10,Base!E$10,Base!E$9)))),"0",""),"")</f>
        <v>Négatif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Neutre</v>
      </c>
      <c r="J17" s="16" t="str">
        <f>IFERROR(SUBSTITUTE(IF($C$17="","",IF($C$17&lt;Base!$C$7,Base!H$7,IF(AND($C$17&gt;=Base!$C$7,$C$17&lt;Base!$C$8),Base!H$8,IF($C$17&gt;=Base!$C$10,Base!H$10,Base!H$9)))),"0",""),"")</f>
        <v>Positif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Très négatif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337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1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166</v>
      </c>
      <c r="D20" s="8" t="s">
        <v>152</v>
      </c>
      <c r="E20" s="1"/>
      <c r="F20" s="16" t="str">
        <f>IFERROR(VLOOKUP($C20,Base!$C$13:$J$17,2,0),"")</f>
        <v>Neutre</v>
      </c>
      <c r="G20" s="16" t="str">
        <f>IFERROR(VLOOKUP($C20,Base!$C$13:$J$17,3,0),"")</f>
        <v>Neutre</v>
      </c>
      <c r="H20" s="16" t="str">
        <f>IFERROR(VLOOKUP($C20,Base!$C$13:$J$17,4,0),"")</f>
        <v>Neutre</v>
      </c>
      <c r="I20" s="16" t="str">
        <f>IFERROR(VLOOKUP($C20,Base!$C$13:$J$17,5,0),"")</f>
        <v>Neutre</v>
      </c>
      <c r="J20" s="16" t="str">
        <f>IFERROR(VLOOKUP($C20,Base!$C$13:$J$17,6,0),"")</f>
        <v>Neutre</v>
      </c>
      <c r="K20" s="16" t="str">
        <f>IFERROR(VLOOKUP($C20,Base!$C$13:$J$17,7,0),"")</f>
        <v>Neutre</v>
      </c>
      <c r="L20" s="16" t="str">
        <f>IFERROR(VLOOKUP($C20,Base!$C$13:$J$17,8,0),"")</f>
        <v>Neutre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149</v>
      </c>
      <c r="D21" s="8" t="s">
        <v>162</v>
      </c>
      <c r="E21" s="1"/>
      <c r="F21" s="16" t="str">
        <f>IFERROR(VLOOKUP($C21,Base!$C$18:$J$22,2,0),"")</f>
        <v>Neutre</v>
      </c>
      <c r="G21" s="16" t="str">
        <f>IFERROR(VLOOKUP($C21,Base!$C$18:$J$22,3,0),"")</f>
        <v>Neutre</v>
      </c>
      <c r="H21" s="16" t="str">
        <f>IFERROR(VLOOKUP($C21,Base!$C$18:$J$22,4,0),"")</f>
        <v>Neutre</v>
      </c>
      <c r="I21" s="16" t="str">
        <f>IFERROR(VLOOKUP($C21,Base!$C$18:$J$22,5,0),"")</f>
        <v>Neutre</v>
      </c>
      <c r="J21" s="16" t="str">
        <f>IFERROR(VLOOKUP($C21,Base!$C$18:$J$22,6,0),"")</f>
        <v>Neutre</v>
      </c>
      <c r="K21" s="16" t="str">
        <f>IFERROR(VLOOKUP($C21,Base!$C$18:$J$22,7,0),"")</f>
        <v>Neutre</v>
      </c>
      <c r="L21" s="16" t="str">
        <f>IFERROR(VLOOKUP($C21,Base!$C$18:$J$22,8,0),"")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24</v>
      </c>
      <c r="B22" s="40" t="s">
        <v>25</v>
      </c>
      <c r="C22" s="7" t="s">
        <v>55</v>
      </c>
      <c r="D22" s="8" t="s">
        <v>163</v>
      </c>
      <c r="E22" s="1"/>
      <c r="F22" s="16" t="str">
        <f>IFERROR(VLOOKUP($C22,Base!$C$26:$J$28,2,0),"")</f>
        <v>Très négatif</v>
      </c>
      <c r="G22" s="16" t="str">
        <f>IFERROR(VLOOKUP($C22,Base!$C$26:$J$28,3,0),"")</f>
        <v>Négatif</v>
      </c>
      <c r="H22" s="16" t="str">
        <f>IFERROR(VLOOKUP($C22,Base!$C$26:$J$28,4,0),"")</f>
        <v>Neutre</v>
      </c>
      <c r="I22" s="16" t="str">
        <f>IFERROR(VLOOKUP($C22,Base!$C$26:$J$28,5,0),"")</f>
        <v>Négatif</v>
      </c>
      <c r="J22" s="16" t="str">
        <f>IFERROR(VLOOKUP($C22,Base!$C$26:$J$28,6,0),"")</f>
        <v>Très positif</v>
      </c>
      <c r="K22" s="16" t="str">
        <f>IFERROR(VLOOKUP($C22,Base!$C$26:$J$28,7,0),"")</f>
        <v>Positif</v>
      </c>
      <c r="L22" s="16" t="str">
        <f>IFERROR(VLOOKUP($C22,Base!$C$26:$J$28,8,0),"")</f>
        <v>Très positif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19.8</v>
      </c>
      <c r="D23" s="8" t="s">
        <v>153</v>
      </c>
      <c r="E23" s="1"/>
      <c r="F23" s="16" t="str">
        <f>IFERROR(IF(C23&lt;Base!C29,Base!D29,IF(C23&lt;Base!C30,Base!D30,IF(C23&lt;Base!C31,Base!D31,Base!D32))),"")</f>
        <v>Très négatif</v>
      </c>
      <c r="G23" s="16" t="str">
        <f>IFERROR(IF(D23&lt;Base!D29,Base!E29,IF(D23&lt;Base!D30,Base!E30,IF(D23&lt;Base!D31,Base!E31,Base!E32))),"")</f>
        <v>Neutre</v>
      </c>
      <c r="H23" s="16" t="str">
        <f>IFERROR(IF(E23&lt;Base!E29,Base!F29,IF(E23&lt;Base!E30,Base!F30,IF(E23&lt;Base!E31,Base!F31,Base!F32))),"")</f>
        <v>Neutre</v>
      </c>
      <c r="I23" s="16" t="str">
        <f>IFERROR(IF(F23&lt;Base!F29,Base!G29,IF(F23&lt;Base!F30,Base!G30,IF(F23&lt;Base!F31,Base!G31,Base!G32))),"")</f>
        <v>Neutre</v>
      </c>
      <c r="J23" s="16" t="str">
        <f>IFERROR(IF(G23&lt;Base!G29,Base!H29,IF(G23&lt;Base!G30,Base!H30,IF(G23&lt;Base!G31,Base!H31,Base!H32))),"")</f>
        <v>Neutre</v>
      </c>
      <c r="K23" s="16" t="str">
        <f>IFERROR(IF(H23&lt;Base!H29,Base!I29,IF(H23&lt;Base!H30,Base!I30,IF(H23&lt;Base!H31,Base!I31,Base!I32))),"")</f>
        <v>Neutre</v>
      </c>
      <c r="L23" s="16" t="str">
        <f>IFERROR(IF(I23&lt;Base!I29,Base!J29,IF(I23&lt;Base!I30,Base!J30,IF(I23&lt;Base!I31,Base!J31,Base!J32))),"")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107</v>
      </c>
      <c r="D25" s="8" t="s">
        <v>155</v>
      </c>
      <c r="E25" s="1"/>
      <c r="F25" s="16" t="str">
        <f>IFERROR(VLOOKUP($C25,Base!$C$36:$J$39,2,0),"")</f>
        <v>Positif</v>
      </c>
      <c r="G25" s="16" t="str">
        <f>IFERROR(VLOOKUP($C25,Base!$C$36:$J$39,3,0),"")</f>
        <v>Positif</v>
      </c>
      <c r="H25" s="16" t="str">
        <f>IFERROR(VLOOKUP($C25,Base!$C$36:$J$39,4,0),"")</f>
        <v>Neutre</v>
      </c>
      <c r="I25" s="16" t="str">
        <f>IFERROR(VLOOKUP($C25,Base!$C$36:$J$39,5,0),"")</f>
        <v>Positif</v>
      </c>
      <c r="J25" s="16" t="str">
        <f>IFERROR(VLOOKUP($C25,Base!$C$36:$J$39,6,0),"")</f>
        <v>Très positif</v>
      </c>
      <c r="K25" s="16" t="str">
        <f>IFERROR(VLOOKUP($C25,Base!$C$36:$J$39,7,0),"")</f>
        <v>Neutre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117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Très négatif</v>
      </c>
      <c r="K26" s="16" t="str">
        <f>IFERROR(VLOOKUP($C26,Base!$C$40:$J$44,7,0),"")</f>
        <v>Neutre</v>
      </c>
      <c r="L26" s="16" t="str">
        <f>IFERROR(VLOOKUP($C26,Base!$C$40:$J$44,8,0),"")</f>
        <v>Très positif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139</v>
      </c>
      <c r="D27" s="8" t="s">
        <v>154</v>
      </c>
      <c r="E27" s="1"/>
      <c r="F27" s="16" t="str">
        <f>IFERROR(VLOOKUP($C27,Base!$C$45:$J$47,2,0),"")</f>
        <v>Neutre</v>
      </c>
      <c r="G27" s="16" t="str">
        <f>IFERROR(VLOOKUP($C27,Base!$C$45:$J$47,3,0),"")</f>
        <v>Neutre</v>
      </c>
      <c r="H27" s="16" t="str">
        <f>IFERROR(VLOOKUP($C27,Base!$C$45:$J$47,4,0),"")</f>
        <v>Neutre</v>
      </c>
      <c r="I27" s="16" t="str">
        <f>IFERROR(VLOOKUP($C27,Base!$C$45:$J$47,5,0),"")</f>
        <v>Neutre</v>
      </c>
      <c r="J27" s="16" t="str">
        <f>IFERROR(VLOOKUP($C27,Base!$C$45:$J$47,6,0),"")</f>
        <v>Neutre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55</v>
      </c>
      <c r="D28" s="8" t="s">
        <v>154</v>
      </c>
      <c r="E28" s="1"/>
      <c r="F28" s="16" t="str">
        <f>IFERROR(VLOOKUP($C28,Base!$C$48:$J$50,2,0),"")</f>
        <v>Négatif</v>
      </c>
      <c r="G28" s="16" t="str">
        <f>IFERROR(VLOOKUP($C28,Base!$C$48:$J$50,3,0),"")</f>
        <v>Négatif</v>
      </c>
      <c r="H28" s="16" t="str">
        <f>IFERROR(VLOOKUP($C28,Base!$C$48:$J$50,4,0),"")</f>
        <v>Neutre</v>
      </c>
      <c r="I28" s="16" t="str">
        <f>IFERROR(VLOOKUP($C28,Base!$C$48:$J$50,5,0),"")</f>
        <v>Négatif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110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Neutre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61</v>
      </c>
      <c r="D30" s="8" t="s">
        <v>157</v>
      </c>
      <c r="E30" s="1"/>
      <c r="F30" s="16" t="str">
        <f>IFERROR(VLOOKUP($C30,Base!$C$59:$J$68,2,0),"")</f>
        <v>Très positif</v>
      </c>
      <c r="G30" s="16" t="str">
        <f>IFERROR(VLOOKUP($C30,Base!$C$59:$J$68,3,0),"")</f>
        <v>Très positif</v>
      </c>
      <c r="H30" s="16" t="str">
        <f>IFERROR(VLOOKUP($C30,Base!$C$59:$J$68,4,0),"")</f>
        <v>Neutre</v>
      </c>
      <c r="I30" s="16" t="str">
        <f>IFERROR(VLOOKUP($C30,Base!$C$59:$J$68,5,0),"")</f>
        <v>Positif</v>
      </c>
      <c r="J30" s="16" t="str">
        <f>IFERROR(VLOOKUP($C30,Base!$C$59:$J$68,6,0),"")</f>
        <v>Très négatif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65</v>
      </c>
      <c r="D31" s="8" t="s">
        <v>158</v>
      </c>
      <c r="E31" s="1"/>
      <c r="F31" s="16" t="str">
        <f>IFERROR(VLOOKUP($C31,Base!$C$69:$J$73,2,0),"")</f>
        <v>Très négatif</v>
      </c>
      <c r="G31" s="16" t="str">
        <f>IFERROR(VLOOKUP($C31,Base!$C$69:$J$73,3,0),"")</f>
        <v>Très négatif</v>
      </c>
      <c r="H31" s="16" t="str">
        <f>IFERROR(VLOOKUP($C31,Base!$C$69:$J$73,4,0),"")</f>
        <v>Très négatif</v>
      </c>
      <c r="I31" s="16" t="str">
        <f>IFERROR(VLOOKUP($C31,Base!$C$69:$J$73,5,0),"")</f>
        <v>Très négatif</v>
      </c>
      <c r="J31" s="16" t="str">
        <f>IFERROR(VLOOKUP($C31,Base!$C$69:$J$73,6,0),"")</f>
        <v>Très négatif</v>
      </c>
      <c r="K31" s="16" t="str">
        <f>IFERROR(VLOOKUP($C31,Base!$C$69:$J$73,7,0),"")</f>
        <v>Très positif</v>
      </c>
      <c r="L31" s="16" t="str">
        <f>IFERROR(VLOOKUP($C31,Base!$C$69:$J$73,8,0),"")</f>
        <v>Négatif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55</v>
      </c>
      <c r="D32" s="8" t="s">
        <v>158</v>
      </c>
      <c r="E32" s="1"/>
      <c r="F32" s="16" t="str">
        <f>IFERROR(VLOOKUP($C32,Base!$C$74:$J$76,2,0),"")</f>
        <v>Neutre</v>
      </c>
      <c r="G32" s="16" t="str">
        <f>IFERROR(VLOOKUP($C32,Base!$C$74:$J$76,3,0),"")</f>
        <v>Neutre</v>
      </c>
      <c r="H32" s="16" t="str">
        <f>IFERROR(VLOOKUP($C32,Base!$C$74:$J$76,4,0),"")</f>
        <v>Neutre</v>
      </c>
      <c r="I32" s="16" t="str">
        <f>IFERROR(VLOOKUP($C32,Base!$C$74:$J$76,5,0),"")</f>
        <v>Neutre</v>
      </c>
      <c r="J32" s="16" t="str">
        <f>IFERROR(VLOOKUP($C32,Base!$C$74:$J$76,6,0),"")</f>
        <v>Neutre</v>
      </c>
      <c r="K32" s="16" t="str">
        <f>IFERROR(VLOOKUP($C32,Base!$C$74:$J$76,7,0),"")</f>
        <v>Neutre</v>
      </c>
      <c r="L32" s="16" t="str">
        <f>IFERROR(VLOOKUP($C32,Base!$C$74:$J$76,8,0),"")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72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Neutre</v>
      </c>
      <c r="I34" s="16" t="str">
        <f>IFERROR(VLOOKUP($C34,Base!$C$81:$J$86,5,0),"")</f>
        <v>Neutre</v>
      </c>
      <c r="J34" s="16" t="str">
        <f>IFERROR(VLOOKUP($C34,Base!$C$81:$J$86,6,0),"")</f>
        <v>Neutre</v>
      </c>
      <c r="K34" s="16" t="str">
        <f>IFERROR(VLOOKUP($C34,Base!$C$81:$J$86,7,0),"")</f>
        <v>Positif</v>
      </c>
      <c r="L34" s="16" t="str">
        <f>IFERROR(VLOOKUP($C34,Base!$C$81:$J$86,8,0),"")</f>
        <v>Neutre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71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Négatif</v>
      </c>
      <c r="I35" s="16" t="str">
        <f>IFERROR(VLOOKUP($C35,Base!$C$87:$J$92,5,0),"")</f>
        <v>Positif</v>
      </c>
      <c r="J35" s="16" t="str">
        <f>IFERROR(VLOOKUP($C35,Base!$C$87:$J$92,6,0),"")</f>
        <v>Positif</v>
      </c>
      <c r="K35" s="16" t="str">
        <f>IFERROR(VLOOKUP($C35,Base!$C$87:$J$92,7,0),"")</f>
        <v>Neutre</v>
      </c>
      <c r="L35" s="16" t="str">
        <f>IFERROR(VLOOKUP($C35,Base!$C$87:$J$92,8,0),"")</f>
        <v>Positif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82</v>
      </c>
      <c r="D36" s="8" t="s">
        <v>164</v>
      </c>
      <c r="E36" s="1"/>
      <c r="F36" s="16" t="str">
        <f>IFERROR(VLOOKUP($C36,Base!$C$101:$J$106,2,0),"")</f>
        <v>Neutre</v>
      </c>
      <c r="G36" s="16" t="str">
        <f>IFERROR(VLOOKUP($C36,Base!$C$101:$J$106,3,0),"")</f>
        <v>Neutre</v>
      </c>
      <c r="H36" s="16" t="str">
        <f>IFERROR(VLOOKUP($C36,Base!$C$101:$J$106,4,0),"")</f>
        <v>Neutre</v>
      </c>
      <c r="I36" s="16" t="str">
        <f>IFERROR(VLOOKUP($C36,Base!$C$101:$J$106,5,0),"")</f>
        <v>Neutre</v>
      </c>
      <c r="J36" s="16" t="str">
        <f>IFERROR(VLOOKUP($C36,Base!$C$101:$J$106,6,0),"")</f>
        <v>Neutre</v>
      </c>
      <c r="K36" s="16" t="str">
        <f>IFERROR(VLOOKUP($C36,Base!$C$101:$J$106,7,0),"")</f>
        <v>Positif</v>
      </c>
      <c r="L36" s="16" t="str">
        <f>IFERROR(VLOOKUP($C36,Base!$C$101:$J$106,8,0),"")</f>
        <v>Neutre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51</v>
      </c>
      <c r="D37" s="8"/>
      <c r="E37" s="1"/>
      <c r="F37" s="16" t="str">
        <f>IFERROR(VLOOKUP($C37,Base!$C$107:$J$111,2,0),"")</f>
        <v>-</v>
      </c>
      <c r="G37" s="16" t="str">
        <f>IFERROR(VLOOKUP($C37,Base!$C$107:$J$111,3,0),"")</f>
        <v>-</v>
      </c>
      <c r="H37" s="16" t="str">
        <f>IFERROR(VLOOKUP($C37,Base!$C$107:$J$111,4,0),"")</f>
        <v>-</v>
      </c>
      <c r="I37" s="16" t="str">
        <f>IFERROR(VLOOKUP($C37,Base!$C$107:$J$111,5,0),"")</f>
        <v>-</v>
      </c>
      <c r="J37" s="16" t="str">
        <f>IFERROR(VLOOKUP($C37,Base!$C$107:$J$111,6,0),"")</f>
        <v>-</v>
      </c>
      <c r="K37" s="16" t="str">
        <f>IFERROR(VLOOKUP($C37,Base!$C$107:$J$111,7,0),"")</f>
        <v>-</v>
      </c>
      <c r="L37" s="16" t="str">
        <f>IFERROR(VLOOKUP($C37,Base!$C$107:$J$111,8,0),"")</f>
        <v>-</v>
      </c>
      <c r="M37" s="4">
        <v>1</v>
      </c>
      <c r="N37" s="1"/>
      <c r="O37">
        <v>1</v>
      </c>
      <c r="P37">
        <f>IF(OR($C37="",$C37="Ne sait pas",$O37=0),0,1)</f>
        <v>0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13.75</v>
      </c>
      <c r="G38" s="20" cm="1">
        <f t="array" ref="G38">SUMPRODUCT(IF(G$12:G$37="Très Positif",2,0),$M$12:$M$37)+SUMPRODUCT(IF(G$12:G$37="Positif",1,0),$M$12:$M$37)+SUMPRODUCT(IF(G$12:G$37="Neutre",0.5,0),$M$12:$M$37)</f>
        <v>14.25</v>
      </c>
      <c r="H38" s="20" cm="1">
        <f t="array" ref="H38">SUMPRODUCT(IF(H$12:H$37="Très Positif",2,0),$M$12:$M$37)+SUMPRODUCT(IF(H$12:H$37="Positif",1,0),$M$12:$M$37)+SUMPRODUCT(IF(H$12:H$37="Neutre",0.5,0),$M$12:$M$37)</f>
        <v>12.5</v>
      </c>
      <c r="I38" s="20" cm="1">
        <f t="array" ref="I38">SUMPRODUCT(IF(I$12:I$37="Très Positif",2,0),$M$12:$M$37)+SUMPRODUCT(IF(I$12:I$37="Positif",1,0),$M$12:$M$37)+SUMPRODUCT(IF(I$12:I$37="Neutre",0.5,0),$M$12:$M$37)</f>
        <v>13.25</v>
      </c>
      <c r="J38" s="20" cm="1">
        <f t="array" ref="J38">SUMPRODUCT(IF(J$12:J$37="Très Positif",2,0),$M$12:$M$37)+SUMPRODUCT(IF(J$12:J$37="Positif",1,0),$M$12:$M$37)+SUMPRODUCT(IF(J$12:J$37="Neutre",0.5,0),$M$12:$M$37)</f>
        <v>15</v>
      </c>
      <c r="K38" s="20" cm="1">
        <f t="array" ref="K38">SUMPRODUCT(IF(K$12:K$37="Très Positif",2,0),$M$12:$M$37)+SUMPRODUCT(IF(K$12:K$37="Positif",1,0),$M$12:$M$37)+SUMPRODUCT(IF(K$12:K$37="Neutre",0.5,0),$M$12:$M$37)</f>
        <v>15.5</v>
      </c>
      <c r="L38" s="20" cm="1">
        <f t="array" ref="L38">SUMPRODUCT(IF(L$12:L$37="Très Positif",2,0),$M$12:$M$37)+SUMPRODUCT(IF(L$12:L$37="Positif",1,0),$M$12:$M$37)+SUMPRODUCT(IF(L$12:L$37="Neutre",0.5,0),$M$12:$M$37)</f>
        <v>13.75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15.25</v>
      </c>
      <c r="G39" s="21" cm="1">
        <f t="array" ref="G39">SUMPRODUCT(IF(G$12:G$37="Négatif",1,0),$M$12:$M$37)+SUMPRODUCT(IF(G$12:G$37="Très négatif",2,0),$M$12:$M$37)+SUMPRODUCT(IF(G$12:G$37="Neutre",0.5,0),$M$12:$M$37)</f>
        <v>12.75</v>
      </c>
      <c r="H39" s="21" cm="1">
        <f t="array" ref="H39">SUMPRODUCT(IF(H$12:H$37="Négatif",1,0),$M$12:$M$37)+SUMPRODUCT(IF(H$12:H$37="Très négatif",2,0),$M$12:$M$37)+SUMPRODUCT(IF(H$12:H$37="Neutre",0.5,0),$M$12:$M$37)</f>
        <v>12.5</v>
      </c>
      <c r="I39" s="21" cm="1">
        <f t="array" ref="I39">SUMPRODUCT(IF(I$12:I$37="Négatif",1,0),$M$12:$M$37)+SUMPRODUCT(IF(I$12:I$37="Très négatif",2,0),$M$12:$M$37)+SUMPRODUCT(IF(I$12:I$37="Neutre",0.5,0),$M$12:$M$37)</f>
        <v>11.75</v>
      </c>
      <c r="J39" s="21" cm="1">
        <f t="array" ref="J39">SUMPRODUCT(IF(J$12:J$37="Négatif",1,0),$M$12:$M$37)+SUMPRODUCT(IF(J$12:J$37="Très négatif",2,0),$M$12:$M$37)+SUMPRODUCT(IF(J$12:J$37="Neutre",0.5,0),$M$12:$M$37)</f>
        <v>13</v>
      </c>
      <c r="K39" s="21" cm="1">
        <f t="array" ref="K39">SUMPRODUCT(IF(K$12:K$37="Négatif",1,0),$M$12:$M$37)+SUMPRODUCT(IF(K$12:K$37="Très négatif",2,0),$M$12:$M$37)+SUMPRODUCT(IF(K$12:K$37="Neutre",0.5,0),$M$12:$M$37)</f>
        <v>8.5</v>
      </c>
      <c r="L39" s="21" cm="1">
        <f t="array" ref="L39">SUMPRODUCT(IF(L$12:L$37="Négatif",1,0),$M$12:$M$37)+SUMPRODUCT(IF(L$12:L$37="Très négatif",2,0),$M$12:$M$37)+SUMPRODUCT(IF(L$12:L$37="Neutre",0.5,0),$M$12:$M$37)</f>
        <v>12.75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39</v>
      </c>
      <c r="G40" s="53"/>
      <c r="H40" s="53"/>
      <c r="I40" s="53"/>
      <c r="J40" s="53"/>
      <c r="K40" s="53"/>
      <c r="L40" s="53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0.47413793103448276</v>
      </c>
      <c r="G41" s="10">
        <f t="shared" si="2"/>
        <v>0.52777777777777779</v>
      </c>
      <c r="H41" s="10">
        <f t="shared" si="2"/>
        <v>0.5</v>
      </c>
      <c r="I41" s="10">
        <f t="shared" si="2"/>
        <v>0.53</v>
      </c>
      <c r="J41" s="10">
        <f t="shared" si="2"/>
        <v>0.5357142857142857</v>
      </c>
      <c r="K41" s="10">
        <f t="shared" si="2"/>
        <v>0.64583333333333337</v>
      </c>
      <c r="L41" s="10">
        <f t="shared" si="2"/>
        <v>0.51886792452830188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1</v>
      </c>
      <c r="G42" s="34">
        <f>RANK(G41,F41:L41,1)</f>
        <v>4</v>
      </c>
      <c r="H42" s="34">
        <f>RANK(H41,F41:L41,1)</f>
        <v>2</v>
      </c>
      <c r="I42" s="34">
        <f>RANK(I41,F41:L41,1)</f>
        <v>5</v>
      </c>
      <c r="J42" s="34">
        <f>RANK(J41,F41:L41,1)</f>
        <v>6</v>
      </c>
      <c r="K42" s="34">
        <f>RANK(K41,F41:L41,1)</f>
        <v>7</v>
      </c>
      <c r="L42" s="34">
        <f>RANK(L41,F41:L41,1)</f>
        <v>3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D46" s="49" t="s">
        <v>173</v>
      </c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0.5546875</v>
      </c>
      <c r="G47" s="10">
        <v>0.57499999999999996</v>
      </c>
      <c r="H47" s="10">
        <v>0.46296296296296297</v>
      </c>
      <c r="I47" s="10">
        <v>0.56481481481481477</v>
      </c>
      <c r="J47" s="10">
        <v>0.43333333333333335</v>
      </c>
      <c r="K47" s="10">
        <v>0.61111111111111116</v>
      </c>
      <c r="L47" s="10">
        <v>0.44915254237288138</v>
      </c>
    </row>
    <row r="49" spans="6:12" x14ac:dyDescent="0.2">
      <c r="F49" s="50">
        <f>F47-F41</f>
        <v>8.0549568965517238E-2</v>
      </c>
      <c r="G49" s="50">
        <f t="shared" ref="G49:L49" si="4">G47-G41</f>
        <v>4.7222222222222165E-2</v>
      </c>
      <c r="H49" s="50">
        <f t="shared" si="4"/>
        <v>-3.7037037037037035E-2</v>
      </c>
      <c r="I49" s="50">
        <f t="shared" si="4"/>
        <v>3.4814814814814743E-2</v>
      </c>
      <c r="J49" s="51">
        <f t="shared" si="4"/>
        <v>-0.10238095238095235</v>
      </c>
      <c r="K49" s="50">
        <f t="shared" si="4"/>
        <v>-3.472222222222221E-2</v>
      </c>
      <c r="L49" s="51">
        <f t="shared" si="4"/>
        <v>-6.9715382155420502E-2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C29" sqref="C29:C32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8" t="s">
        <v>165</v>
      </c>
      <c r="D13" s="47" t="s">
        <v>44</v>
      </c>
      <c r="E13" s="47" t="s">
        <v>44</v>
      </c>
      <c r="F13" s="47" t="s">
        <v>44</v>
      </c>
      <c r="G13" s="47" t="s">
        <v>44</v>
      </c>
      <c r="H13" s="47" t="s">
        <v>44</v>
      </c>
      <c r="I13" s="44" t="s">
        <v>52</v>
      </c>
      <c r="J13" s="47" t="s">
        <v>52</v>
      </c>
    </row>
    <row r="14" spans="1:12" x14ac:dyDescent="0.2">
      <c r="C14" s="48" t="s">
        <v>166</v>
      </c>
      <c r="D14" s="47" t="s">
        <v>46</v>
      </c>
      <c r="E14" s="47" t="s">
        <v>46</v>
      </c>
      <c r="F14" s="47" t="s">
        <v>46</v>
      </c>
      <c r="G14" s="47" t="s">
        <v>46</v>
      </c>
      <c r="H14" s="47" t="s">
        <v>46</v>
      </c>
      <c r="I14" s="44" t="s">
        <v>46</v>
      </c>
      <c r="J14" s="47" t="s">
        <v>46</v>
      </c>
    </row>
    <row r="15" spans="1:12" x14ac:dyDescent="0.2">
      <c r="C15" s="48" t="s">
        <v>167</v>
      </c>
      <c r="D15" s="47" t="s">
        <v>49</v>
      </c>
      <c r="E15" s="47" t="s">
        <v>49</v>
      </c>
      <c r="F15" s="47" t="s">
        <v>49</v>
      </c>
      <c r="G15" s="47" t="s">
        <v>49</v>
      </c>
      <c r="H15" s="47" t="s">
        <v>49</v>
      </c>
      <c r="I15" s="44" t="s">
        <v>44</v>
      </c>
      <c r="J15" s="47" t="s">
        <v>44</v>
      </c>
    </row>
    <row r="16" spans="1:12" x14ac:dyDescent="0.2">
      <c r="C16" s="48" t="s">
        <v>168</v>
      </c>
      <c r="D16" s="47" t="s">
        <v>46</v>
      </c>
      <c r="E16" s="47" t="s">
        <v>46</v>
      </c>
      <c r="F16" s="47" t="s">
        <v>46</v>
      </c>
      <c r="G16" s="47" t="s">
        <v>46</v>
      </c>
      <c r="H16" s="47" t="s">
        <v>46</v>
      </c>
      <c r="I16" s="44" t="s">
        <v>49</v>
      </c>
      <c r="J16" s="47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6">
        <v>8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>
        <v>9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>
        <v>10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165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166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167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168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2025-09-24T09:45:29Z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