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61" documentId="8_{E634FC12-7DD1-413A-8F43-186915709F53}" xr6:coauthVersionLast="47" xr6:coauthVersionMax="47" xr10:uidLastSave="{8FA74028-A8C4-4945-8CA6-6CD5F5187391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K23" i="1" s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<sst xmlns="http://schemas.openxmlformats.org/spreadsheetml/2006/main" count="1190" uniqueCount="176">
  <si>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</si>
  <si>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</si>
  <si>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</si>
  <si>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</si>
  <si>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</si>
  <si>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</si>
  <si>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</si>
  <si>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</si>
  <si>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</si>
  <si>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</si>
  <si>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</si>
  <si>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</si>
  <si>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</si>
  <si>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</si>
  <si>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</si>
  <si>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</si>
  <si>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</si>
  <si>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</si>
  <si>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</si>
  <si>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</si>
  <si>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</si>
  <si>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</si>
  <si>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</si>
  <si>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</si>
  <si>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</si>
  <si>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</si>
  <si>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</si>
  <si>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</si>
  <si>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</si>
  <si>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</si>
  <si>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</si>
  <si>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</si>
  <si>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</si>
  <si>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</si>
  <si>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</si>
  <si>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</si>
  <si>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</si>
  <si>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</si>
  <si>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</si>
  <si>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</si>
  <si>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</si>
  <si>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</si>
  <si>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</si>
  <si>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</si>
  <si>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</si>
  <si>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</si>
  <si>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</si>
  <si>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</si>
  <si>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</si>
  <si>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</si>
  <si>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</si>
  <si>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</si>
  <si>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</si>
  <si>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</si>
  <si>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</si>
  <si>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</si>
  <si>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</si>
  <si>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</si>
  <si>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</si>
  <si>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</si>
  <si>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</si>
  <si>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</si>
  <si>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</si>
  <si>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</si>
  <si>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</si>
  <si>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</si>
  <si>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</si>
  <si>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</si>
  <si>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</si>
  <si>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</si>
  <si>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</si>
  <si>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</si>
  <si>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</si>
  <si>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</si>
  <si>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</si>
  <si>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</si>
  <si>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</si>
  <si>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</si>
  <si>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</si>
  <si>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</si>
  <si>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</si>
  <si>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</si>
  <si>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</si>
  <si>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</si>
  <si>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</si>
  <si>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</si>
  <si>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</si>
  <si>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</si>
  <si>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</si>
  <si>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</si>
  <si>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</si>
  <si>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</si>
  <si>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</si>
  <si>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</si>
  <si>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</si>
  <si>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</si>
  <si>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</si>
  <si>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</si>
  <si>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</si>
  <si>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</si>
  <si>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</si>
  <si>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</si>
  <si>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</si>
  <si>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</si>
  <si>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</si>
  <si>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</si>
  <si>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</si>
  <si>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</si>
  <si>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</si>
  <si>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</si>
  <si>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</si>
  <si>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</si>
  <si>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</si>
  <si>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</si>
  <si>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</si>
  <si>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</si>
  <si>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</si>
  <si>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</si>
  <si>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</si>
  <si>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</si>
  <si>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</si>
  <si>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</si>
  <si>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</si>
  <si>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</si>
  <si>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</si>
  <si>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</si>
  <si>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</si>
  <si>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</si>
  <si>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</si>
  <si>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</si>
  <si>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</si>
  <si>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</si>
  <si>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</si>
  <si>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</si>
  <si>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</si>
  <si>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</si>
  <si>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</si>
  <si>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</si>
  <si>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</si>
  <si>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</si>
  <si>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</si>
  <si>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</si>
  <si>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</si>
  <si>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</si>
  <si>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</si>
  <si>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</si>
  <si>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</si>
  <si>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</si>
  <si>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</si>
  <si>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</si>
  <si>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</si>
  <si>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</si>
  <si>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</si>
  <si>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</si>
  <si>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</si>
  <si>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</si>
  <si>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</si>
  <si>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</si>
  <si>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</si>
  <si>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</si>
  <si>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</si>
  <si>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Ancien site de Teintures et apprêts du centre (TAC)</t>
  </si>
  <si>
    <t>Renaison</t>
  </si>
  <si>
    <t>Section OB : 280, 297, 298, 299, 300, etc. …</t>
  </si>
  <si>
    <t>Dossier de cessation d'activité</t>
  </si>
  <si>
    <t>Liquidation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</si>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</sst>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A17" zoomScale="68" zoomScaleNormal="48" workbookViewId="0">
      <selection activeCell="F23" sqref="F23:L2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161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163</v>
      </c>
      <c r="D13" s="6" t="s">
        <v>164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165</v>
      </c>
      <c r="D14" s="6" t="s">
        <v>164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162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164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46333</v>
      </c>
      <c r="D17" s="8" t="s">
        <v>164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7000</v>
      </c>
      <c r="D18" s="8" t="s">
        <v>164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2</v>
      </c>
      <c r="D19" s="6" t="s">
        <v>164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175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Négatif</v>
      </c>
      <c r="L20" s="16" t="str">
        <f>IFERROR(VLOOKUP($C20,Base!$C$13:$J$17,8,0),"")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149</v>
      </c>
      <c r="D21" s="8" t="s">
        <v>166</v>
      </c>
      <c r="E21" s="1"/>
      <c r="F21" s="16" t="str">
        <f>IFERROR(VLOOKUP($C21,Base!$C$18:$J$22,2,0),"")</f>
        <v>Neutre</v>
      </c>
      <c r="G21" s="16" t="str">
        <f>IFERROR(VLOOKUP($C21,Base!$C$18:$J$22,3,0),"")</f>
        <v>Neutre</v>
      </c>
      <c r="H21" s="16" t="str">
        <f>IFERROR(VLOOKUP($C21,Base!$C$18:$J$22,4,0),"")</f>
        <v>Neutre</v>
      </c>
      <c r="I21" s="16" t="str">
        <f>IFERROR(VLOOKUP($C21,Base!$C$18:$J$22,5,0),"")</f>
        <v>Neutre</v>
      </c>
      <c r="J21" s="16" t="str">
        <f>IFERROR(VLOOKUP($C21,Base!$C$18:$J$22,6,0),"")</f>
        <v>Neutre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167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7.2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Positif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167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109</v>
      </c>
      <c r="D25" s="8" t="s">
        <v>155</v>
      </c>
      <c r="E25" s="1"/>
      <c r="F25" s="16" t="str">
        <f>IFERROR(VLOOKUP($C25,Base!$C$36:$J$39,2,0),"")</f>
        <v>Négatif</v>
      </c>
      <c r="G25" s="16" t="str">
        <f>IFERROR(VLOOKUP($C25,Base!$C$36:$J$39,3,0),"")</f>
        <v>Négatif</v>
      </c>
      <c r="H25" s="16" t="str">
        <f>IFERROR(VLOOKUP($C25,Base!$C$36:$J$39,4,0),"")</f>
        <v>Neutre</v>
      </c>
      <c r="I25" s="16" t="str">
        <f>IFERROR(VLOOKUP($C25,Base!$C$36:$J$39,5,0),"")</f>
        <v>Négatif</v>
      </c>
      <c r="J25" s="16" t="str">
        <f>IFERROR(VLOOKUP($C25,Base!$C$36:$J$39,6,0),"")</f>
        <v>Très négatif</v>
      </c>
      <c r="K25" s="16" t="str">
        <f>IFERROR(VLOOKUP($C25,Base!$C$36:$J$39,7,0),"")</f>
        <v>Très positif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55</v>
      </c>
      <c r="D28" s="8" t="s">
        <v>154</v>
      </c>
      <c r="E28" s="1"/>
      <c r="F28" s="16" t="str">
        <f>IFERROR(VLOOKUP($C28,Base!$C$48:$J$50,2,0),"")</f>
        <v>Négatif</v>
      </c>
      <c r="G28" s="16" t="str">
        <f>IFERROR(VLOOKUP($C28,Base!$C$48:$J$50,3,0),"")</f>
        <v>Négatif</v>
      </c>
      <c r="H28" s="16" t="str">
        <f>IFERROR(VLOOKUP($C28,Base!$C$48:$J$50,4,0),"")</f>
        <v>Neutre</v>
      </c>
      <c r="I28" s="16" t="str">
        <f>IFERROR(VLOOKUP($C28,Base!$C$48:$J$50,5,0),"")</f>
        <v>Négatif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115</v>
      </c>
      <c r="D30" s="8" t="s">
        <v>157</v>
      </c>
      <c r="E30" s="1"/>
      <c r="F30" s="16" t="str">
        <f>IFERROR(VLOOKUP($C30,Base!$C$59:$J$68,2,0),"")</f>
        <v>Très négatif</v>
      </c>
      <c r="G30" s="16" t="str">
        <f>IFERROR(VLOOKUP($C30,Base!$C$59:$J$68,3,0),"")</f>
        <v>Très négatif</v>
      </c>
      <c r="H30" s="16" t="str">
        <f>IFERROR(VLOOKUP($C30,Base!$C$59:$J$68,4,0),"")</f>
        <v>Neutre</v>
      </c>
      <c r="I30" s="16" t="str">
        <f>IFERROR(VLOOKUP($C30,Base!$C$59:$J$68,5,0),"")</f>
        <v>Très négatif</v>
      </c>
      <c r="J30" s="16" t="str">
        <f>IFERROR(VLOOKUP($C30,Base!$C$59:$J$68,6,0),"")</f>
        <v>Très négatif</v>
      </c>
      <c r="K30" s="16" t="str">
        <f>IFERROR(VLOOKUP($C30,Base!$C$59:$J$68,7,0),"")</f>
        <v>Très positif</v>
      </c>
      <c r="L30" s="16" t="str">
        <f>IFERROR(VLOOKUP($C30,Base!$C$59:$J$68,8,0),"")</f>
        <v>Négatif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65</v>
      </c>
      <c r="D31" s="8" t="s">
        <v>158</v>
      </c>
      <c r="E31" s="1"/>
      <c r="F31" s="16" t="str">
        <f>IFERROR(VLOOKUP($C31,Base!$C$69:$J$73,2,0),"")</f>
        <v>Très négatif</v>
      </c>
      <c r="G31" s="16" t="str">
        <f>IFERROR(VLOOKUP($C31,Base!$C$69:$J$73,3,0),"")</f>
        <v>Très négatif</v>
      </c>
      <c r="H31" s="16" t="str">
        <f>IFERROR(VLOOKUP($C31,Base!$C$69:$J$73,4,0),"")</f>
        <v>Très négatif</v>
      </c>
      <c r="I31" s="16" t="str">
        <f>IFERROR(VLOOKUP($C31,Base!$C$69:$J$73,5,0),"")</f>
        <v>Très négatif</v>
      </c>
      <c r="J31" s="16" t="str">
        <f>IFERROR(VLOOKUP($C31,Base!$C$69:$J$73,6,0),"")</f>
        <v>Très négatif</v>
      </c>
      <c r="K31" s="16" t="str">
        <f>IFERROR(VLOOKUP($C31,Base!$C$69:$J$73,7,0),"")</f>
        <v>Très positif</v>
      </c>
      <c r="L31" s="16" t="str">
        <f>IFERROR(VLOOKUP($C31,Base!$C$69:$J$73,8,0),"")</f>
        <v>Négatif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73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Positif</v>
      </c>
      <c r="I34" s="16" t="str">
        <f>IFERROR(VLOOKUP($C34,Base!$C$81:$J$86,5,0),"")</f>
        <v>Négatif</v>
      </c>
      <c r="J34" s="16" t="str">
        <f>IFERROR(VLOOKUP($C34,Base!$C$81:$J$86,6,0),"")</f>
        <v>Négatif</v>
      </c>
      <c r="K34" s="16" t="str">
        <f>IFERROR(VLOOKUP($C34,Base!$C$81:$J$86,7,0),"")</f>
        <v>Positif</v>
      </c>
      <c r="L34" s="16" t="str">
        <f>IFERROR(VLOOKUP($C34,Base!$C$81:$J$86,8,0),"")</f>
        <v>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77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Positif</v>
      </c>
      <c r="I35" s="16" t="str">
        <f>IFERROR(VLOOKUP($C35,Base!$C$87:$J$92,5,0),"")</f>
        <v>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135</v>
      </c>
      <c r="D36" s="8" t="s">
        <v>168</v>
      </c>
      <c r="E36" s="1"/>
      <c r="F36" s="16" t="str">
        <f>IFERROR(VLOOKUP($C36,Base!$C$101:$J$106,2,0),"")</f>
        <v>Négatif</v>
      </c>
      <c r="G36" s="16" t="str">
        <f>IFERROR(VLOOKUP($C36,Base!$C$101:$J$106,3,0),"")</f>
        <v>Négatif</v>
      </c>
      <c r="H36" s="16" t="str">
        <f>IFERROR(VLOOKUP($C36,Base!$C$101:$J$106,4,0),"")</f>
        <v>Négatif</v>
      </c>
      <c r="I36" s="16" t="str">
        <f>IFERROR(VLOOKUP($C36,Base!$C$101:$J$106,5,0),"")</f>
        <v>Négatif</v>
      </c>
      <c r="J36" s="16" t="str">
        <f>IFERROR(VLOOKUP($C36,Base!$C$101:$J$106,6,0),"")</f>
        <v>Négatif</v>
      </c>
      <c r="K36" s="16" t="str">
        <f>IFERROR(VLOOKUP($C36,Base!$C$101:$J$106,7,0),"")</f>
        <v>Positif</v>
      </c>
      <c r="L36" s="16" t="str">
        <f>IFERROR(VLOOKUP($C36,Base!$C$101:$J$106,8,0),"")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11.75</v>
      </c>
      <c r="G38" s="20" cm="1">
        <f t="array" ref="G38">SUMPRODUCT(IF(G$12:G$37="Très Positif",2,0),$M$12:$M$37)+SUMPRODUCT(IF(G$12:G$37="Positif",1,0),$M$12:$M$37)+SUMPRODUCT(IF(G$12:G$37="Neutre",0.5,0),$M$12:$M$37)</f>
        <v>11.25</v>
      </c>
      <c r="H38" s="20" cm="1">
        <f t="array" ref="H38">SUMPRODUCT(IF(H$12:H$37="Très Positif",2,0),$M$12:$M$37)+SUMPRODUCT(IF(H$12:H$37="Positif",1,0),$M$12:$M$37)+SUMPRODUCT(IF(H$12:H$37="Neutre",0.5,0),$M$12:$M$37)</f>
        <v>13.5</v>
      </c>
      <c r="I38" s="20" cm="1">
        <f t="array" ref="I38">SUMPRODUCT(IF(I$12:I$37="Très Positif",2,0),$M$12:$M$37)+SUMPRODUCT(IF(I$12:I$37="Positif",1,0),$M$12:$M$37)+SUMPRODUCT(IF(I$12:I$37="Neutre",0.5,0),$M$12:$M$37)</f>
        <v>8.75</v>
      </c>
      <c r="J38" s="20" cm="1">
        <f t="array" ref="J38">SUMPRODUCT(IF(J$12:J$37="Très Positif",2,0),$M$12:$M$37)+SUMPRODUCT(IF(J$12:J$37="Positif",1,0),$M$12:$M$37)+SUMPRODUCT(IF(J$12:J$37="Neutre",0.5,0),$M$12:$M$37)</f>
        <v>12</v>
      </c>
      <c r="K38" s="20" cm="1">
        <f t="array" ref="K38">SUMPRODUCT(IF(K$12:K$37="Très Positif",2,0),$M$12:$M$37)+SUMPRODUCT(IF(K$12:K$37="Positif",1,0),$M$12:$M$37)+SUMPRODUCT(IF(K$12:K$37="Neutre",0.5,0),$M$12:$M$37)</f>
        <v>16.25</v>
      </c>
      <c r="L38" s="20" cm="1">
        <f t="array" ref="L38">SUMPRODUCT(IF(L$12:L$37="Très Positif",2,0),$M$12:$M$37)+SUMPRODUCT(IF(L$12:L$37="Positif",1,0),$M$12:$M$37)+SUMPRODUCT(IF(L$12:L$37="Neutre",0.5,0),$M$12:$M$37)</f>
        <v>11.75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16.25</v>
      </c>
      <c r="G39" s="21" cm="1">
        <f t="array" ref="G39">SUMPRODUCT(IF(G$12:G$37="Négatif",1,0),$M$12:$M$37)+SUMPRODUCT(IF(G$12:G$37="Très négatif",2,0),$M$12:$M$37)+SUMPRODUCT(IF(G$12:G$37="Neutre",0.5,0),$M$12:$M$37)</f>
        <v>15.75</v>
      </c>
      <c r="H39" s="21" cm="1">
        <f t="array" ref="H39">SUMPRODUCT(IF(H$12:H$37="Négatif",1,0),$M$12:$M$37)+SUMPRODUCT(IF(H$12:H$37="Très négatif",2,0),$M$12:$M$37)+SUMPRODUCT(IF(H$12:H$37="Neutre",0.5,0),$M$12:$M$37)</f>
        <v>11.5</v>
      </c>
      <c r="I39" s="21" cm="1">
        <f t="array" ref="I39">SUMPRODUCT(IF(I$12:I$37="Négatif",1,0),$M$12:$M$37)+SUMPRODUCT(IF(I$12:I$37="Très négatif",2,0),$M$12:$M$37)+SUMPRODUCT(IF(I$12:I$37="Neutre",0.5,0),$M$12:$M$37)</f>
        <v>17.25</v>
      </c>
      <c r="J39" s="21" cm="1">
        <f t="array" ref="J39">SUMPRODUCT(IF(J$12:J$37="Négatif",1,0),$M$12:$M$37)+SUMPRODUCT(IF(J$12:J$37="Très négatif",2,0),$M$12:$M$37)+SUMPRODUCT(IF(J$12:J$37="Neutre",0.5,0),$M$12:$M$37)</f>
        <v>16</v>
      </c>
      <c r="K39" s="21" cm="1">
        <f t="array" ref="K39">SUMPRODUCT(IF(K$12:K$37="Négatif",1,0),$M$12:$M$37)+SUMPRODUCT(IF(K$12:K$37="Très négatif",2,0),$M$12:$M$37)+SUMPRODUCT(IF(K$12:K$37="Neutre",0.5,0),$M$12:$M$37)</f>
        <v>10.25</v>
      </c>
      <c r="L39" s="21" cm="1">
        <f t="array" ref="L39">SUMPRODUCT(IF(L$12:L$37="Négatif",1,0),$M$12:$M$37)+SUMPRODUCT(IF(L$12:L$37="Très négatif",2,0),$M$12:$M$37)+SUMPRODUCT(IF(L$12:L$37="Neutre",0.5,0),$M$12:$M$37)</f>
        <v>13.75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0.41964285714285715</v>
      </c>
      <c r="G41" s="10">
        <f t="shared" si="2"/>
        <v>0.41666666666666669</v>
      </c>
      <c r="H41" s="10">
        <f t="shared" si="2"/>
        <v>0.54</v>
      </c>
      <c r="I41" s="10">
        <f t="shared" si="2"/>
        <v>0.33653846153846156</v>
      </c>
      <c r="J41" s="10">
        <f t="shared" si="2"/>
        <v>0.42857142857142855</v>
      </c>
      <c r="K41" s="10">
        <f t="shared" si="2"/>
        <v>0.6132075471698113</v>
      </c>
      <c r="L41" s="10">
        <f t="shared" si="2"/>
        <v>0.46078431372549017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3</v>
      </c>
      <c r="G42" s="34">
        <f>RANK(G41,F41:L41,1)</f>
        <v>2</v>
      </c>
      <c r="H42" s="34">
        <f>RANK(H41,F41:L41,1)</f>
        <v>6</v>
      </c>
      <c r="I42" s="34">
        <f>RANK(I41,F41:L41,1)</f>
        <v>1</v>
      </c>
      <c r="J42" s="34">
        <f>RANK(J41,F41:L41,1)</f>
        <v>4</v>
      </c>
      <c r="K42" s="34">
        <f>RANK(K41,F41:L41,1)</f>
        <v>7</v>
      </c>
      <c r="L42" s="34">
        <f>RANK(L41,F41:L41,1)</f>
        <v>5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0.34166666666666667</v>
      </c>
      <c r="G47" s="10">
        <v>0.35344827586206895</v>
      </c>
      <c r="H47" s="10">
        <v>0.48076923076923078</v>
      </c>
      <c r="I47" s="10">
        <v>0.2767857142857143</v>
      </c>
      <c r="J47" s="10">
        <v>0.36666666666666664</v>
      </c>
      <c r="K47" s="10">
        <v>0.65254237288135597</v>
      </c>
      <c r="L47" s="10">
        <v>0.41228070175438597</v>
      </c>
    </row>
    <row r="49" spans="6:12" x14ac:dyDescent="0.2">
      <c r="F49" s="51">
        <f>F47-F41</f>
        <v>-7.7976190476190477E-2</v>
      </c>
      <c r="G49" s="51">
        <f t="shared" ref="G49:L49" si="4">G47-G41</f>
        <v>-6.3218390804597735E-2</v>
      </c>
      <c r="H49" s="51">
        <f t="shared" si="4"/>
        <v>-5.9230769230769253E-2</v>
      </c>
      <c r="I49" s="51">
        <f t="shared" si="4"/>
        <v>-5.9752747252747263E-2</v>
      </c>
      <c r="J49" s="51">
        <f t="shared" si="4"/>
        <v>-6.1904761904761907E-2</v>
      </c>
      <c r="K49" s="50">
        <f t="shared" si="4"/>
        <v>3.9334825711544674E-2</v>
      </c>
      <c r="L49" s="50">
        <f t="shared" si="4"/>
        <v>-4.8503611971104199E-2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172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173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174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175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169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170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171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172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173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174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175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