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20" documentId="8_{66B46342-CF9C-4849-A4A3-979B7DBD84F4}" xr6:coauthVersionLast="47" xr6:coauthVersionMax="47" xr10:uidLastSave="{530C6762-56C8-48FB-A9CE-B7566BA8C0BA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<sst xmlns="http://schemas.openxmlformats.org/spreadsheetml/2006/main" count="1189" uniqueCount="175">
  <si>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</si>
  <si>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</si>
  <si>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</si>
  <si>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</si>
  <si>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</si>
  <si>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</si>
  <si>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</si>
  <si>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</si>
  <si>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</si>
  <si>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</si>
  <si>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</si>
  <si>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</si>
  <si>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</si>
  <si>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</si>
  <si>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</si>
  <si>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</si>
  <si>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</si>
  <si>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</si>
  <si>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</si>
  <si>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</si>
  <si>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</si>
  <si>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</si>
  <si>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</si>
  <si>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</si>
  <si>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</si>
  <si>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</si>
  <si>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</si>
  <si>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</si>
  <si>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</si>
  <si>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</si>
  <si>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</si>
  <si>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</si>
  <si>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</si>
  <si>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</si>
  <si>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</si>
  <si>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</si>
  <si>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</si>
  <si>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</si>
  <si>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</si>
  <si>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</si>
  <si>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</si>
  <si>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</si>
  <si>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</si>
  <si>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</si>
  <si>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</si>
  <si>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</si>
  <si>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</si>
  <si>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</si>
  <si>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</si>
  <si>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</si>
  <si>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</si>
  <si>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</si>
  <si>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</si>
  <si>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</si>
  <si>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</si>
  <si>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</si>
  <si>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</si>
  <si>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</si>
  <si>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</si>
  <si>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</si>
  <si>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</si>
  <si>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</si>
  <si>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</si>
  <si>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</si>
  <si>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</si>
  <si>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</si>
  <si>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</si>
  <si>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</si>
  <si>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</si>
  <si>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</si>
  <si>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</si>
  <si>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</si>
  <si>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</si>
  <si>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</si>
  <si>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</si>
  <si>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</si>
  <si>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</si>
  <si>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</si>
  <si>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</si>
  <si>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</si>
  <si>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</si>
  <si>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</si>
  <si>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</si>
  <si>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</si>
  <si>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</si>
  <si>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</si>
  <si>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</si>
  <si>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</si>
  <si>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</si>
  <si>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</si>
  <si>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</si>
  <si>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</si>
  <si>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</si>
  <si>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</si>
  <si>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</si>
  <si>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</si>
  <si>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</si>
  <si>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</si>
  <si>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</si>
  <si>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</si>
  <si>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</si>
  <si>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</si>
  <si>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</si>
  <si>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</si>
  <si>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</si>
  <si>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</si>
  <si>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</si>
  <si>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</si>
  <si>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</si>
  <si>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</si>
  <si>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</si>
  <si>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</si>
  <si>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</si>
  <si>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</si>
  <si>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</si>
  <si>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</si>
  <si>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</si>
  <si>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</si>
  <si>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</si>
  <si>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</si>
  <si>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</si>
  <si>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</si>
  <si>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</si>
  <si>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</si>
  <si>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</si>
  <si>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</si>
  <si>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</si>
  <si>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</si>
  <si>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</si>
  <si>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</si>
  <si>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</si>
  <si>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</si>
  <si>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</si>
  <si>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</si>
  <si>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</si>
  <si>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</si>
  <si>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</si>
  <si>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</si>
  <si>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</si>
  <si>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</si>
  <si>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</si>
  <si>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</si>
  <si>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</si>
  <si>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</si>
  <si>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</si>
  <si>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</si>
  <si>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</si>
  <si>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</si>
  <si>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</si>
  <si>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</si>
  <si>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</si>
  <si>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</si>
  <si>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</si>
  <si>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</si>
  <si>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</si>
  <si>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</si>
  <si>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</si>
  <si>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</si>
  <si>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</si>
  <si>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</si>
  <si>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</si>
  <si>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</si>
  <si>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</si>
  <si>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</si>
  <si>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</si>
  <si>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</si>
  <si>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</si>
  <si>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</si>
  <si>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</si>
  <si>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</si>
  <si>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</si>
  <si>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</si>
  <si>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ACIER POLI</t>
  </si>
  <si>
    <t>583 (section AE)</t>
  </si>
  <si>
    <t>Saint-Julien-de-Sault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</si>
</sst>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F23" sqref="F23:L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/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174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9000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Positif</v>
      </c>
      <c r="G17" s="16" t="str">
        <f>IFERROR(SUBSTITUTE(IF($C$17="","",IF($C$17&lt;Base!$C$7,Base!E$7,IF(AND($C$17&gt;=Base!$C$7,$C$17&lt;Base!$C$8),Base!E$8,IF($C$17&gt;=Base!$C$10,Base!E$10,Base!E$9)))),"0",""),"")</f>
        <v>Positif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Très négatif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2800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9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170</v>
      </c>
      <c r="D20" s="8" t="s">
        <v>152</v>
      </c>
      <c r="E20" s="1"/>
      <c r="F20" s="16" t="str">
        <f>IFERROR(VLOOKUP($C20,Base!$C$13:$J$17,2,0),"")</f>
        <v>Négatif</v>
      </c>
      <c r="G20" s="16" t="str">
        <f>IFERROR(VLOOKUP($C20,Base!$C$13:$J$17,3,0),"")</f>
        <v>Négatif</v>
      </c>
      <c r="H20" s="16" t="str">
        <f>IFERROR(VLOOKUP($C20,Base!$C$13:$J$17,4,0),"")</f>
        <v>Négatif</v>
      </c>
      <c r="I20" s="16" t="str">
        <f>IFERROR(VLOOKUP($C20,Base!$C$13:$J$17,5,0),"")</f>
        <v>Négatif</v>
      </c>
      <c r="J20" s="16" t="str">
        <f>IFERROR(VLOOKUP($C20,Base!$C$13:$J$17,6,0),"")</f>
        <v>Négatif</v>
      </c>
      <c r="K20" s="16" t="str">
        <f>IFERROR(VLOOKUP($C20,Base!$C$13:$J$17,7,0),"")</f>
        <v>Très positif</v>
      </c>
      <c r="L20" s="16" t="str">
        <f>IFERROR(VLOOKUP($C20,Base!$C$13:$J$17,8,0),"")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51</v>
      </c>
      <c r="D21" s="8" t="s">
        <v>162</v>
      </c>
      <c r="E21" s="1"/>
      <c r="F21" s="16" t="str">
        <f>IFERROR(VLOOKUP($C21,Base!$C$18:$J$22,2,0),"")</f>
        <v>-</v>
      </c>
      <c r="G21" s="16" t="str">
        <f>IFERROR(VLOOKUP($C21,Base!$C$18:$J$22,3,0),"")</f>
        <v>-</v>
      </c>
      <c r="H21" s="16" t="str">
        <f>IFERROR(VLOOKUP($C21,Base!$C$18:$J$22,4,0),"")</f>
        <v>-</v>
      </c>
      <c r="I21" s="16" t="str">
        <f>IFERROR(VLOOKUP($C21,Base!$C$18:$J$22,5,0),"")</f>
        <v>-</v>
      </c>
      <c r="J21" s="16" t="str">
        <f>IFERROR(VLOOKUP($C21,Base!$C$18:$J$22,6,0),"")</f>
        <v>-</v>
      </c>
      <c r="K21" s="16" t="str">
        <f>IFERROR(VLOOKUP($C21,Base!$C$18:$J$22,7,0),"")</f>
        <v>-</v>
      </c>
      <c r="L21" s="16" t="str">
        <f>IFERROR(VLOOKUP($C21,Base!$C$18:$J$22,8,0),"")</f>
        <v>-</v>
      </c>
      <c r="M21" s="4">
        <v>2</v>
      </c>
      <c r="N21" s="1"/>
      <c r="O21">
        <v>1</v>
      </c>
      <c r="P21">
        <f t="shared" si="0"/>
        <v>0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16.3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Très négatif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108</v>
      </c>
      <c r="D25" s="8" t="s">
        <v>155</v>
      </c>
      <c r="E25" s="1"/>
      <c r="F25" s="16" t="str">
        <f>IFERROR(VLOOKUP($C25,Base!$C$36:$J$39,2,0),"")</f>
        <v>Neutre</v>
      </c>
      <c r="G25" s="16" t="str">
        <f>IFERROR(VLOOKUP($C25,Base!$C$36:$J$39,3,0),"")</f>
        <v>Neutre</v>
      </c>
      <c r="H25" s="16" t="str">
        <f>IFERROR(VLOOKUP($C25,Base!$C$36:$J$39,4,0),"")</f>
        <v>Neutre</v>
      </c>
      <c r="I25" s="16" t="str">
        <f>IFERROR(VLOOKUP($C25,Base!$C$36:$J$39,5,0),"")</f>
        <v>Neutre</v>
      </c>
      <c r="J25" s="16" t="str">
        <f>IFERROR(VLOOKUP($C25,Base!$C$36:$J$39,6,0),"")</f>
        <v>Négatif</v>
      </c>
      <c r="K25" s="16" t="str">
        <f>IFERROR(VLOOKUP($C25,Base!$C$36:$J$39,7,0),"")</f>
        <v>Positif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54</v>
      </c>
      <c r="D32" s="8" t="s">
        <v>158</v>
      </c>
      <c r="E32" s="1"/>
      <c r="F32" s="16" t="str">
        <f>IFERROR(VLOOKUP($C32,Base!$C$74:$J$76,2,0),"")</f>
        <v>Très négatif</v>
      </c>
      <c r="G32" s="16" t="str">
        <f>IFERROR(VLOOKUP($C32,Base!$C$74:$J$76,3,0),"")</f>
        <v>Très négatif</v>
      </c>
      <c r="H32" s="16" t="str">
        <f>IFERROR(VLOOKUP($C32,Base!$C$74:$J$76,4,0),"")</f>
        <v>Très négatif</v>
      </c>
      <c r="I32" s="16" t="str">
        <f>IFERROR(VLOOKUP($C32,Base!$C$74:$J$76,5,0),"")</f>
        <v>Très négatif</v>
      </c>
      <c r="J32" s="16" t="str">
        <f>IFERROR(VLOOKUP($C32,Base!$C$74:$J$76,6,0),"")</f>
        <v>Très positif</v>
      </c>
      <c r="K32" s="16" t="str">
        <f>IFERROR(VLOOKUP($C32,Base!$C$74:$J$76,7,0),"")</f>
        <v>Positif</v>
      </c>
      <c r="L32" s="16" t="str">
        <f>IFERROR(VLOOKUP($C32,Base!$C$74:$J$76,8,0),"")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73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Positif</v>
      </c>
      <c r="I34" s="16" t="str">
        <f>IFERROR(VLOOKUP($C34,Base!$C$81:$J$86,5,0),"")</f>
        <v>Négatif</v>
      </c>
      <c r="J34" s="16" t="str">
        <f>IFERROR(VLOOKUP($C34,Base!$C$81:$J$86,6,0),"")</f>
        <v>Négatif</v>
      </c>
      <c r="K34" s="16" t="str">
        <f>IFERROR(VLOOKUP($C34,Base!$C$81:$J$86,7,0),"")</f>
        <v>Positif</v>
      </c>
      <c r="L34" s="16" t="str">
        <f>IFERROR(VLOOKUP($C34,Base!$C$81:$J$86,8,0),"")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76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Neutre</v>
      </c>
      <c r="I35" s="16" t="str">
        <f>IFERROR(VLOOKUP($C35,Base!$C$87:$J$92,5,0),"")</f>
        <v>Neutre</v>
      </c>
      <c r="J35" s="16" t="str">
        <f>IFERROR(VLOOKUP($C35,Base!$C$87:$J$92,6,0),"")</f>
        <v>Neutre</v>
      </c>
      <c r="K35" s="16" t="str">
        <f>IFERROR(VLOOKUP($C35,Base!$C$87:$J$92,7,0),"")</f>
        <v>Négatif</v>
      </c>
      <c r="L35" s="16" t="str">
        <f>IFERROR(VLOOKUP($C35,Base!$C$87:$J$92,8,0),"")</f>
        <v>Neutre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164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84</v>
      </c>
      <c r="D37" s="8"/>
      <c r="E37" s="1"/>
      <c r="F37" s="16" t="str">
        <f>IFERROR(VLOOKUP($C37,Base!$C$107:$J$111,2,0),"")</f>
        <v>Positif</v>
      </c>
      <c r="G37" s="16" t="str">
        <f>IFERROR(VLOOKUP($C37,Base!$C$107:$J$111,3,0),"")</f>
        <v>Positif</v>
      </c>
      <c r="H37" s="16" t="str">
        <f>IFERROR(VLOOKUP($C37,Base!$C$107:$J$111,4,0),"")</f>
        <v>Positif</v>
      </c>
      <c r="I37" s="16" t="str">
        <f>IFERROR(VLOOKUP($C37,Base!$C$107:$J$111,5,0),"")</f>
        <v>Positif</v>
      </c>
      <c r="J37" s="16" t="str">
        <f>IFERROR(VLOOKUP($C37,Base!$C$107:$J$111,6,0),"")</f>
        <v>Positif</v>
      </c>
      <c r="K37" s="16" t="str">
        <f>IFERROR(VLOOKUP($C37,Base!$C$107:$J$111,7,0),"")</f>
        <v>Neutre</v>
      </c>
      <c r="L37" s="16" t="str">
        <f>IFERROR(VLOOKUP($C37,Base!$C$107:$J$111,8,0),"")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18</v>
      </c>
      <c r="G38" s="20" cm="1">
        <f t="array" ref="G38">SUMPRODUCT(IF(G$12:G$37="Très Positif",2,0),$M$12:$M$37)+SUMPRODUCT(IF(G$12:G$37="Positif",1,0),$M$12:$M$37)+SUMPRODUCT(IF(G$12:G$37="Neutre",0.5,0),$M$12:$M$37)</f>
        <v>17.5</v>
      </c>
      <c r="H38" s="20" cm="1">
        <f t="array" ref="H38">SUMPRODUCT(IF(H$12:H$37="Très Positif",2,0),$M$12:$M$37)+SUMPRODUCT(IF(H$12:H$37="Positif",1,0),$M$12:$M$37)+SUMPRODUCT(IF(H$12:H$37="Neutre",0.5,0),$M$12:$M$37)</f>
        <v>12</v>
      </c>
      <c r="I38" s="20" cm="1">
        <f t="array" ref="I38">SUMPRODUCT(IF(I$12:I$37="Très Positif",2,0),$M$12:$M$37)+SUMPRODUCT(IF(I$12:I$37="Positif",1,0),$M$12:$M$37)+SUMPRODUCT(IF(I$12:I$37="Neutre",0.5,0),$M$12:$M$37)</f>
        <v>12.5</v>
      </c>
      <c r="J38" s="20" cm="1">
        <f t="array" ref="J38">SUMPRODUCT(IF(J$12:J$37="Très Positif",2,0),$M$12:$M$37)+SUMPRODUCT(IF(J$12:J$37="Positif",1,0),$M$12:$M$37)+SUMPRODUCT(IF(J$12:J$37="Neutre",0.5,0),$M$12:$M$37)</f>
        <v>9.5</v>
      </c>
      <c r="K38" s="20" cm="1">
        <f t="array" ref="K38">SUMPRODUCT(IF(K$12:K$37="Très Positif",2,0),$M$12:$M$37)+SUMPRODUCT(IF(K$12:K$37="Positif",1,0),$M$12:$M$37)+SUMPRODUCT(IF(K$12:K$37="Neutre",0.5,0),$M$12:$M$37)</f>
        <v>16.25</v>
      </c>
      <c r="L38" s="20" cm="1">
        <f t="array" ref="L38">SUMPRODUCT(IF(L$12:L$37="Très Positif",2,0),$M$12:$M$37)+SUMPRODUCT(IF(L$12:L$37="Positif",1,0),$M$12:$M$37)+SUMPRODUCT(IF(L$12:L$37="Neutre",0.5,0),$M$12:$M$37)</f>
        <v>13.75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11</v>
      </c>
      <c r="G39" s="21" cm="1">
        <f t="array" ref="G39">SUMPRODUCT(IF(G$12:G$37="Négatif",1,0),$M$12:$M$37)+SUMPRODUCT(IF(G$12:G$37="Très négatif",2,0),$M$12:$M$37)+SUMPRODUCT(IF(G$12:G$37="Neutre",0.5,0),$M$12:$M$37)</f>
        <v>9.5</v>
      </c>
      <c r="H39" s="21" cm="1">
        <f t="array" ref="H39">SUMPRODUCT(IF(H$12:H$37="Négatif",1,0),$M$12:$M$37)+SUMPRODUCT(IF(H$12:H$37="Très négatif",2,0),$M$12:$M$37)+SUMPRODUCT(IF(H$12:H$37="Neutre",0.5,0),$M$12:$M$37)</f>
        <v>12</v>
      </c>
      <c r="I39" s="21" cm="1">
        <f t="array" ref="I39">SUMPRODUCT(IF(I$12:I$37="Négatif",1,0),$M$12:$M$37)+SUMPRODUCT(IF(I$12:I$37="Très négatif",2,0),$M$12:$M$37)+SUMPRODUCT(IF(I$12:I$37="Neutre",0.5,0),$M$12:$M$37)</f>
        <v>11.5</v>
      </c>
      <c r="J39" s="21" cm="1">
        <f t="array" ref="J39">SUMPRODUCT(IF(J$12:J$37="Négatif",1,0),$M$12:$M$37)+SUMPRODUCT(IF(J$12:J$37="Très négatif",2,0),$M$12:$M$37)+SUMPRODUCT(IF(J$12:J$37="Neutre",0.5,0),$M$12:$M$37)</f>
        <v>19</v>
      </c>
      <c r="K39" s="21" cm="1">
        <f t="array" ref="K39">SUMPRODUCT(IF(K$12:K$37="Négatif",1,0),$M$12:$M$37)+SUMPRODUCT(IF(K$12:K$37="Très négatif",2,0),$M$12:$M$37)+SUMPRODUCT(IF(K$12:K$37="Neutre",0.5,0),$M$12:$M$37)</f>
        <v>7.75</v>
      </c>
      <c r="L39" s="21" cm="1">
        <f t="array" ref="L39">SUMPRODUCT(IF(L$12:L$37="Négatif",1,0),$M$12:$M$37)+SUMPRODUCT(IF(L$12:L$37="Très négatif",2,0),$M$12:$M$37)+SUMPRODUCT(IF(L$12:L$37="Neutre",0.5,0),$M$12:$M$37)</f>
        <v>13.75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0.62068965517241381</v>
      </c>
      <c r="G41" s="10">
        <f t="shared" si="2"/>
        <v>0.64814814814814814</v>
      </c>
      <c r="H41" s="10">
        <f t="shared" si="2"/>
        <v>0.5</v>
      </c>
      <c r="I41" s="10">
        <f t="shared" si="2"/>
        <v>0.52083333333333337</v>
      </c>
      <c r="J41" s="10">
        <f t="shared" si="2"/>
        <v>0.33333333333333331</v>
      </c>
      <c r="K41" s="10">
        <f t="shared" si="2"/>
        <v>0.67708333333333337</v>
      </c>
      <c r="L41" s="10">
        <f t="shared" si="2"/>
        <v>0.5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5</v>
      </c>
      <c r="G42" s="34">
        <f>RANK(G41,F41:L41,1)</f>
        <v>6</v>
      </c>
      <c r="H42" s="34">
        <f>RANK(H41,F41:L41,1)</f>
        <v>2</v>
      </c>
      <c r="I42" s="34">
        <f>RANK(I41,F41:L41,1)</f>
        <v>4</v>
      </c>
      <c r="J42" s="34">
        <f>RANK(J41,F41:L41,1)</f>
        <v>1</v>
      </c>
      <c r="K42" s="34">
        <f>RANK(K41,F41:L41,1)</f>
        <v>7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</v>
      </c>
      <c r="G47" s="10">
        <v>0.62</v>
      </c>
      <c r="H47" s="10">
        <v>0.5</v>
      </c>
      <c r="I47" s="10">
        <v>0.5</v>
      </c>
      <c r="J47" s="10">
        <v>0.28000000000000003</v>
      </c>
      <c r="K47" s="10">
        <v>0.64</v>
      </c>
      <c r="L47" s="10">
        <v>0.43</v>
      </c>
    </row>
    <row r="49" spans="6:12" x14ac:dyDescent="0.2">
      <c r="F49" s="50">
        <f>F47-F41</f>
        <v>-2.0689655172413834E-2</v>
      </c>
      <c r="G49" s="51">
        <f t="shared" ref="G49:L49" si="4">G47-G41</f>
        <v>-2.8148148148148144E-2</v>
      </c>
      <c r="H49" s="51">
        <f t="shared" si="4"/>
        <v>0</v>
      </c>
      <c r="I49" s="51">
        <f t="shared" si="4"/>
        <v>-2.083333333333337E-2</v>
      </c>
      <c r="J49" s="51">
        <f t="shared" si="4"/>
        <v>-5.3333333333333288E-2</v>
      </c>
      <c r="K49" s="51">
        <f t="shared" si="4"/>
        <v>-3.7083333333333357E-2</v>
      </c>
      <c r="L49" s="50">
        <f t="shared" si="4"/>
        <v>-7.0000000000000007E-2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