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17" documentId="8_{B5475841-FAAB-4B70-8F32-396DFDE08DE4}" xr6:coauthVersionLast="47" xr6:coauthVersionMax="47" xr10:uidLastSave="{8E772222-1579-43AF-8DFE-0AAB3017E37A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H23" i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<sst xmlns="http://schemas.openxmlformats.org/spreadsheetml/2006/main" count="1190" uniqueCount="176">
  <si>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</si>
  <si>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</si>
  <si>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</si>
  <si>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</si>
  <si>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</si>
  <si>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</si>
  <si>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</si>
  <si>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</si>
  <si>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</si>
  <si>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</si>
  <si>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</si>
  <si>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</si>
  <si>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</si>
  <si>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</si>
  <si>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</si>
  <si>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</si>
  <si>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</si>
  <si>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</si>
  <si>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</si>
  <si>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</si>
  <si>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</si>
  <si>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</si>
  <si>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</si>
  <si>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</si>
  <si>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</si>
  <si>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</si>
  <si>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</si>
  <si>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</si>
  <si>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</si>
  <si>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</si>
  <si>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</si>
  <si>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</si>
  <si>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</si>
  <si>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</si>
  <si>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</si>
  <si>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</si>
  <si>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</si>
  <si>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</si>
  <si>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</si>
  <si>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</si>
  <si>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</si>
  <si>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</si>
  <si>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</si>
  <si>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</si>
  <si>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</si>
  <si>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</si>
  <si>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</si>
  <si>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</si>
  <si>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</si>
  <si>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</si>
  <si>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</si>
  <si>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</si>
  <si>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</si>
  <si>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</si>
  <si>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</si>
  <si>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</si>
  <si>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</si>
  <si>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</si>
  <si>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</si>
  <si>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</si>
  <si>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</si>
  <si>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</si>
  <si>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</si>
  <si>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</si>
  <si>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</si>
  <si>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</si>
  <si>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</si>
  <si>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</si>
  <si>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</si>
  <si>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</si>
  <si>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</si>
  <si>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</si>
  <si>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</si>
  <si>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</si>
  <si>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</si>
  <si>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</si>
  <si>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</si>
  <si>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</si>
  <si>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</si>
  <si>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</si>
  <si>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</si>
  <si>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</si>
  <si>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</si>
  <si>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</si>
  <si>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</si>
  <si>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</si>
  <si>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</si>
  <si>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</si>
  <si>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</si>
  <si>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</si>
  <si>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</si>
  <si>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</si>
  <si>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</si>
  <si>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</si>
  <si>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</si>
  <si>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</si>
  <si>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</si>
  <si>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</si>
  <si>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</si>
  <si>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</si>
  <si>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</si>
  <si>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</si>
  <si>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</si>
  <si>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</si>
  <si>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</si>
  <si>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</si>
  <si>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</si>
  <si>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</si>
  <si>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</si>
  <si>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</si>
  <si>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</si>
  <si>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</si>
  <si>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</si>
  <si>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</si>
  <si>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</si>
  <si>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</si>
  <si>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</si>
  <si>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</si>
  <si>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</si>
  <si>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</si>
  <si>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</si>
  <si>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</si>
  <si>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</si>
  <si>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</si>
  <si>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</si>
  <si>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</si>
  <si>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</si>
  <si>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</si>
  <si>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</si>
  <si>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</si>
  <si>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</si>
  <si>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</si>
  <si>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</si>
  <si>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</si>
  <si>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</si>
  <si>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</si>
  <si>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</si>
  <si>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</si>
  <si>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</si>
  <si>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</si>
  <si>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</si>
  <si>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</si>
  <si>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</si>
  <si>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</si>
  <si>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</si>
  <si>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</si>
  <si>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</si>
  <si>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</si>
  <si>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</si>
  <si>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</si>
  <si>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</si>
  <si>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</si>
  <si>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</si>
  <si>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</si>
  <si>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</si>
  <si>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</si>
  <si>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</si>
  <si>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</si>
  <si>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</si>
  <si>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</si>
  <si>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</si>
  <si>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</si>
  <si>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</si>
  <si>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</si>
  <si>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</si>
  <si>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</si>
  <si>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</si>
  <si>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</si>
  <si>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</si>
  <si>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</si>
  <si>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</si>
  <si>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</si>
  <si>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Ancienne manufacture Les Allumettes</t>
  </si>
  <si>
    <t>11 parcelles</t>
  </si>
  <si>
    <t>Podeliha (bailleur social)</t>
  </si>
  <si>
    <t>Trélazé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</si>
</sst>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F23" sqref="F23:L2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47</v>
      </c>
      <c r="D16" s="8" t="s">
        <v>161</v>
      </c>
      <c r="E16" s="1"/>
      <c r="F16" s="16" t="str">
        <f>IFERROR(VLOOKUP($C16,Base!$C$2:$J$6,2,0),"")</f>
        <v>Neutre</v>
      </c>
      <c r="G16" s="16" t="str">
        <f>IFERROR(VLOOKUP($C16,Base!$C$2:$J$6,3,0),"")</f>
        <v>Négatif</v>
      </c>
      <c r="H16" s="16" t="str">
        <f>IFERROR(VLOOKUP($C16,Base!$C$2:$J$6,4,0),"")</f>
        <v>Neutre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Très négatif</v>
      </c>
      <c r="L16" s="16" t="str">
        <f>IFERROR(VLOOKUP($C16,Base!$C$2:$J$6,8,0),"")</f>
        <v>Négatif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42780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6600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8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171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Négatif</v>
      </c>
      <c r="L20" s="16" t="str">
        <f>IFERROR(VLOOKUP($C20,Base!$C$13:$J$17,8,0),"")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51</v>
      </c>
      <c r="D21" s="8" t="s">
        <v>162</v>
      </c>
      <c r="E21" s="1"/>
      <c r="F21" s="16" t="str">
        <f>IFERROR(VLOOKUP($C21,Base!$C$18:$J$22,2,0),"")</f>
        <v>-</v>
      </c>
      <c r="G21" s="16" t="str">
        <f>IFERROR(VLOOKUP($C21,Base!$C$18:$J$22,3,0),"")</f>
        <v>-</v>
      </c>
      <c r="H21" s="16" t="str">
        <f>IFERROR(VLOOKUP($C21,Base!$C$18:$J$22,4,0),"")</f>
        <v>-</v>
      </c>
      <c r="I21" s="16" t="str">
        <f>IFERROR(VLOOKUP($C21,Base!$C$18:$J$22,5,0),"")</f>
        <v>-</v>
      </c>
      <c r="J21" s="16" t="str">
        <f>IFERROR(VLOOKUP($C21,Base!$C$18:$J$22,6,0),"")</f>
        <v>-</v>
      </c>
      <c r="K21" s="16" t="str">
        <f>IFERROR(VLOOKUP($C21,Base!$C$18:$J$22,7,0),"")</f>
        <v>-</v>
      </c>
      <c r="L21" s="16" t="str">
        <f>IFERROR(VLOOKUP($C21,Base!$C$18:$J$22,8,0),"")</f>
        <v>-</v>
      </c>
      <c r="M21" s="4">
        <v>2</v>
      </c>
      <c r="N21" s="1"/>
      <c r="O21">
        <v>1</v>
      </c>
      <c r="P21">
        <f t="shared" si="0"/>
        <v>0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4.9000000000000004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Très positif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140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Positif</v>
      </c>
      <c r="K26" s="16" t="str">
        <f>IFERROR(VLOOKUP($C26,Base!$C$40:$J$44,7,0),"")</f>
        <v>Neutre</v>
      </c>
      <c r="L26" s="16" t="str">
        <f>IFERROR(VLOOKUP($C26,Base!$C$40:$J$44,8,0),"")</f>
        <v>Négatif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110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Neutre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71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Négatif</v>
      </c>
      <c r="I34" s="16" t="str">
        <f>IFERROR(VLOOKUP($C34,Base!$C$81:$J$86,5,0),"")</f>
        <v>Positif</v>
      </c>
      <c r="J34" s="16" t="str">
        <f>IFERROR(VLOOKUP($C34,Base!$C$81:$J$86,6,0),"")</f>
        <v>Positif</v>
      </c>
      <c r="K34" s="16" t="str">
        <f>IFERROR(VLOOKUP($C34,Base!$C$81:$J$86,7,0),"")</f>
        <v>Positif</v>
      </c>
      <c r="L34" s="16" t="str">
        <f>IFERROR(VLOOKUP($C34,Base!$C$81:$J$86,8,0),"")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78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Très positif</v>
      </c>
      <c r="I35" s="16" t="str">
        <f>IFERROR(VLOOKUP($C35,Base!$C$87:$J$92,5,0),"")</f>
        <v>Très 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79</v>
      </c>
      <c r="D36" s="8" t="s">
        <v>164</v>
      </c>
      <c r="E36" s="1"/>
      <c r="F36" s="16" t="str">
        <f>IFERROR(VLOOKUP($C36,Base!$C$101:$J$106,2,0),"")</f>
        <v>Positif</v>
      </c>
      <c r="G36" s="16" t="str">
        <f>IFERROR(VLOOKUP($C36,Base!$C$101:$J$106,3,0),"")</f>
        <v>Positif</v>
      </c>
      <c r="H36" s="16" t="str">
        <f>IFERROR(VLOOKUP($C36,Base!$C$101:$J$106,4,0),"")</f>
        <v>Positif</v>
      </c>
      <c r="I36" s="16" t="str">
        <f>IFERROR(VLOOKUP($C36,Base!$C$101:$J$106,5,0),"")</f>
        <v>Positif</v>
      </c>
      <c r="J36" s="16" t="str">
        <f>IFERROR(VLOOKUP($C36,Base!$C$101:$J$106,6,0),"")</f>
        <v>Positif</v>
      </c>
      <c r="K36" s="16" t="str">
        <f>IFERROR(VLOOKUP($C36,Base!$C$101:$J$106,7,0),"")</f>
        <v>Neutre</v>
      </c>
      <c r="L36" s="16" t="str">
        <f>IFERROR(VLOOKUP($C36,Base!$C$101:$J$106,8,0),"")</f>
        <v>Positif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84</v>
      </c>
      <c r="D37" s="8"/>
      <c r="E37" s="1"/>
      <c r="F37" s="16" t="str">
        <f>IFERROR(VLOOKUP($C37,Base!$C$107:$J$111,2,0),"")</f>
        <v>Positif</v>
      </c>
      <c r="G37" s="16" t="str">
        <f>IFERROR(VLOOKUP($C37,Base!$C$107:$J$111,3,0),"")</f>
        <v>Positif</v>
      </c>
      <c r="H37" s="16" t="str">
        <f>IFERROR(VLOOKUP($C37,Base!$C$107:$J$111,4,0),"")</f>
        <v>Positif</v>
      </c>
      <c r="I37" s="16" t="str">
        <f>IFERROR(VLOOKUP($C37,Base!$C$107:$J$111,5,0),"")</f>
        <v>Positif</v>
      </c>
      <c r="J37" s="16" t="str">
        <f>IFERROR(VLOOKUP($C37,Base!$C$107:$J$111,6,0),"")</f>
        <v>Positif</v>
      </c>
      <c r="K37" s="16" t="str">
        <f>IFERROR(VLOOKUP($C37,Base!$C$107:$J$111,7,0),"")</f>
        <v>Neutre</v>
      </c>
      <c r="L37" s="16" t="str">
        <f>IFERROR(VLOOKUP($C37,Base!$C$107:$J$111,8,0),"")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20.75</v>
      </c>
      <c r="G38" s="20" cm="1">
        <f t="array" ref="G38">SUMPRODUCT(IF(G$12:G$37="Très Positif",2,0),$M$12:$M$37)+SUMPRODUCT(IF(G$12:G$37="Positif",1,0),$M$12:$M$37)+SUMPRODUCT(IF(G$12:G$37="Neutre",0.5,0),$M$12:$M$37)</f>
        <v>17.75</v>
      </c>
      <c r="H38" s="20" cm="1">
        <f t="array" ref="H38">SUMPRODUCT(IF(H$12:H$37="Très Positif",2,0),$M$12:$M$37)+SUMPRODUCT(IF(H$12:H$37="Positif",1,0),$M$12:$M$37)+SUMPRODUCT(IF(H$12:H$37="Neutre",0.5,0),$M$12:$M$37)</f>
        <v>15</v>
      </c>
      <c r="I38" s="20" cm="1">
        <f t="array" ref="I38">SUMPRODUCT(IF(I$12:I$37="Très Positif",2,0),$M$12:$M$37)+SUMPRODUCT(IF(I$12:I$37="Positif",1,0),$M$12:$M$37)+SUMPRODUCT(IF(I$12:I$37="Neutre",0.5,0),$M$12:$M$37)</f>
        <v>15.25</v>
      </c>
      <c r="J38" s="20" cm="1">
        <f t="array" ref="J38">SUMPRODUCT(IF(J$12:J$37="Très Positif",2,0),$M$12:$M$37)+SUMPRODUCT(IF(J$12:J$37="Positif",1,0),$M$12:$M$37)+SUMPRODUCT(IF(J$12:J$37="Neutre",0.5,0),$M$12:$M$37)</f>
        <v>14.5</v>
      </c>
      <c r="K38" s="20" cm="1">
        <f t="array" ref="K38">SUMPRODUCT(IF(K$12:K$37="Très Positif",2,0),$M$12:$M$37)+SUMPRODUCT(IF(K$12:K$37="Positif",1,0),$M$12:$M$37)+SUMPRODUCT(IF(K$12:K$37="Neutre",0.5,0),$M$12:$M$37)</f>
        <v>10</v>
      </c>
      <c r="L38" s="20" cm="1">
        <f t="array" ref="L38">SUMPRODUCT(IF(L$12:L$37="Très Positif",2,0),$M$12:$M$37)+SUMPRODUCT(IF(L$12:L$37="Positif",1,0),$M$12:$M$37)+SUMPRODUCT(IF(L$12:L$37="Neutre",0.5,0),$M$12:$M$37)</f>
        <v>11.25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7.25</v>
      </c>
      <c r="G39" s="21" cm="1">
        <f t="array" ref="G39">SUMPRODUCT(IF(G$12:G$37="Négatif",1,0),$M$12:$M$37)+SUMPRODUCT(IF(G$12:G$37="Très négatif",2,0),$M$12:$M$37)+SUMPRODUCT(IF(G$12:G$37="Neutre",0.5,0),$M$12:$M$37)</f>
        <v>8.25</v>
      </c>
      <c r="H39" s="21" cm="1">
        <f t="array" ref="H39">SUMPRODUCT(IF(H$12:H$37="Négatif",1,0),$M$12:$M$37)+SUMPRODUCT(IF(H$12:H$37="Très négatif",2,0),$M$12:$M$37)+SUMPRODUCT(IF(H$12:H$37="Neutre",0.5,0),$M$12:$M$37)</f>
        <v>9</v>
      </c>
      <c r="I39" s="21" cm="1">
        <f t="array" ref="I39">SUMPRODUCT(IF(I$12:I$37="Négatif",1,0),$M$12:$M$37)+SUMPRODUCT(IF(I$12:I$37="Très négatif",2,0),$M$12:$M$37)+SUMPRODUCT(IF(I$12:I$37="Neutre",0.5,0),$M$12:$M$37)</f>
        <v>8.75</v>
      </c>
      <c r="J39" s="21" cm="1">
        <f t="array" ref="J39">SUMPRODUCT(IF(J$12:J$37="Négatif",1,0),$M$12:$M$37)+SUMPRODUCT(IF(J$12:J$37="Très négatif",2,0),$M$12:$M$37)+SUMPRODUCT(IF(J$12:J$37="Neutre",0.5,0),$M$12:$M$37)</f>
        <v>11</v>
      </c>
      <c r="K39" s="21" cm="1">
        <f t="array" ref="K39">SUMPRODUCT(IF(K$12:K$37="Négatif",1,0),$M$12:$M$37)+SUMPRODUCT(IF(K$12:K$37="Très négatif",2,0),$M$12:$M$37)+SUMPRODUCT(IF(K$12:K$37="Neutre",0.5,0),$M$12:$M$37)</f>
        <v>14</v>
      </c>
      <c r="L39" s="21" cm="1">
        <f t="array" ref="L39">SUMPRODUCT(IF(L$12:L$37="Négatif",1,0),$M$12:$M$37)+SUMPRODUCT(IF(L$12:L$37="Très négatif",2,0),$M$12:$M$37)+SUMPRODUCT(IF(L$12:L$37="Neutre",0.5,0),$M$12:$M$37)</f>
        <v>12.75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0.7410714285714286</v>
      </c>
      <c r="G41" s="10">
        <f t="shared" si="2"/>
        <v>0.68269230769230771</v>
      </c>
      <c r="H41" s="10">
        <f t="shared" si="2"/>
        <v>0.625</v>
      </c>
      <c r="I41" s="10">
        <f t="shared" si="2"/>
        <v>0.63541666666666663</v>
      </c>
      <c r="J41" s="10">
        <f t="shared" si="2"/>
        <v>0.56862745098039214</v>
      </c>
      <c r="K41" s="10">
        <f t="shared" si="2"/>
        <v>0.41666666666666669</v>
      </c>
      <c r="L41" s="10">
        <f t="shared" si="2"/>
        <v>0.46875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7</v>
      </c>
      <c r="G42" s="34">
        <f>RANK(G41,F41:L41,1)</f>
        <v>6</v>
      </c>
      <c r="H42" s="34">
        <f>RANK(H41,F41:L41,1)</f>
        <v>4</v>
      </c>
      <c r="I42" s="34">
        <f>RANK(I41,F41:L41,1)</f>
        <v>5</v>
      </c>
      <c r="J42" s="34">
        <f>RANK(J41,F41:L41,1)</f>
        <v>3</v>
      </c>
      <c r="K42" s="34">
        <f>RANK(K41,F41:L41,1)</f>
        <v>1</v>
      </c>
      <c r="L42" s="34">
        <f>RANK(L41,F41:L41,1)</f>
        <v>2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0.68103448275862066</v>
      </c>
      <c r="G47" s="10">
        <v>0.6339285714285714</v>
      </c>
      <c r="H47" s="10">
        <v>0.55555555555555558</v>
      </c>
      <c r="I47" s="10">
        <v>0.60185185185185186</v>
      </c>
      <c r="J47" s="10">
        <v>0.54385964912280704</v>
      </c>
      <c r="K47" s="10">
        <v>0.4107142857142857</v>
      </c>
      <c r="L47" s="10">
        <v>0.4732142857142857</v>
      </c>
    </row>
    <row r="49" spans="6:12" x14ac:dyDescent="0.2">
      <c r="F49" s="50">
        <f>F47-F41</f>
        <v>-6.003694581280794E-2</v>
      </c>
      <c r="G49" s="51">
        <f t="shared" ref="G49:L49" si="4">G47-G41</f>
        <v>-4.8763736263736313E-2</v>
      </c>
      <c r="H49" s="50">
        <f t="shared" si="4"/>
        <v>-6.944444444444442E-2</v>
      </c>
      <c r="I49" s="51">
        <f t="shared" si="4"/>
        <v>-3.356481481481477E-2</v>
      </c>
      <c r="J49" s="51">
        <f t="shared" si="4"/>
        <v>-2.4767801857585092E-2</v>
      </c>
      <c r="K49" s="51">
        <f t="shared" si="4"/>
        <v>-5.9523809523809867E-3</v>
      </c>
      <c r="L49" s="51">
        <f t="shared" si="4"/>
        <v>4.4642857142856984E-3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