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1" sheetId="1" r:id="rId4"/>
    <sheet state="hidden" name="Sheet10" sheetId="2" r:id="rId5"/>
    <sheet state="visible" name="Database Transaksi" sheetId="3" r:id="rId6"/>
    <sheet state="visible" name="Helper1" sheetId="4" r:id="rId7"/>
    <sheet state="visible" name="Dashborad1" sheetId="5" r:id="rId8"/>
    <sheet state="hidden" name="Pivot Table 1" sheetId="6" r:id="rId9"/>
    <sheet state="hidden" name="Konsep" sheetId="7" r:id="rId10"/>
    <sheet state="hidden" name="Step" sheetId="8" r:id="rId11"/>
    <sheet state="hidden" name="Reference" sheetId="9" r:id="rId12"/>
  </sheets>
  <definedNames/>
  <calcPr/>
  <pivotCaches>
    <pivotCache cacheId="0" r:id="rId13"/>
    <pivotCache cacheId="1" r:id="rId14"/>
    <pivotCache cacheId="2" r:id="rId15"/>
    <pivotCache cacheId="3" r:id="rId16"/>
  </pivotCaches>
</workbook>
</file>

<file path=xl/sharedStrings.xml><?xml version="1.0" encoding="utf-8"?>
<sst xmlns="http://schemas.openxmlformats.org/spreadsheetml/2006/main" count="2558" uniqueCount="731">
  <si>
    <t>Status</t>
  </si>
  <si>
    <t>Jakarta</t>
  </si>
  <si>
    <t>Makassar</t>
  </si>
  <si>
    <t>Surabaya</t>
  </si>
  <si>
    <t>Malang</t>
  </si>
  <si>
    <t>Tangerang</t>
  </si>
  <si>
    <t>120K</t>
  </si>
  <si>
    <t>Cilacap</t>
  </si>
  <si>
    <t>Palembang</t>
  </si>
  <si>
    <t>Medan</t>
  </si>
  <si>
    <t>Lampung</t>
  </si>
  <si>
    <t>Banjarmasin</t>
  </si>
  <si>
    <t>Denpasar</t>
  </si>
  <si>
    <t>Pekanbaru</t>
  </si>
  <si>
    <t>Kupang</t>
  </si>
  <si>
    <t>Balikpapan</t>
  </si>
  <si>
    <t>Samarinda</t>
  </si>
  <si>
    <t>Jambi</t>
  </si>
  <si>
    <t>Manado</t>
  </si>
  <si>
    <t>Yogyakarta</t>
  </si>
  <si>
    <t>Mataram</t>
  </si>
  <si>
    <t>Pontianak</t>
  </si>
  <si>
    <t>Semarang</t>
  </si>
  <si>
    <t>Jayapura</t>
  </si>
  <si>
    <t>Solo</t>
  </si>
  <si>
    <t>Palu</t>
  </si>
  <si>
    <t>Tarakan</t>
  </si>
  <si>
    <t>Padang</t>
  </si>
  <si>
    <t>EF135450138359759</t>
  </si>
  <si>
    <t>SH000819411176</t>
  </si>
  <si>
    <t>SiLumayanCepat</t>
  </si>
  <si>
    <t>Arthur</t>
  </si>
  <si>
    <t>Cotton Pants - Short Black</t>
  </si>
  <si>
    <t>Pants</t>
  </si>
  <si>
    <t>Black</t>
  </si>
  <si>
    <t>EF137109767034615</t>
  </si>
  <si>
    <t>SH002500460557</t>
  </si>
  <si>
    <t>JemputAja</t>
  </si>
  <si>
    <t>Tammy Abraham</t>
  </si>
  <si>
    <t>Bandung</t>
  </si>
  <si>
    <t>Short Sleeve - Cotton Shirt Maroon</t>
  </si>
  <si>
    <t>Shirt</t>
  </si>
  <si>
    <t>Maroon</t>
  </si>
  <si>
    <t>EF135489418899883</t>
  </si>
  <si>
    <t>SHJP2065979389</t>
  </si>
  <si>
    <t>J&amp;G Compress</t>
  </si>
  <si>
    <t>Sami Khedira</t>
  </si>
  <si>
    <t>Cotton Pants - Short White</t>
  </si>
  <si>
    <t>White</t>
  </si>
  <si>
    <t>EF137149528867055</t>
  </si>
  <si>
    <t>SHJP1311881549</t>
  </si>
  <si>
    <t>Christian Pulisic</t>
  </si>
  <si>
    <t>Short Sleeve - Cotton Shirt White</t>
  </si>
  <si>
    <t>EF135528710831364</t>
  </si>
  <si>
    <t>SH000818176035</t>
  </si>
  <si>
    <t>Aaron Ramsey</t>
  </si>
  <si>
    <t>Cotton Pants - Short Grey</t>
  </si>
  <si>
    <t>Grey</t>
  </si>
  <si>
    <t>EF135568014157505</t>
  </si>
  <si>
    <t>SH000819850468</t>
  </si>
  <si>
    <t>Kang kentang</t>
  </si>
  <si>
    <t>Bomber - Jacket Black</t>
  </si>
  <si>
    <t>Jacket</t>
  </si>
  <si>
    <t>Bomber - Jacket Navy</t>
  </si>
  <si>
    <t>Navy</t>
  </si>
  <si>
    <t>Bomber - Jacket Dark Grey</t>
  </si>
  <si>
    <t>Dark Grey</t>
  </si>
  <si>
    <t>EF137229087128074</t>
  </si>
  <si>
    <t>SHJP7557522445</t>
  </si>
  <si>
    <t>Arturo Vidal</t>
  </si>
  <si>
    <t>Short Sleeve - Cotton Shirt Grey</t>
  </si>
  <si>
    <t>EF137268883563341</t>
  </si>
  <si>
    <t>SHJP7557522446</t>
  </si>
  <si>
    <t>Samuel Umtiti</t>
  </si>
  <si>
    <t>Cotton Pants - Short Navy</t>
  </si>
  <si>
    <t>EF137308691539573</t>
  </si>
  <si>
    <t>SHJP2893424801</t>
  </si>
  <si>
    <t>Junior Firpo</t>
  </si>
  <si>
    <t>EF135685992536938</t>
  </si>
  <si>
    <t>SHJP0870106262</t>
  </si>
  <si>
    <t>Federico Bernardeschi</t>
  </si>
  <si>
    <t>Bomber - Jacket Maroon</t>
  </si>
  <si>
    <t>EF137308691539574</t>
  </si>
  <si>
    <t>Riqui Puig</t>
  </si>
  <si>
    <t>Colarless Shirt Long Sleeve Black</t>
  </si>
  <si>
    <t>Colarless Shirt Long Sleeve Maroon</t>
  </si>
  <si>
    <t>EF135725341474774</t>
  </si>
  <si>
    <t>SH000819738191</t>
  </si>
  <si>
    <t>Dejan Kulusevski</t>
  </si>
  <si>
    <t>EF135764701823802</t>
  </si>
  <si>
    <t>SH002500071926</t>
  </si>
  <si>
    <t>Cristiano Ronaldo</t>
  </si>
  <si>
    <t>EF135804073587331</t>
  </si>
  <si>
    <t>SH000818825341</t>
  </si>
  <si>
    <t>Alex Sandro</t>
  </si>
  <si>
    <t>Colarless Shirt Long Sleeve Navy</t>
  </si>
  <si>
    <t>EF135843456768671</t>
  </si>
  <si>
    <t>SH000818825340</t>
  </si>
  <si>
    <t>Paulo Dybala</t>
  </si>
  <si>
    <t>Colarless Shirt Long Sleeve White</t>
  </si>
  <si>
    <t>EF135882851371134</t>
  </si>
  <si>
    <t>SHJP0130056348</t>
  </si>
  <si>
    <t>Federico Chiesa</t>
  </si>
  <si>
    <t>Colarless Shirt Long Sleeve Grey</t>
  </si>
  <si>
    <t>EF135922257398031</t>
  </si>
  <si>
    <t>SHJP0981597628</t>
  </si>
  <si>
    <t>Mattia De Sciglio</t>
  </si>
  <si>
    <t>Colarless Shirt Long Sleeve Army</t>
  </si>
  <si>
    <t>Army</t>
  </si>
  <si>
    <t>EF135961674852677</t>
  </si>
  <si>
    <t>SHJP2253321595</t>
  </si>
  <si>
    <t>Douglas Costa</t>
  </si>
  <si>
    <t>Casual Sneakers Black</t>
  </si>
  <si>
    <t>Shoes</t>
  </si>
  <si>
    <t>EF136001103738384</t>
  </si>
  <si>
    <t>SH000819409944</t>
  </si>
  <si>
    <t>Éder Militão</t>
  </si>
  <si>
    <t>Casual Sneakers White</t>
  </si>
  <si>
    <t>EF137667483221710</t>
  </si>
  <si>
    <t>SH002502004248</t>
  </si>
  <si>
    <t>Weston McKennie</t>
  </si>
  <si>
    <t>EF136040544058468</t>
  </si>
  <si>
    <t>SH000817822662</t>
  </si>
  <si>
    <t>Thibaut Courtois</t>
  </si>
  <si>
    <t>Basic T-Shirt Black</t>
  </si>
  <si>
    <t>T-Shirt</t>
  </si>
  <si>
    <t>Basic T-Shirt White</t>
  </si>
  <si>
    <t>Basic T-Shirt Navy</t>
  </si>
  <si>
    <t>EF137707406791844</t>
  </si>
  <si>
    <t>SH002502004247</t>
  </si>
  <si>
    <t>Adrien Rabiot</t>
  </si>
  <si>
    <t>EF137747341939814</t>
  </si>
  <si>
    <t>SHJP0108352134</t>
  </si>
  <si>
    <t>Rodrigo Bentancur</t>
  </si>
  <si>
    <t>EF137787288668977</t>
  </si>
  <si>
    <t>SHJP2595368290</t>
  </si>
  <si>
    <t>Riyad Mahrez</t>
  </si>
  <si>
    <t>EF136158933658146</t>
  </si>
  <si>
    <t>SH000819411655</t>
  </si>
  <si>
    <t>Sergio Ramos</t>
  </si>
  <si>
    <t>Basic T-Shirt Maroon</t>
  </si>
  <si>
    <t>EF137827246982691</t>
  </si>
  <si>
    <t>SH002501999931</t>
  </si>
  <si>
    <t>João Cancelo</t>
  </si>
  <si>
    <t>EF136198419748907</t>
  </si>
  <si>
    <t>SH000818577702</t>
  </si>
  <si>
    <t>Raphaël Varane</t>
  </si>
  <si>
    <t>Basic T-Shirt Grey</t>
  </si>
  <si>
    <t>EF137867216884316</t>
  </si>
  <si>
    <t>SH002502227569</t>
  </si>
  <si>
    <t>Ahn Jeongwon</t>
  </si>
  <si>
    <t>EF136237917290634</t>
  </si>
  <si>
    <t>SH000818577701</t>
  </si>
  <si>
    <t>Nacho</t>
  </si>
  <si>
    <t>Basic T-Shirt Army</t>
  </si>
  <si>
    <t>EF137907198377212</t>
  </si>
  <si>
    <t>SHJP8663070422</t>
  </si>
  <si>
    <t>EF136277426286649</t>
  </si>
  <si>
    <t>SH002500179706</t>
  </si>
  <si>
    <t>Eden Hazard</t>
  </si>
  <si>
    <t>Basic Hoodie - White</t>
  </si>
  <si>
    <t>EF137947191464741</t>
  </si>
  <si>
    <t>SHJP8663070423</t>
  </si>
  <si>
    <t>Rodri</t>
  </si>
  <si>
    <t>EF136316946740272</t>
  </si>
  <si>
    <t>SH000818333860</t>
  </si>
  <si>
    <t>Toni Kroos</t>
  </si>
  <si>
    <t>Basic Shirt - Black</t>
  </si>
  <si>
    <t>EF137987196150266</t>
  </si>
  <si>
    <t>SH002502130273</t>
  </si>
  <si>
    <t>Kevin De Bruyne</t>
  </si>
  <si>
    <t>EF136356478654826</t>
  </si>
  <si>
    <t>SH000818369116</t>
  </si>
  <si>
    <t>Karim Benzema</t>
  </si>
  <si>
    <t>Basic Shirt - Grey</t>
  </si>
  <si>
    <t>EF138027212437150</t>
  </si>
  <si>
    <t>SHJP5911196396</t>
  </si>
  <si>
    <t>J&amp;T Economy</t>
  </si>
  <si>
    <t>Bernardo Silva</t>
  </si>
  <si>
    <t>EF136396022033636</t>
  </si>
  <si>
    <t>SHJP7767666102</t>
  </si>
  <si>
    <t>Luka Modrić</t>
  </si>
  <si>
    <t>Basic Shirt - Navy</t>
  </si>
  <si>
    <t>EF138067240328759</t>
  </si>
  <si>
    <t>SH002502299073</t>
  </si>
  <si>
    <t>Ferran Torres</t>
  </si>
  <si>
    <t>EF136435576880026</t>
  </si>
  <si>
    <t>SH000818208737</t>
  </si>
  <si>
    <t>Marco Asensio</t>
  </si>
  <si>
    <t>Basic Shirt - White</t>
  </si>
  <si>
    <t>Chino Pants - Grey</t>
  </si>
  <si>
    <t>EF138067240328756</t>
  </si>
  <si>
    <t>Kang Lotre</t>
  </si>
  <si>
    <t>Linen Shirt - Slimfit - Navy</t>
  </si>
  <si>
    <t>EF136514720988848</t>
  </si>
  <si>
    <t>SHJP3057272060</t>
  </si>
  <si>
    <t>Andriy Lunin</t>
  </si>
  <si>
    <t>Chino Pants - Khaki</t>
  </si>
  <si>
    <t>Khaki</t>
  </si>
  <si>
    <t>EF138187393665575</t>
  </si>
  <si>
    <t>SH002502294171</t>
  </si>
  <si>
    <t>Moussa Wagué</t>
  </si>
  <si>
    <t>Linen Shirt - Slimfit - Khaki</t>
  </si>
  <si>
    <t>EF136554310257935</t>
  </si>
  <si>
    <t>SHJP6157925607</t>
  </si>
  <si>
    <t>Casemiro</t>
  </si>
  <si>
    <t>Running Jacket - Black</t>
  </si>
  <si>
    <t>Sportswear</t>
  </si>
  <si>
    <t>EF138227468009738</t>
  </si>
  <si>
    <t>SHJP5167377859</t>
  </si>
  <si>
    <t>Yang Seok-Hyeong</t>
  </si>
  <si>
    <t>Linen Shirt - Slimfit - White</t>
  </si>
  <si>
    <t>Linen Shirt - Slimfit - Black</t>
  </si>
  <si>
    <t>EF136593911007910</t>
  </si>
  <si>
    <t>SH000819542574</t>
  </si>
  <si>
    <t>Federico Valverde</t>
  </si>
  <si>
    <t>Running Jacket - Navy</t>
  </si>
  <si>
    <t>EF136633523242102</t>
  </si>
  <si>
    <t>SH000819542573</t>
  </si>
  <si>
    <t>Lucas Vázquez</t>
  </si>
  <si>
    <t>Running Pants - Black</t>
  </si>
  <si>
    <t>EF138307651566113</t>
  </si>
  <si>
    <t>SHJP6324306102</t>
  </si>
  <si>
    <t>Joe Gomez</t>
  </si>
  <si>
    <t>Linen Shirt - Slimfit - Maroon</t>
  </si>
  <si>
    <t>Kode Pesanan</t>
  </si>
  <si>
    <t>Tanggal Order</t>
  </si>
  <si>
    <t>No Resi</t>
  </si>
  <si>
    <t>Pengiriman</t>
  </si>
  <si>
    <t>Nama Customer</t>
  </si>
  <si>
    <t>Kota</t>
  </si>
  <si>
    <t>Product</t>
  </si>
  <si>
    <t>Harga</t>
  </si>
  <si>
    <t>Qty</t>
  </si>
  <si>
    <t>Total per Item</t>
  </si>
  <si>
    <t>Total per transaksi</t>
  </si>
  <si>
    <t>Kategori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</si>
  <si>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</si>
  <si>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</si>
  <si>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</si>
  <si>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</si>
  <si>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</si>
  <si>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</si>
  <si>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</si>
  <si>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</si>
  <si>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</si>
  <si>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</si>
  <si>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</si>
  <si>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</si>
  <si>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</si>
  <si>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</si>
  <si>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</si>
  <si>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EF129384712365821</t>
  </si>
  <si>
    <t>SHJP2131570450</t>
  </si>
  <si>
    <t>Kepa Arrizabalaga</t>
  </si>
  <si>
    <t>EF130894093668403</t>
  </si>
  <si>
    <t>SH000817822236</t>
  </si>
  <si>
    <t>Naby Keïta</t>
  </si>
  <si>
    <t>EF132421083171172</t>
  </si>
  <si>
    <t>SHJP3294768267</t>
  </si>
  <si>
    <t>Donny van de Beek</t>
  </si>
  <si>
    <t>EF134784108858761</t>
  </si>
  <si>
    <t>SH000819410968</t>
  </si>
  <si>
    <t>Ronald Araújo</t>
  </si>
  <si>
    <t>EF129422233932407</t>
  </si>
  <si>
    <t>SH000816904326</t>
  </si>
  <si>
    <t>Antonio Rüdiger</t>
  </si>
  <si>
    <t>EF130932052955567</t>
  </si>
  <si>
    <t>SH000817956395</t>
  </si>
  <si>
    <t>Jordan Henderson</t>
  </si>
  <si>
    <t>EF132459485285292</t>
  </si>
  <si>
    <t>SH000817788985</t>
  </si>
  <si>
    <t>James Garner</t>
  </si>
  <si>
    <t>EF134823196250330</t>
  </si>
  <si>
    <t>SH000819408599</t>
  </si>
  <si>
    <t>Juan Miranda</t>
  </si>
  <si>
    <t>Running Pants - Grey</t>
  </si>
  <si>
    <t>EF129459766380247</t>
  </si>
  <si>
    <t>SHJP2339889289</t>
  </si>
  <si>
    <t>Marcos Alonso</t>
  </si>
  <si>
    <t>EF134862294977243</t>
  </si>
  <si>
    <t>SHJP4830772414</t>
  </si>
  <si>
    <t>Song Kang</t>
  </si>
  <si>
    <t>Running Pants - Navy</t>
  </si>
  <si>
    <t>Running Sneakers - Black</t>
  </si>
  <si>
    <t>Linen Shirt - Slimfit - Grey</t>
  </si>
  <si>
    <t>EF129497309712498</t>
  </si>
  <si>
    <t>SHJP2984031462</t>
  </si>
  <si>
    <t>Andreas Christensen</t>
  </si>
  <si>
    <t>EF131008004557666</t>
  </si>
  <si>
    <t>SH000817823219</t>
  </si>
  <si>
    <t>Curtis Jones</t>
  </si>
  <si>
    <t>EF132536322926600</t>
  </si>
  <si>
    <t>SH000817972575</t>
  </si>
  <si>
    <t>Scott McTominay</t>
  </si>
  <si>
    <t>EF129534863932314</t>
  </si>
  <si>
    <t>SHJP5710033819</t>
  </si>
  <si>
    <t>Jorginho</t>
  </si>
  <si>
    <t>EF131045996878988</t>
  </si>
  <si>
    <t>SH000817827897</t>
  </si>
  <si>
    <t>Xherdan Shaqiri</t>
  </si>
  <si>
    <t>EF132574758460249</t>
  </si>
  <si>
    <t>SH000818825436</t>
  </si>
  <si>
    <t>Joel Castro Pereira</t>
  </si>
  <si>
    <t>EF129572429042855</t>
  </si>
  <si>
    <t>SH000816960220</t>
  </si>
  <si>
    <t>Thiago Silva</t>
  </si>
  <si>
    <t>EF131084000218083</t>
  </si>
  <si>
    <t>SH000817822387</t>
  </si>
  <si>
    <t>Ben Woodburn</t>
  </si>
  <si>
    <t>EF132613205140202</t>
  </si>
  <si>
    <t>SH000817829901</t>
  </si>
  <si>
    <t>Teden Mengi</t>
  </si>
  <si>
    <t>EF134979659202919</t>
  </si>
  <si>
    <t>SHJP0993027226</t>
  </si>
  <si>
    <t>Pedri</t>
  </si>
  <si>
    <t>EF129610005047277</t>
  </si>
  <si>
    <t>SH000816904317</t>
  </si>
  <si>
    <t>N’Golo Kanté</t>
  </si>
  <si>
    <t>EF131122014578146</t>
  </si>
  <si>
    <t>SH000818333990</t>
  </si>
  <si>
    <t>Harry Wilson</t>
  </si>
  <si>
    <t>EF132690131951954</t>
  </si>
  <si>
    <t>SH000818211307</t>
  </si>
  <si>
    <t>Edinson Cavani</t>
  </si>
  <si>
    <t>EF132805605847709</t>
  </si>
  <si>
    <t>SH000818824846</t>
  </si>
  <si>
    <t>Aymeric Laporte</t>
  </si>
  <si>
    <t>EF135018803304088</t>
  </si>
  <si>
    <t>SH000816905305</t>
  </si>
  <si>
    <t>Lee Je Hoon</t>
  </si>
  <si>
    <t>EF129722798455434</t>
  </si>
  <si>
    <t>SH000816903177</t>
  </si>
  <si>
    <t>Timo Werner</t>
  </si>
  <si>
    <t>EF131236123816111</t>
  </si>
  <si>
    <t>SH000817828487</t>
  </si>
  <si>
    <t>Sadio Mané</t>
  </si>
  <si>
    <t>EF129760418066986</t>
  </si>
  <si>
    <t>SHJP1529505367</t>
  </si>
  <si>
    <t>Willy Caballero</t>
  </si>
  <si>
    <t>EF131274182292018</t>
  </si>
  <si>
    <t>SH000817375021</t>
  </si>
  <si>
    <t>Mohamed Salah</t>
  </si>
  <si>
    <t>EF129798048588225</t>
  </si>
  <si>
    <t>SH000816960884</t>
  </si>
  <si>
    <t>Fikayo Tomori</t>
  </si>
  <si>
    <t>EF131312251804883</t>
  </si>
  <si>
    <t>SH000817375020</t>
  </si>
  <si>
    <t>Takumi Minamino</t>
  </si>
  <si>
    <t>EF129835690022316</t>
  </si>
  <si>
    <t>SH000816905072</t>
  </si>
  <si>
    <t>Kurt Zouma</t>
  </si>
  <si>
    <t>EF132882644268052</t>
  </si>
  <si>
    <t>SH000818208940</t>
  </si>
  <si>
    <t>Nathan Aké</t>
  </si>
  <si>
    <t>EF129873342372422</t>
  </si>
  <si>
    <t>SHJP1928989692</t>
  </si>
  <si>
    <t>Édouard Mendy</t>
  </si>
  <si>
    <t>EF132921180234890</t>
  </si>
  <si>
    <t>SH000818577553</t>
  </si>
  <si>
    <t>Sergio Agüero</t>
  </si>
  <si>
    <t>EF129911005641710</t>
  </si>
  <si>
    <t>SH000816904862</t>
  </si>
  <si>
    <t>Mateo Kovačić</t>
  </si>
  <si>
    <t>EF129948679833346</t>
  </si>
  <si>
    <t>SH000816903683</t>
  </si>
  <si>
    <t>Olivier Giroud</t>
  </si>
  <si>
    <t>EF131464640289950</t>
  </si>
  <si>
    <t>SH000818210806</t>
  </si>
  <si>
    <t>Victor Lindelöf</t>
  </si>
  <si>
    <t>EF129986364950498</t>
  </si>
  <si>
    <t>SHJP2696000516</t>
  </si>
  <si>
    <t>Mason Mount</t>
  </si>
  <si>
    <t>EF131502765035634</t>
  </si>
  <si>
    <t>SH000816903539</t>
  </si>
  <si>
    <t>Eric Bailly</t>
  </si>
  <si>
    <t>EF130024060996333</t>
  </si>
  <si>
    <t>SH000817827245</t>
  </si>
  <si>
    <t>Callum Hudson-Odoi</t>
  </si>
  <si>
    <t>EF131540900837494</t>
  </si>
  <si>
    <t>SH000818576045</t>
  </si>
  <si>
    <t>Phil Jones</t>
  </si>
  <si>
    <t>EF133075435888958</t>
  </si>
  <si>
    <t>SHJP3589573667</t>
  </si>
  <si>
    <t>Oleksandr Zinchenko</t>
  </si>
  <si>
    <t>EF130061767974022</t>
  </si>
  <si>
    <t>SH000817827244</t>
  </si>
  <si>
    <t>Ben Chilwell</t>
  </si>
  <si>
    <t>EF131579047698737</t>
  </si>
  <si>
    <t>SH100817954797</t>
  </si>
  <si>
    <t>Harry Maguire</t>
  </si>
  <si>
    <t>EF133114027765366</t>
  </si>
  <si>
    <t>SHJP0910496816</t>
  </si>
  <si>
    <t>Zack Steffen</t>
  </si>
  <si>
    <t>EF130099485886735</t>
  </si>
  <si>
    <t>SH000816903579</t>
  </si>
  <si>
    <t>Hakim Ziyech</t>
  </si>
  <si>
    <t>Short Sleeve - Cotton Shirt Black</t>
  </si>
  <si>
    <t>EF131617205622570</t>
  </si>
  <si>
    <t>SH000817954797</t>
  </si>
  <si>
    <t>Paul Pogba</t>
  </si>
  <si>
    <t>EF133152630833418</t>
  </si>
  <si>
    <t>SHJP3073075289</t>
  </si>
  <si>
    <t>EF130137214737642</t>
  </si>
  <si>
    <t>SH000817955864</t>
  </si>
  <si>
    <t>Billy Gilmour</t>
  </si>
  <si>
    <t>Short Sleeve - Cotton Shirt Navy</t>
  </si>
  <si>
    <t>EF131655374612200</t>
  </si>
  <si>
    <t>SH000818335010</t>
  </si>
  <si>
    <t>Juan Mata</t>
  </si>
  <si>
    <t>EF133191245096359</t>
  </si>
  <si>
    <t>SH000817335280</t>
  </si>
  <si>
    <t>Sergio Romero</t>
  </si>
  <si>
    <t>EF130174954529916</t>
  </si>
  <si>
    <t>SH000817955863</t>
  </si>
  <si>
    <t>Reece James</t>
  </si>
  <si>
    <t>EF131693554670838</t>
  </si>
  <si>
    <t>SH000817829124</t>
  </si>
  <si>
    <t>Marcus Rashford</t>
  </si>
  <si>
    <t>EF130212705266729</t>
  </si>
  <si>
    <t>SH000817828077</t>
  </si>
  <si>
    <t>César Azpilicueta</t>
  </si>
  <si>
    <t>Short Sleeve - Cotton Shirt Khaki</t>
  </si>
  <si>
    <t>EF131808161292897</t>
  </si>
  <si>
    <t>SH000817957421</t>
  </si>
  <si>
    <t>Lee Grant</t>
  </si>
  <si>
    <t>EF133345814161968</t>
  </si>
  <si>
    <t>SH000819410739</t>
  </si>
  <si>
    <t>Benjamin Mendy</t>
  </si>
  <si>
    <t>EF131846385659672</t>
  </si>
  <si>
    <t>SH000818576517</t>
  </si>
  <si>
    <t>Jesse Lingard</t>
  </si>
  <si>
    <t>EF133384484448075</t>
  </si>
  <si>
    <t>SH000819407746</t>
  </si>
  <si>
    <t>Fernandinho</t>
  </si>
  <si>
    <t>EF130363817722874</t>
  </si>
  <si>
    <t>SH000817828920</t>
  </si>
  <si>
    <t>Caoimhín Kelleher</t>
  </si>
  <si>
    <t>EF131884621111513</t>
  </si>
  <si>
    <t>SH000817828246</t>
  </si>
  <si>
    <t>Andreas Pereira</t>
  </si>
  <si>
    <t>EF133423165948565</t>
  </si>
  <si>
    <t>EF130401623230014</t>
  </si>
  <si>
    <t>SH000817841053</t>
  </si>
  <si>
    <t>Virgil van Dijk</t>
  </si>
  <si>
    <t>EF131922867651636</t>
  </si>
  <si>
    <t>SHJP2857577570</t>
  </si>
  <si>
    <t>Marcos Rojo</t>
  </si>
  <si>
    <t>EF131961125283255</t>
  </si>
  <si>
    <t>SHJP6160957036</t>
  </si>
  <si>
    <t>Bruno Fernandes</t>
  </si>
  <si>
    <t>EF133500562605703</t>
  </si>
  <si>
    <t>SH000818825535</t>
  </si>
  <si>
    <t>Nicolás Otamendi</t>
  </si>
  <si>
    <t>EF133539277768859</t>
  </si>
  <si>
    <t>SH000819410346</t>
  </si>
  <si>
    <t>Ederson</t>
  </si>
  <si>
    <t>EF130515105545733</t>
  </si>
  <si>
    <t>SH000817956942</t>
  </si>
  <si>
    <t>Andrew Robertson</t>
  </si>
  <si>
    <t>EF132037673833850</t>
  </si>
  <si>
    <t>SH000818208847</t>
  </si>
  <si>
    <t>Diogo Dalot</t>
  </si>
  <si>
    <t>EF133578004159412</t>
  </si>
  <si>
    <t>SHJP3028369494</t>
  </si>
  <si>
    <t>Scott Carson</t>
  </si>
  <si>
    <t>EF130552954926342</t>
  </si>
  <si>
    <t>SH000817829369</t>
  </si>
  <si>
    <t>Joël Matip</t>
  </si>
  <si>
    <t>EF132075964759261</t>
  </si>
  <si>
    <t>SHJP6764314964</t>
  </si>
  <si>
    <t>Daniel James</t>
  </si>
  <si>
    <t>EF138387881635695</t>
  </si>
  <si>
    <t>SHJP6817208100</t>
  </si>
  <si>
    <t>Carles Aleñá</t>
  </si>
  <si>
    <t>EF130590815283270</t>
  </si>
  <si>
    <t>SHJP9517936622</t>
  </si>
  <si>
    <t>Nathaniel Phillips</t>
  </si>
  <si>
    <t>EF133655490635734</t>
  </si>
  <si>
    <t>SH000819410486</t>
  </si>
  <si>
    <t>Phil Foden</t>
  </si>
  <si>
    <t>EF138428014121369</t>
  </si>
  <si>
    <t>SH002501038613</t>
  </si>
  <si>
    <t>Oriol Busquets</t>
  </si>
  <si>
    <t>EF130628686619702</t>
  </si>
  <si>
    <t>SHJP5607552322</t>
  </si>
  <si>
    <t>Trent Alexander-Arnold</t>
  </si>
  <si>
    <t>EF132152579926410</t>
  </si>
  <si>
    <t>SHJP4763729595</t>
  </si>
  <si>
    <t>Luke Shaw</t>
  </si>
  <si>
    <t>EF138468158245465</t>
  </si>
  <si>
    <t>SH002501038614</t>
  </si>
  <si>
    <t>Matheus Fernandes</t>
  </si>
  <si>
    <t>EF130666568938822</t>
  </si>
  <si>
    <t>SHJP7827576301</t>
  </si>
  <si>
    <t>Neco Williams</t>
  </si>
  <si>
    <t>EF132190904174589</t>
  </si>
  <si>
    <t>SH000818826617</t>
  </si>
  <si>
    <t>Timothy Fosu-Mensah</t>
  </si>
  <si>
    <t>EF138508314011356</t>
  </si>
  <si>
    <t>SH002501038615</t>
  </si>
  <si>
    <t>EF132229239536800</t>
  </si>
  <si>
    <t>SH000818928053</t>
  </si>
  <si>
    <t>Odion Ighalo</t>
  </si>
  <si>
    <t>EF138548481422419</t>
  </si>
  <si>
    <t>SHJP7150934162</t>
  </si>
  <si>
    <t>Francisco Trincão</t>
  </si>
  <si>
    <t>EF130742366537865</t>
  </si>
  <si>
    <t>SHJP8202023808</t>
  </si>
  <si>
    <t>Fabinho</t>
  </si>
  <si>
    <t>EF132267586016265</t>
  </si>
  <si>
    <t>SHJP4749283833</t>
  </si>
  <si>
    <t>Dean Henderson</t>
  </si>
  <si>
    <t>EF138669053560417</t>
  </si>
  <si>
    <t>SHJP7909110035</t>
  </si>
  <si>
    <t>Do Jae Hak</t>
  </si>
  <si>
    <t>EF130780281824161</t>
  </si>
  <si>
    <t>SH000817828493</t>
  </si>
  <si>
    <t>Thiago</t>
  </si>
  <si>
    <t>EF132305943616210</t>
  </si>
  <si>
    <t>SH000818894405</t>
  </si>
  <si>
    <t>Aaron Wan-Bissaka</t>
  </si>
  <si>
    <t>EF138709267585950</t>
  </si>
  <si>
    <t>SHJP1981541166</t>
  </si>
  <si>
    <t>Kai Havertz</t>
  </si>
  <si>
    <t>EF132344312339859</t>
  </si>
  <si>
    <t>SH000818668558</t>
  </si>
  <si>
    <t>Nemanja Matić</t>
  </si>
  <si>
    <t>EF138749493273550</t>
  </si>
  <si>
    <t>SH002502390748</t>
  </si>
  <si>
    <t>Emerson</t>
  </si>
  <si>
    <t>EF130856145386241</t>
  </si>
  <si>
    <t>SHJP6331208141</t>
  </si>
  <si>
    <t>James Milner</t>
  </si>
  <si>
    <t>EF132382692190437</t>
  </si>
  <si>
    <t>SH000818334227</t>
  </si>
  <si>
    <t>Brandon Williams</t>
  </si>
  <si>
    <t>EF133927047444810</t>
  </si>
  <si>
    <t>SH000819411824</t>
  </si>
  <si>
    <t>Sergio Busquets</t>
  </si>
  <si>
    <t>EF138789730626599</t>
  </si>
  <si>
    <t>SHJP9476708216</t>
  </si>
  <si>
    <t>Adrián</t>
  </si>
  <si>
    <t>EF133965886288569</t>
  </si>
  <si>
    <t>SHJP7967548474</t>
  </si>
  <si>
    <t>Jean-Clair Todibo</t>
  </si>
  <si>
    <t>EF138829979648481</t>
  </si>
  <si>
    <t>SHJP9476708215</t>
  </si>
  <si>
    <t>Carlo Pinsoglio</t>
  </si>
  <si>
    <t>EF134004736395593</t>
  </si>
  <si>
    <t>SHJP8660531115</t>
  </si>
  <si>
    <t>Antoine Griezmann</t>
  </si>
  <si>
    <t>EF138870240342579</t>
  </si>
  <si>
    <t>SH002502129735</t>
  </si>
  <si>
    <t>Marc-André ter Stegen</t>
  </si>
  <si>
    <t>EF134043597769147</t>
  </si>
  <si>
    <t>SHJP9220844237</t>
  </si>
  <si>
    <t>Miralem Pjanić</t>
  </si>
  <si>
    <t>EF138910512712278</t>
  </si>
  <si>
    <t>SHJP8901799869</t>
  </si>
  <si>
    <t>Kim Jun Wan</t>
  </si>
  <si>
    <t>EF134082470412501</t>
  </si>
  <si>
    <t>SH000818210327</t>
  </si>
  <si>
    <t>Luis Suárez</t>
  </si>
  <si>
    <t>EF134121354328920</t>
  </si>
  <si>
    <t>SH000818210328</t>
  </si>
  <si>
    <t>Lionel Messi</t>
  </si>
  <si>
    <t>EF138991092492025</t>
  </si>
  <si>
    <t>SHJP0963437243</t>
  </si>
  <si>
    <t>Gianluigi Buffon</t>
  </si>
  <si>
    <t>EF139031399908848</t>
  </si>
  <si>
    <t>SHJP6211126770</t>
  </si>
  <si>
    <t>Ansu Fati</t>
  </si>
  <si>
    <t>EF134199155994037</t>
  </si>
  <si>
    <t>SHJP2072691294</t>
  </si>
  <si>
    <t>Rafinha</t>
  </si>
  <si>
    <t>EF140286744498270</t>
  </si>
  <si>
    <t>SHJP5298443446</t>
  </si>
  <si>
    <t>Luka Jović</t>
  </si>
  <si>
    <t>EF134238073749275</t>
  </si>
  <si>
    <t>SH000817317052</t>
  </si>
  <si>
    <t>Neto</t>
  </si>
  <si>
    <t>EF140327427654174</t>
  </si>
  <si>
    <t>SH002501676366</t>
  </si>
  <si>
    <t>Ji Chang Wook</t>
  </si>
  <si>
    <t>EF134277002790662</t>
  </si>
  <si>
    <t>SH000819412116</t>
  </si>
  <si>
    <t>Philippe Coutinho</t>
  </si>
  <si>
    <t>EF140368122608194</t>
  </si>
  <si>
    <t>SH002501676365</t>
  </si>
  <si>
    <t>EF134393857664453</t>
  </si>
  <si>
    <t>SH000818211067</t>
  </si>
  <si>
    <t>Clément Lenglet</t>
  </si>
  <si>
    <t>EF136712782176462</t>
  </si>
  <si>
    <t>SH000819411555</t>
  </si>
  <si>
    <t>Álvaro Odriozola</t>
  </si>
  <si>
    <t>EF140408829363750</t>
  </si>
  <si>
    <t>SHJP3772811792</t>
  </si>
  <si>
    <t>Axel Tuanzebe</t>
  </si>
  <si>
    <t>EF136752428883293</t>
  </si>
  <si>
    <t>SH000818625062</t>
  </si>
  <si>
    <t>Vinícius Júnior</t>
  </si>
  <si>
    <t>EF135136303731500</t>
  </si>
  <si>
    <t>SH000818576919</t>
  </si>
  <si>
    <t>Giorgio Chiellin</t>
  </si>
  <si>
    <t>EF136792087087669</t>
  </si>
  <si>
    <t>SHJP4040517651</t>
  </si>
  <si>
    <t>Martin Ødegaard</t>
  </si>
  <si>
    <t>EF134432831883175</t>
  </si>
  <si>
    <t>SH000819582244</t>
  </si>
  <si>
    <t>Jordi Alba</t>
  </si>
  <si>
    <t>EF135175493259582</t>
  </si>
  <si>
    <t>SHJP4260195903</t>
  </si>
  <si>
    <t>Matthijs de Ligt</t>
  </si>
  <si>
    <t>EF134471817404422</t>
  </si>
  <si>
    <t>SH000819738329</t>
  </si>
  <si>
    <t>Martin Braithwaite</t>
  </si>
  <si>
    <t>EF135214694152627</t>
  </si>
  <si>
    <t>SH000819410767</t>
  </si>
  <si>
    <t>EF134510814231469</t>
  </si>
  <si>
    <t>SH000817829171</t>
  </si>
  <si>
    <t>Nelson</t>
  </si>
  <si>
    <t>EF135253906413931</t>
  </si>
  <si>
    <t>SH000818893039</t>
  </si>
  <si>
    <t>Danilo</t>
  </si>
  <si>
    <t>EF134549822367596</t>
  </si>
  <si>
    <t>SH000818826222</t>
  </si>
  <si>
    <t>Frenkie de Jong</t>
  </si>
  <si>
    <t>EF135293130046791</t>
  </si>
  <si>
    <t>SH000819739953</t>
  </si>
  <si>
    <t>Juan Cuadrado</t>
  </si>
  <si>
    <t>EF136950834947324</t>
  </si>
  <si>
    <t>SH002500573076</t>
  </si>
  <si>
    <t>Rodrygo</t>
  </si>
  <si>
    <t>EF134588841816083</t>
  </si>
  <si>
    <t>SH000818826221</t>
  </si>
  <si>
    <t>Jang Ki Yong</t>
  </si>
  <si>
    <t>EF135332365054505</t>
  </si>
  <si>
    <t>SH000819411827</t>
  </si>
  <si>
    <t>Leonardo Bonucci</t>
  </si>
  <si>
    <t>EF136990550689459</t>
  </si>
  <si>
    <t>SH002501227174</t>
  </si>
  <si>
    <t>Dani Carvajal</t>
  </si>
  <si>
    <t>EF135371611440371</t>
  </si>
  <si>
    <t>SH000816962205</t>
  </si>
  <si>
    <t>Merih Demiral</t>
  </si>
  <si>
    <t>EF137030277949158</t>
  </si>
  <si>
    <t>SHJP1234185561</t>
  </si>
  <si>
    <t>Lee Ik Jun</t>
  </si>
  <si>
    <t>EF135410869207688</t>
  </si>
  <si>
    <t>SHJP9175954217</t>
  </si>
  <si>
    <t>Gianluca Frabotta</t>
  </si>
  <si>
    <t>EF137070016729764</t>
  </si>
  <si>
    <t>SHJP4688192727</t>
  </si>
  <si>
    <t>Warna</t>
  </si>
  <si>
    <t xml:space="preserve">Penjualan </t>
  </si>
  <si>
    <t xml:space="preserve">Pengiriman </t>
  </si>
  <si>
    <t>Tanggal Order - Day of the week</t>
  </si>
  <si>
    <t>SUM of Total per transaksi</t>
  </si>
  <si>
    <t>SUM of Qty</t>
  </si>
  <si>
    <t>Sunday</t>
  </si>
  <si>
    <t>Monday</t>
  </si>
  <si>
    <t>Tuesday</t>
  </si>
  <si>
    <t>Wednesday</t>
  </si>
  <si>
    <t>Thursday</t>
  </si>
  <si>
    <t>Friday</t>
  </si>
  <si>
    <t>Saturday</t>
  </si>
  <si>
    <t>Tanggal Order - Month</t>
  </si>
  <si>
    <t>Jan</t>
  </si>
  <si>
    <t>Feb</t>
  </si>
  <si>
    <t>Mar</t>
  </si>
  <si>
    <t>Apr</t>
  </si>
  <si>
    <t>Start Date</t>
  </si>
  <si>
    <t>Total Qty</t>
  </si>
  <si>
    <t xml:space="preserve">Total Penjualan </t>
  </si>
  <si>
    <t>End Date</t>
  </si>
  <si>
    <t>SUM of Total per Item</t>
  </si>
  <si>
    <t>BELI BAHAN BAKU</t>
  </si>
  <si>
    <t>SIAPIN BAHAN BAKU</t>
  </si>
  <si>
    <t>MASAK</t>
  </si>
  <si>
    <t>SAJIKAN MASAKAN</t>
  </si>
  <si>
    <t>DATA COLLECTION</t>
  </si>
  <si>
    <t>DATA CLEANING</t>
  </si>
  <si>
    <t>DATA PROCESSING</t>
  </si>
  <si>
    <t>VISUALIZATION</t>
  </si>
  <si>
    <t>Download Database</t>
  </si>
  <si>
    <t>Rapiin Data</t>
  </si>
  <si>
    <t>Lakukan Perhitungan</t>
  </si>
  <si>
    <t>Bikin report yang menarik</t>
  </si>
  <si>
    <t>Input Data</t>
  </si>
  <si>
    <t>Eliminasi Data</t>
  </si>
  <si>
    <t>Lakukan Proses yang dibutuhkan</t>
  </si>
  <si>
    <t>Formula Used</t>
  </si>
  <si>
    <t>Fitur Used</t>
  </si>
  <si>
    <t>LEFT MID RIGHT</t>
  </si>
  <si>
    <t>SUMIF SUMIFS</t>
  </si>
  <si>
    <t>CONDITIONAL FORMATTING</t>
  </si>
  <si>
    <t>LEN</t>
  </si>
  <si>
    <t>COUNTIF COUNTIFS</t>
  </si>
  <si>
    <t>CHART</t>
  </si>
  <si>
    <t>DATE</t>
  </si>
  <si>
    <t>IF</t>
  </si>
  <si>
    <t>TEXT</t>
  </si>
  <si>
    <t>INDEX &amp; MATCH / XLOOKUP</t>
  </si>
  <si>
    <t>TEXTSPLIT / TEXT TO COLUMN</t>
  </si>
  <si>
    <t>FILTER</t>
  </si>
  <si>
    <t>FLASH FILL (CTRL + E)</t>
  </si>
  <si>
    <t>SORT (LARGE &amp; SMALL)</t>
  </si>
  <si>
    <t>FIND REPLACE</t>
  </si>
  <si>
    <t>KEMENANGAN KECIL</t>
  </si>
  <si>
    <t>IKEA EFFECT</t>
  </si>
  <si>
    <t>DATABASE TRANSAKSI</t>
  </si>
  <si>
    <t>HELPER -&gt; DATABASE TRANSaksi sesuai tanggal yg diminta</t>
  </si>
  <si>
    <t>DASHBOARD -&gt; TANGGAL</t>
  </si>
  <si>
    <t>Bikin Drodpown Date &amp; Layout awal</t>
  </si>
  <si>
    <t>Bikin Table Database Transaksi</t>
  </si>
  <si>
    <t>#CBDED3</t>
  </si>
  <si>
    <t>Bikin Helper utama</t>
  </si>
  <si>
    <t>#8BA49A</t>
  </si>
  <si>
    <t>Finalisasi Layout Atas</t>
  </si>
  <si>
    <t>#D2C49E</t>
  </si>
  <si>
    <t>Trend penjualan</t>
  </si>
  <si>
    <t>#3B6255</t>
  </si>
  <si>
    <t>Category Proportion</t>
  </si>
  <si>
    <t>#E2DFDA</t>
  </si>
  <si>
    <t>Top 5 Product</t>
  </si>
  <si>
    <t>Top 5 Color</t>
  </si>
  <si>
    <t>Top 5 City</t>
  </si>
  <si>
    <t>Table</t>
  </si>
  <si>
    <t>Top 5 Customer</t>
  </si>
  <si>
    <t>Finalisasi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</si>
</sst>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 h:mm:ss"/>
    <numFmt numFmtId="166" formatCode="[$Rp]#,##0"/>
  </numFmts>
  <fonts count="23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Inter"/>
    </font>
    <font>
      <b/>
      <sz val="11.0"/>
      <color theme="1"/>
      <name val="&quot;Aptos Display&quot;"/>
    </font>
    <font>
      <sz val="10.0"/>
      <color rgb="FF000000"/>
      <name val="Inter"/>
    </font>
    <font>
      <sz val="10.0"/>
      <color theme="1"/>
      <name val="Inter"/>
    </font>
    <font>
      <sz val="10.0"/>
      <color rgb="FF222222"/>
      <name val="Inter"/>
    </font>
    <font>
      <sz val="11.0"/>
      <color rgb="FF000000"/>
      <name val="&quot;Aptos Display&quot;"/>
    </font>
    <font>
      <sz val="11.0"/>
      <color rgb="FF000000"/>
      <name val="Arial"/>
    </font>
    <font>
      <sz val="11.0"/>
      <color rgb="FF222222"/>
      <name val="&quot;Aptos Display&quot;"/>
    </font>
    <font>
      <sz val="19.0"/>
      <color theme="1"/>
      <name val="Arial"/>
      <scheme val="minor"/>
    </font>
    <font>
      <sz val="12.0"/>
      <color rgb="FFFFFFFF"/>
      <name val="Arial"/>
      <scheme val="minor"/>
    </font>
    <font>
      <color rgb="FFFFFFFF"/>
      <name val="Arial"/>
      <scheme val="minor"/>
    </font>
    <font>
      <sz val="17.0"/>
      <color rgb="FFFFFFFF"/>
      <name val="Arial"/>
      <scheme val="minor"/>
    </font>
    <font>
      <sz val="11.0"/>
      <color theme="1"/>
      <name val="Arial"/>
      <scheme val="minor"/>
    </font>
    <font>
      <sz val="12.0"/>
      <color theme="1"/>
      <name val="Arial"/>
      <scheme val="minor"/>
    </font>
    <font>
      <sz val="17.0"/>
      <color theme="1"/>
      <name val="Arial"/>
      <scheme val="minor"/>
    </font>
    <font>
      <sz val="14.0"/>
      <color rgb="FFFFFFFF"/>
      <name val="Arial"/>
      <scheme val="minor"/>
    </font>
    <font>
      <color rgb="FF000000"/>
      <name val="Arial"/>
      <scheme val="minor"/>
    </font>
    <font>
      <sz val="11.0"/>
      <color rgb="FF000000"/>
      <name val="&quot;Aptos Narrow&quot;"/>
    </font>
    <font>
      <sz val="11.0"/>
      <color rgb="FFFFFFFF"/>
      <name val="&quot;Aptos Narrow&quot;"/>
    </font>
    <font>
      <b/>
      <sz val="11.0"/>
      <color rgb="FF000000"/>
      <name val="&quot;Aptos Narrow&quot;"/>
    </font>
    <font>
      <color theme="1"/>
      <name val="Inter"/>
    </font>
  </fonts>
  <fills count="10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A3B18A"/>
        <bgColor rgb="FFA3B18A"/>
      </patternFill>
    </fill>
    <fill>
      <patternFill patternType="solid">
        <fgColor rgb="FFD0CECE"/>
        <bgColor rgb="FFD0CECE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C65911"/>
        <bgColor rgb="FFC65911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1" fillId="0" fontId="2" numFmtId="0" xfId="0" applyAlignment="1" applyBorder="1" applyFont="1">
      <alignment horizontal="left" readingOrder="0" shrinkToFit="0" vertical="bottom" wrapText="0"/>
    </xf>
    <xf borderId="2" fillId="0" fontId="2" numFmtId="0" xfId="0" applyAlignment="1" applyBorder="1" applyFont="1">
      <alignment horizontal="left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3" numFmtId="49" xfId="0" applyAlignment="1" applyBorder="1" applyFont="1" applyNumberFormat="1">
      <alignment horizontal="center" readingOrder="0" shrinkToFit="0" vertical="bottom" wrapText="0"/>
    </xf>
    <xf borderId="2" fillId="0" fontId="3" numFmtId="49" xfId="0" applyAlignment="1" applyBorder="1" applyFont="1" applyNumberFormat="1">
      <alignment horizontal="left" readingOrder="0" shrinkToFit="0" vertical="bottom" wrapText="0"/>
    </xf>
    <xf borderId="2" fillId="0" fontId="2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4" fillId="0" fontId="4" numFmtId="0" xfId="0" applyAlignment="1" applyBorder="1" applyFont="1">
      <alignment horizontal="left" readingOrder="0" shrinkToFit="0" vertical="center" wrapText="0"/>
    </xf>
    <xf borderId="4" fillId="0" fontId="5" numFmtId="164" xfId="0" applyAlignment="1" applyBorder="1" applyFont="1" applyNumberFormat="1">
      <alignment readingOrder="0" shrinkToFit="0" vertical="center" wrapText="0"/>
    </xf>
    <xf borderId="4" fillId="0" fontId="5" numFmtId="0" xfId="0" applyAlignment="1" applyBorder="1" applyFont="1">
      <alignment horizontal="left" readingOrder="0" shrinkToFit="0" vertical="center" wrapText="0"/>
    </xf>
    <xf borderId="4" fillId="0" fontId="6" numFmtId="0" xfId="0" applyAlignment="1" applyBorder="1" applyFont="1">
      <alignment horizontal="left" readingOrder="0" shrinkToFit="0" vertical="center" wrapText="0"/>
    </xf>
    <xf borderId="4" fillId="0" fontId="4" numFmtId="0" xfId="0" applyAlignment="1" applyBorder="1" applyFont="1">
      <alignment horizontal="left" readingOrder="0" shrinkToFit="0" vertical="bottom" wrapText="0"/>
    </xf>
    <xf borderId="4" fillId="0" fontId="4" numFmtId="3" xfId="0" applyAlignment="1" applyBorder="1" applyFont="1" applyNumberFormat="1">
      <alignment readingOrder="0" shrinkToFit="0" vertical="bottom" wrapText="0"/>
    </xf>
    <xf borderId="4" fillId="0" fontId="7" numFmtId="3" xfId="0" applyAlignment="1" applyBorder="1" applyFont="1" applyNumberFormat="1">
      <alignment readingOrder="0" shrinkToFit="0" vertical="bottom" wrapText="0"/>
    </xf>
    <xf borderId="4" fillId="0" fontId="8" numFmtId="3" xfId="0" applyAlignment="1" applyBorder="1" applyFont="1" applyNumberFormat="1">
      <alignment readingOrder="0" shrinkToFit="0" vertical="bottom" wrapText="0"/>
    </xf>
    <xf borderId="5" fillId="0" fontId="4" numFmtId="0" xfId="0" applyAlignment="1" applyBorder="1" applyFont="1">
      <alignment horizontal="left" readingOrder="0" shrinkToFit="0" vertical="bottom" wrapText="0"/>
    </xf>
    <xf borderId="6" fillId="0" fontId="4" numFmtId="0" xfId="0" applyAlignment="1" applyBorder="1" applyFont="1">
      <alignment horizontal="left" readingOrder="0" shrinkToFit="0" vertical="bottom" wrapText="0"/>
    </xf>
    <xf borderId="4" fillId="0" fontId="9" numFmtId="3" xfId="0" applyAlignment="1" applyBorder="1" applyFont="1" applyNumberFormat="1">
      <alignment readingOrder="0" shrinkToFit="0" vertical="center" wrapText="0"/>
    </xf>
    <xf borderId="7" fillId="0" fontId="4" numFmtId="0" xfId="0" applyAlignment="1" applyBorder="1" applyFont="1">
      <alignment horizontal="left" readingOrder="0" shrinkToFit="0" vertical="bottom" wrapText="0"/>
    </xf>
    <xf borderId="8" fillId="0" fontId="4" numFmtId="0" xfId="0" applyAlignment="1" applyBorder="1" applyFont="1">
      <alignment horizontal="left" readingOrder="0" shrinkToFit="0" vertical="bottom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1" numFmtId="3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4" numFmtId="0" xfId="0" applyAlignment="1" applyBorder="1" applyFont="1">
      <alignment horizontal="left" readingOrder="0" shrinkToFit="0" vertical="center" wrapText="0"/>
    </xf>
    <xf borderId="5" fillId="0" fontId="5" numFmtId="164" xfId="0" applyAlignment="1" applyBorder="1" applyFont="1" applyNumberFormat="1">
      <alignment readingOrder="0" shrinkToFit="0" vertical="center" wrapText="0"/>
    </xf>
    <xf borderId="5" fillId="0" fontId="5" numFmtId="0" xfId="0" applyAlignment="1" applyBorder="1" applyFont="1">
      <alignment horizontal="left" readingOrder="0" shrinkToFit="0" vertical="center" wrapText="0"/>
    </xf>
    <xf borderId="5" fillId="0" fontId="6" numFmtId="0" xfId="0" applyAlignment="1" applyBorder="1" applyFont="1">
      <alignment horizontal="left" readingOrder="0" shrinkToFit="0" vertical="center" wrapText="0"/>
    </xf>
    <xf borderId="5" fillId="0" fontId="4" numFmtId="0" xfId="0" applyAlignment="1" applyBorder="1" applyFont="1">
      <alignment horizontal="left" readingOrder="0" shrinkToFit="0" vertical="bottom" wrapText="0"/>
    </xf>
    <xf borderId="5" fillId="0" fontId="4" numFmtId="3" xfId="0" applyAlignment="1" applyBorder="1" applyFont="1" applyNumberFormat="1">
      <alignment readingOrder="0" shrinkToFit="0" vertical="bottom" wrapText="0"/>
    </xf>
    <xf borderId="5" fillId="0" fontId="9" numFmtId="3" xfId="0" applyAlignment="1" applyBorder="1" applyFont="1" applyNumberFormat="1">
      <alignment readingOrder="0" shrinkToFit="0" vertical="center" wrapText="0"/>
    </xf>
    <xf borderId="5" fillId="0" fontId="7" numFmtId="3" xfId="0" applyAlignment="1" applyBorder="1" applyFont="1" applyNumberFormat="1">
      <alignment readingOrder="0" shrinkToFit="0" vertical="bottom" wrapText="0"/>
    </xf>
    <xf borderId="9" fillId="0" fontId="4" numFmtId="0" xfId="0" applyAlignment="1" applyBorder="1" applyFont="1">
      <alignment horizontal="left" readingOrder="0" shrinkToFit="0" vertical="center" wrapText="0"/>
    </xf>
    <xf borderId="7" fillId="0" fontId="5" numFmtId="164" xfId="0" applyAlignment="1" applyBorder="1" applyFont="1" applyNumberFormat="1">
      <alignment readingOrder="0" shrinkToFit="0" vertical="center" wrapText="0"/>
    </xf>
    <xf borderId="7" fillId="0" fontId="5" numFmtId="0" xfId="0" applyAlignment="1" applyBorder="1" applyFont="1">
      <alignment horizontal="left" readingOrder="0" shrinkToFit="0" vertical="center" wrapText="0"/>
    </xf>
    <xf borderId="7" fillId="0" fontId="6" numFmtId="0" xfId="0" applyAlignment="1" applyBorder="1" applyFont="1">
      <alignment horizontal="left" readingOrder="0" shrinkToFit="0" vertical="center" wrapText="0"/>
    </xf>
    <xf borderId="7" fillId="0" fontId="4" numFmtId="0" xfId="0" applyAlignment="1" applyBorder="1" applyFont="1">
      <alignment horizontal="left" readingOrder="0" shrinkToFit="0" vertical="bottom" wrapText="0"/>
    </xf>
    <xf borderId="7" fillId="0" fontId="4" numFmtId="3" xfId="0" applyAlignment="1" applyBorder="1" applyFont="1" applyNumberFormat="1">
      <alignment readingOrder="0" shrinkToFit="0" vertical="bottom" wrapText="0"/>
    </xf>
    <xf borderId="7" fillId="0" fontId="9" numFmtId="3" xfId="0" applyAlignment="1" applyBorder="1" applyFont="1" applyNumberFormat="1">
      <alignment readingOrder="0" shrinkToFit="0" vertical="center" wrapText="0"/>
    </xf>
    <xf borderId="7" fillId="0" fontId="7" numFmtId="3" xfId="0" applyAlignment="1" applyBorder="1" applyFont="1" applyNumberFormat="1">
      <alignment readingOrder="0" shrinkToFit="0" vertical="bottom" wrapText="0"/>
    </xf>
    <xf borderId="11" fillId="0" fontId="4" numFmtId="0" xfId="0" applyAlignment="1" applyBorder="1" applyFont="1">
      <alignment horizontal="left" readingOrder="0" shrinkToFit="0" vertical="center" wrapText="0"/>
    </xf>
    <xf borderId="12" fillId="0" fontId="5" numFmtId="164" xfId="0" applyAlignment="1" applyBorder="1" applyFont="1" applyNumberFormat="1">
      <alignment readingOrder="0" shrinkToFit="0" vertical="center" wrapText="0"/>
    </xf>
    <xf borderId="12" fillId="0" fontId="5" numFmtId="0" xfId="0" applyAlignment="1" applyBorder="1" applyFont="1">
      <alignment horizontal="left" readingOrder="0" shrinkToFit="0" vertical="center" wrapText="0"/>
    </xf>
    <xf borderId="12" fillId="0" fontId="6" numFmtId="0" xfId="0" applyAlignment="1" applyBorder="1" applyFont="1">
      <alignment horizontal="left" readingOrder="0" shrinkToFit="0" vertical="center" wrapText="0"/>
    </xf>
    <xf borderId="12" fillId="0" fontId="4" numFmtId="0" xfId="0" applyAlignment="1" applyBorder="1" applyFont="1">
      <alignment horizontal="left" readingOrder="0" shrinkToFit="0" vertical="bottom" wrapText="0"/>
    </xf>
    <xf borderId="12" fillId="0" fontId="4" numFmtId="3" xfId="0" applyAlignment="1" applyBorder="1" applyFont="1" applyNumberFormat="1">
      <alignment readingOrder="0" shrinkToFit="0" vertical="bottom" wrapText="0"/>
    </xf>
    <xf borderId="12" fillId="0" fontId="9" numFmtId="3" xfId="0" applyAlignment="1" applyBorder="1" applyFont="1" applyNumberFormat="1">
      <alignment readingOrder="0" shrinkToFit="0" vertical="center" wrapText="0"/>
    </xf>
    <xf borderId="12" fillId="0" fontId="7" numFmtId="3" xfId="0" applyAlignment="1" applyBorder="1" applyFont="1" applyNumberFormat="1">
      <alignment readingOrder="0" shrinkToFit="0" vertical="bottom" wrapText="0"/>
    </xf>
    <xf borderId="12" fillId="0" fontId="4" numFmtId="0" xfId="0" applyAlignment="1" applyBorder="1" applyFont="1">
      <alignment horizontal="left" readingOrder="0" shrinkToFit="0" vertical="bottom" wrapText="0"/>
    </xf>
    <xf borderId="13" fillId="0" fontId="4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49" xfId="0" applyAlignment="1" applyFont="1" applyNumberFormat="1">
      <alignment horizontal="center" readingOrder="0" shrinkToFit="0" vertical="bottom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1" numFmtId="164" xfId="0" applyFont="1" applyNumberFormat="1"/>
    <xf borderId="0" fillId="0" fontId="1" numFmtId="3" xfId="0" applyFont="1" applyNumberFormat="1"/>
    <xf borderId="0" fillId="0" fontId="1" numFmtId="165" xfId="0" applyFont="1" applyNumberFormat="1"/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2" fontId="12" numFmtId="0" xfId="0" applyAlignment="1" applyFill="1" applyFont="1">
      <alignment readingOrder="0"/>
    </xf>
    <xf borderId="4" fillId="0" fontId="1" numFmtId="164" xfId="0" applyAlignment="1" applyBorder="1" applyFont="1" applyNumberFormat="1">
      <alignment readingOrder="0"/>
    </xf>
    <xf borderId="0" fillId="3" fontId="11" numFmtId="0" xfId="0" applyAlignment="1" applyFill="1" applyFont="1">
      <alignment horizontal="center" readingOrder="0"/>
    </xf>
    <xf borderId="0" fillId="0" fontId="11" numFmtId="0" xfId="0" applyFont="1"/>
    <xf borderId="0" fillId="3" fontId="13" numFmtId="49" xfId="0" applyAlignment="1" applyFont="1" applyNumberFormat="1">
      <alignment horizontal="center" vertical="center"/>
    </xf>
    <xf borderId="0" fillId="3" fontId="13" numFmtId="166" xfId="0" applyAlignment="1" applyFont="1" applyNumberFormat="1">
      <alignment horizontal="center" vertical="center"/>
    </xf>
    <xf borderId="0" fillId="0" fontId="13" numFmtId="166" xfId="0" applyAlignment="1" applyFont="1" applyNumberFormat="1">
      <alignment horizontal="center"/>
    </xf>
    <xf borderId="0" fillId="0" fontId="14" numFmtId="0" xfId="0" applyFont="1"/>
    <xf borderId="0" fillId="0" fontId="15" numFmtId="0" xfId="0" applyFont="1"/>
    <xf borderId="0" fillId="0" fontId="16" numFmtId="0" xfId="0" applyFont="1"/>
    <xf borderId="0" fillId="0" fontId="17" numFmtId="0" xfId="0" applyAlignment="1" applyFont="1">
      <alignment horizontal="center" readingOrder="0"/>
    </xf>
    <xf borderId="0" fillId="0" fontId="18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4" fontId="19" numFmtId="0" xfId="0" applyAlignment="1" applyFill="1" applyFont="1">
      <alignment horizontal="left" readingOrder="0" shrinkToFit="0" wrapText="0"/>
    </xf>
    <xf borderId="0" fillId="5" fontId="19" numFmtId="0" xfId="0" applyAlignment="1" applyFill="1" applyFont="1">
      <alignment horizontal="left" readingOrder="0" shrinkToFit="0" wrapText="0"/>
    </xf>
    <xf borderId="14" fillId="0" fontId="19" numFmtId="0" xfId="0" applyAlignment="1" applyBorder="1" applyFont="1">
      <alignment horizontal="left" readingOrder="0" shrinkToFit="0" wrapText="0"/>
    </xf>
    <xf borderId="0" fillId="0" fontId="19" numFmtId="0" xfId="0" applyAlignment="1" applyFont="1">
      <alignment shrinkToFit="0" vertical="bottom" wrapText="0"/>
    </xf>
    <xf borderId="15" fillId="0" fontId="19" numFmtId="0" xfId="0" applyAlignment="1" applyBorder="1" applyFont="1">
      <alignment shrinkToFit="0" vertical="bottom" wrapText="0"/>
    </xf>
    <xf borderId="0" fillId="0" fontId="19" numFmtId="0" xfId="0" applyAlignment="1" applyFont="1">
      <alignment horizontal="left" readingOrder="0" shrinkToFit="0" vertical="bottom" wrapText="0"/>
    </xf>
    <xf borderId="15" fillId="0" fontId="19" numFmtId="0" xfId="0" applyAlignment="1" applyBorder="1" applyFont="1">
      <alignment horizontal="left" readingOrder="0" shrinkToFit="0" vertical="bottom" wrapText="0"/>
    </xf>
    <xf borderId="0" fillId="5" fontId="19" numFmtId="0" xfId="0" applyAlignment="1" applyFont="1">
      <alignment horizontal="left" readingOrder="0" shrinkToFit="0" vertical="bottom" wrapText="0"/>
    </xf>
    <xf borderId="15" fillId="6" fontId="19" numFmtId="0" xfId="0" applyAlignment="1" applyBorder="1" applyFill="1" applyFont="1">
      <alignment horizontal="left" readingOrder="0" shrinkToFit="0" vertical="bottom" wrapText="0"/>
    </xf>
    <xf borderId="16" fillId="7" fontId="20" numFmtId="0" xfId="0" applyAlignment="1" applyBorder="1" applyFill="1" applyFont="1">
      <alignment horizontal="left" readingOrder="0" shrinkToFit="0" vertical="bottom" wrapText="0"/>
    </xf>
    <xf borderId="15" fillId="0" fontId="21" numFmtId="0" xfId="0" applyAlignment="1" applyBorder="1" applyFont="1">
      <alignment horizontal="lef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17" fillId="0" fontId="19" numFmtId="0" xfId="0" applyAlignment="1" applyBorder="1" applyFont="1">
      <alignment shrinkToFit="0" vertical="bottom" wrapText="0"/>
    </xf>
    <xf borderId="0" fillId="0" fontId="22" numFmtId="0" xfId="0" applyFont="1"/>
    <xf borderId="0" fillId="0" fontId="22" numFmtId="0" xfId="0" applyAlignment="1" applyFont="1">
      <alignment horizontal="center"/>
    </xf>
    <xf borderId="0" fillId="0" fontId="22" numFmtId="0" xfId="0" applyAlignment="1" applyFont="1">
      <alignment horizontal="center" readingOrder="0"/>
    </xf>
    <xf borderId="0" fillId="8" fontId="22" numFmtId="0" xfId="0" applyAlignment="1" applyFill="1" applyFont="1">
      <alignment readingOrder="0"/>
    </xf>
    <xf borderId="0" fillId="9" fontId="22" numFmtId="0" xfId="0" applyAlignment="1" applyFill="1" applyFont="1">
      <alignment readingOrder="0"/>
    </xf>
    <xf borderId="0" fillId="0" fontId="2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Database Transaks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3.xml"/><Relationship Id="rId14" Type="http://schemas.openxmlformats.org/officeDocument/2006/relationships/pivotCacheDefinition" Target="pivotCache/pivotCacheDefinition2.xml"/><Relationship Id="rId16" Type="http://schemas.openxmlformats.org/officeDocument/2006/relationships/pivotCacheDefinition" Target="pivotCache/pivotCacheDefinition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Arial"/>
              </a:defRPr>
            </a:pPr>
            <a:r>
              <a:rPr b="1">
                <a:solidFill>
                  <a:schemeClr val="dk1"/>
                </a:solidFill>
                <a:latin typeface="Arial"/>
              </a:rPr>
              <a:t>Jenis Pengiriman</a:t>
            </a:r>
          </a:p>
        </c:rich>
      </c:tx>
      <c:overlay val="0"/>
    </c:title>
    <c:plotArea>
      <c:layout>
        <c:manualLayout>
          <c:xMode val="edge"/>
          <c:yMode val="edge"/>
          <c:x val="0.04975371872887091"/>
          <c:y val="0.17676767676767677"/>
          <c:w val="0.9150838396041313"/>
          <c:h val="0.7609427609427609"/>
        </c:manualLayout>
      </c:layout>
      <c:doughnutChart>
        <c:varyColors val="1"/>
        <c:ser>
          <c:idx val="0"/>
          <c:order val="0"/>
          <c:tx>
            <c:strRef>
              <c:f>Helper1!$R$3</c:f>
            </c:strRef>
          </c:tx>
          <c:dPt>
            <c:idx val="0"/>
            <c:explosion val="0"/>
            <c:spPr>
              <a:solidFill>
                <a:srgbClr val="344E41"/>
              </a:solidFill>
            </c:spPr>
          </c:dPt>
          <c:dPt>
            <c:idx val="1"/>
            <c:spPr>
              <a:solidFill>
                <a:srgbClr val="588157"/>
              </a:solidFill>
            </c:spPr>
          </c:dPt>
          <c:dPt>
            <c:idx val="2"/>
            <c:spPr>
              <a:solidFill>
                <a:srgbClr val="A3B18A"/>
              </a:solidFill>
            </c:spPr>
          </c:dPt>
          <c:dPt>
            <c:idx val="3"/>
            <c:spPr>
              <a:solidFill>
                <a:srgbClr val="DAD7C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Helper1!$Q$4:$Q$7</c:f>
            </c:strRef>
          </c:cat>
          <c:val>
            <c:numRef>
              <c:f>Helper1!$R$4:$R$7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layout>
        <c:manualLayout>
          <c:xMode val="edge"/>
          <c:yMode val="edge"/>
          <c:x val="0.5091277890466531"/>
          <c:y val="-0.04377104377104377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sans-serif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Transaksi Perminggu</a:t>
            </a:r>
          </a:p>
        </c:rich>
      </c:tx>
      <c:overlay val="0"/>
    </c:title>
    <c:plotArea>
      <c:layout>
        <c:manualLayout>
          <c:xMode val="edge"/>
          <c:yMode val="edge"/>
          <c:x val="0.004930966469427988"/>
          <c:y val="0.20222929936305734"/>
          <c:w val="0.9641025641025641"/>
          <c:h val="0.6878980891719745"/>
        </c:manualLayout>
      </c:layout>
      <c:barChart>
        <c:barDir val="col"/>
        <c:ser>
          <c:idx val="0"/>
          <c:order val="0"/>
          <c:spPr>
            <a:solidFill>
              <a:srgbClr val="588157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200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Helper1!$N$4:$N$10</c:f>
            </c:strRef>
          </c:cat>
          <c:val>
            <c:numRef>
              <c:f>Helper1!$O$4:$O$10</c:f>
              <c:numCache/>
            </c:numRef>
          </c:val>
        </c:ser>
        <c:axId val="302879821"/>
        <c:axId val="2089299860"/>
      </c:barChart>
      <c:catAx>
        <c:axId val="3028798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9299860"/>
      </c:catAx>
      <c:valAx>
        <c:axId val="2089299860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28798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Kota dengan Nilai Penjualan Tertinggi</a:t>
            </a:r>
          </a:p>
        </c:rich>
      </c:tx>
      <c:overlay val="0"/>
    </c:title>
    <c:plotArea>
      <c:layout>
        <c:manualLayout>
          <c:xMode val="edge"/>
          <c:yMode val="edge"/>
          <c:x val="0.17434210526315788"/>
          <c:y val="0.13724168912848164"/>
          <c:w val="0.8256578947368421"/>
          <c:h val="0.8263701707097935"/>
        </c:manualLayout>
      </c:layout>
      <c:barChart>
        <c:barDir val="bar"/>
        <c:ser>
          <c:idx val="0"/>
          <c:order val="0"/>
          <c:spPr>
            <a:solidFill>
              <a:srgbClr val="588157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Helper1!$T$4:$T$7</c:f>
            </c:strRef>
          </c:cat>
          <c:val>
            <c:numRef>
              <c:f>Helper1!$U$4:$U$7</c:f>
              <c:numCache/>
            </c:numRef>
          </c:val>
        </c:ser>
        <c:axId val="1701022871"/>
        <c:axId val="1969490655"/>
      </c:barChart>
      <c:catAx>
        <c:axId val="170102287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</a:p>
        </c:txPr>
        <c:crossAx val="1969490655"/>
      </c:catAx>
      <c:valAx>
        <c:axId val="1969490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102287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chemeClr val="dk1"/>
                </a:solidFill>
                <a:latin typeface="Arial"/>
              </a:defRPr>
            </a:pPr>
            <a:r>
              <a:rPr b="1" sz="1400">
                <a:solidFill>
                  <a:schemeClr val="dk1"/>
                </a:solidFill>
                <a:latin typeface="Arial"/>
              </a:rPr>
              <a:t>Jumlah Produk Terjual Berdasarkan Kategori</a:t>
            </a:r>
          </a:p>
        </c:rich>
      </c:tx>
      <c:overlay val="0"/>
    </c:title>
    <c:plotArea>
      <c:layout>
        <c:manualLayout>
          <c:xMode val="edge"/>
          <c:yMode val="edge"/>
          <c:x val="0.01375"/>
          <c:y val="0.18817204301075277"/>
          <c:w val="0.95525"/>
          <c:h val="0.6892473118279567"/>
        </c:manualLayout>
      </c:layout>
      <c:barChart>
        <c:barDir val="col"/>
        <c:ser>
          <c:idx val="0"/>
          <c:order val="0"/>
          <c:spPr>
            <a:solidFill>
              <a:srgbClr val="A3B18A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Helper1!$W$4:$W$9</c:f>
            </c:strRef>
          </c:cat>
          <c:val>
            <c:numRef>
              <c:f>Helper1!$X$4:$X$9</c:f>
              <c:numCache/>
            </c:numRef>
          </c:val>
        </c:ser>
        <c:axId val="301715735"/>
        <c:axId val="1468959116"/>
      </c:barChart>
      <c:catAx>
        <c:axId val="301715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8959116"/>
      </c:catAx>
      <c:valAx>
        <c:axId val="14689591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17157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chemeClr val="dk1"/>
                </a:solidFill>
                <a:latin typeface="Arial"/>
              </a:defRPr>
            </a:pPr>
            <a:r>
              <a:rPr b="1" sz="1400">
                <a:solidFill>
                  <a:schemeClr val="dk1"/>
                </a:solidFill>
                <a:latin typeface="Arial"/>
              </a:rPr>
              <a:t>Jumlah Produk Berdasarkan Warna</a:t>
            </a:r>
          </a:p>
        </c:rich>
      </c:tx>
      <c:layout>
        <c:manualLayout>
          <c:xMode val="edge"/>
          <c:yMode val="edge"/>
          <c:x val="0.027583333333333335"/>
          <c:y val="0.055390835579514824"/>
        </c:manualLayout>
      </c:layout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344E41"/>
              </a:solidFill>
            </c:spPr>
          </c:dPt>
          <c:dPt>
            <c:idx val="1"/>
            <c:spPr>
              <a:solidFill>
                <a:srgbClr val="3A5A40"/>
              </a:solidFill>
            </c:spPr>
          </c:dPt>
          <c:dPt>
            <c:idx val="2"/>
            <c:spPr>
              <a:solidFill>
                <a:srgbClr val="588157"/>
              </a:solidFill>
            </c:spPr>
          </c:dPt>
          <c:dPt>
            <c:idx val="3"/>
            <c:spPr>
              <a:solidFill>
                <a:srgbClr val="A3B18A"/>
              </a:solidFill>
            </c:spPr>
          </c:dPt>
          <c:dPt>
            <c:idx val="4"/>
            <c:spPr>
              <a:solidFill>
                <a:srgbClr val="E2DFDA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Helper1!$Z$4:$Z$8</c:f>
            </c:strRef>
          </c:cat>
          <c:val>
            <c:numRef>
              <c:f>Helper1!$AA$4:$AA$8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6.png"/><Relationship Id="rId5" Type="http://schemas.openxmlformats.org/officeDocument/2006/relationships/image" Target="../media/image8.png"/><Relationship Id="rId6" Type="http://schemas.openxmlformats.org/officeDocument/2006/relationships/image" Target="../media/image4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876300</xdr:colOff>
      <xdr:row>6</xdr:row>
      <xdr:rowOff>76200</xdr:rowOff>
    </xdr:from>
    <xdr:ext cx="4943475" cy="2990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9525</xdr:colOff>
      <xdr:row>6</xdr:row>
      <xdr:rowOff>76200</xdr:rowOff>
    </xdr:from>
    <xdr:ext cx="6667500" cy="29908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19050</xdr:colOff>
      <xdr:row>21</xdr:row>
      <xdr:rowOff>180975</xdr:rowOff>
    </xdr:from>
    <xdr:ext cx="3876675" cy="24098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990600</xdr:colOff>
      <xdr:row>22</xdr:row>
      <xdr:rowOff>0</xdr:rowOff>
    </xdr:from>
    <xdr:ext cx="3810000" cy="23622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</xdr:col>
      <xdr:colOff>9525</xdr:colOff>
      <xdr:row>21</xdr:row>
      <xdr:rowOff>200025</xdr:rowOff>
    </xdr:from>
    <xdr:ext cx="3810000" cy="23622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8</xdr:col>
      <xdr:colOff>485775</xdr:colOff>
      <xdr:row>1</xdr:row>
      <xdr:rowOff>180975</xdr:rowOff>
    </xdr:from>
    <xdr:ext cx="3476625" cy="676275"/>
    <xdr:sp>
      <xdr:nvSpPr>
        <xdr:cNvPr id="3" name="Shape 3"/>
        <xdr:cNvSpPr txBox="1"/>
      </xdr:nvSpPr>
      <xdr:spPr>
        <a:xfrm>
          <a:off x="2734375" y="1390225"/>
          <a:ext cx="3457500" cy="6618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3100">
              <a:solidFill>
                <a:srgbClr val="244739"/>
              </a:solidFill>
              <a:latin typeface="Playfair Display"/>
              <a:ea typeface="Playfair Display"/>
              <a:cs typeface="Playfair Display"/>
              <a:sym typeface="Playfair Display"/>
            </a:rPr>
            <a:t>Dashboard Sales</a:t>
          </a:r>
          <a:endParaRPr sz="3100">
            <a:solidFill>
              <a:srgbClr val="244739"/>
            </a:solidFill>
            <a:latin typeface="Playfair Display"/>
            <a:ea typeface="Playfair Display"/>
            <a:cs typeface="Playfair Display"/>
            <a:sym typeface="Playfair Display"/>
          </a:endParaRPr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57150</xdr:colOff>
      <xdr:row>0</xdr:row>
      <xdr:rowOff>0</xdr:rowOff>
    </xdr:from>
    <xdr:ext cx="7858125" cy="5724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676275</xdr:colOff>
      <xdr:row>3</xdr:row>
      <xdr:rowOff>38100</xdr:rowOff>
    </xdr:from>
    <xdr:ext cx="9458325" cy="6181725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5</xdr:row>
      <xdr:rowOff>0</xdr:rowOff>
    </xdr:from>
    <xdr:ext cx="619125" cy="6191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6</xdr:row>
      <xdr:rowOff>0</xdr:rowOff>
    </xdr:from>
    <xdr:ext cx="619125" cy="6191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7</xdr:row>
      <xdr:rowOff>0</xdr:rowOff>
    </xdr:from>
    <xdr:ext cx="619125" cy="6191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8</xdr:row>
      <xdr:rowOff>0</xdr:rowOff>
    </xdr:from>
    <xdr:ext cx="619125" cy="619125"/>
    <xdr:pic>
      <xdr:nvPicPr>
        <xdr:cNvPr id="0" name="image8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9</xdr:row>
      <xdr:rowOff>0</xdr:rowOff>
    </xdr:from>
    <xdr:ext cx="619125" cy="6191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10</xdr:row>
      <xdr:rowOff>0</xdr:rowOff>
    </xdr:from>
    <xdr:ext cx="619125" cy="61912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1000" sheet="Helper1"/>
  </cacheSource>
  <cacheFields>
    <cacheField name="Kode Pesanan" numFmtId="0">
      <sharedItems containsBlank="1">
        <s v="EF129384712365821"/>
        <s v="EF130894093668403"/>
        <s v="EF132421083171172"/>
        <s v="EF134784108858761"/>
        <s v="EF129422233932407"/>
        <s v="EF130932052955567"/>
        <s v="EF132459485285292"/>
        <s v="EF134823196250330"/>
        <s v="EF129459766380247"/>
        <s v="EF134862294977243"/>
        <s v="EF129497309712498"/>
        <s v="EF131008004557666"/>
        <s v="EF132536322926600"/>
        <s v="EF129534863932314"/>
        <s v="EF131045996878988"/>
        <s v="EF132574758460249"/>
        <s v="EF129572429042855"/>
        <s v="EF131084000218083"/>
        <s v="EF132613205140202"/>
        <s v="EF134979659202919"/>
        <s v="EF129610005047277"/>
        <s v="EF131122014578146"/>
        <s v="EF132690131951954"/>
        <s v="EF132805605847709"/>
        <s v="EF135018803304088"/>
        <s v="EF129722798455434"/>
        <s v="EF131236123816111"/>
        <s v="EF129760418066986"/>
        <s v="EF131274182292018"/>
        <s v="EF129798048588225"/>
        <s v="EF131312251804883"/>
        <s v="EF129835690022316"/>
        <s v="EF132882644268052"/>
        <s v="EF129873342372422"/>
        <s v="EF132921180234890"/>
        <s v="EF129911005641710"/>
        <s v="EF129948679833346"/>
        <s v="EF131464640289950"/>
        <s v="EF129986364950498"/>
        <s v="EF131502765035634"/>
        <s v="EF130024060996333"/>
        <s v="EF131540900837494"/>
        <s v="EF133075435888958"/>
        <s v="EF130061767974022"/>
        <s v="EF131579047698737"/>
        <s v="EF133114027765366"/>
        <s v="EF130099485886735"/>
        <s v="EF131617205622570"/>
        <s v="EF133152630833418"/>
        <s v="EF130137214737642"/>
        <s v="EF131655374612200"/>
        <s v="EF133191245096359"/>
        <s v="EF130174954529916"/>
        <s v="EF131693554670838"/>
        <s v="EF130212705266729"/>
        <s v="EF131808161292897"/>
        <s v="EF133345814161968"/>
        <s v="EF131846385659672"/>
        <s v="EF133384484448075"/>
        <s v="EF130363817722874"/>
        <s v="EF131884621111513"/>
        <s v="EF133423165948565"/>
        <s v="EF130401623230014"/>
        <s v="EF131922867651636"/>
        <s v="EF131961125283255"/>
        <s v="EF133500562605703"/>
        <s v="EF133539277768859"/>
        <s v="EF130515105545733"/>
        <s v="EF132037673833850"/>
        <s v="EF133578004159412"/>
        <s v="EF130552954926342"/>
        <s v="EF132075964759261"/>
        <s v="EF138387881635695"/>
        <s v="EF130590815283270"/>
        <s v="EF133655490635734"/>
        <s v="EF138428014121369"/>
        <s v="EF130628686619702"/>
        <s v="EF132152579926410"/>
        <s v="EF138468158245465"/>
        <s v="EF130666568938822"/>
        <s v="EF132190904174589"/>
        <s v="EF138508314011356"/>
        <s v="EF132229239536800"/>
        <s v="EF138548481422419"/>
        <s v="EF130742366537865"/>
        <s v="EF132267586016265"/>
        <s v="EF138669053560417"/>
        <s v="EF130780281824161"/>
        <s v="EF132305943616210"/>
        <s v="EF138709267585950"/>
        <s v="EF132344312339859"/>
        <s v="EF138749493273550"/>
        <s v="EF130856145386241"/>
        <s v="EF132382692190437"/>
        <s v="EF133927047444810"/>
        <s v="EF138789730626599"/>
        <s v="EF133965886288569"/>
        <s v="EF138829979648481"/>
        <s v="EF134004736395593"/>
        <s v="EF138870240342579"/>
        <s v="EF134043597769147"/>
        <s v="EF138910512712278"/>
        <s v="EF134082470412501"/>
        <s v="EF134121354328920"/>
        <s v="EF138991092492025"/>
        <s v="EF139031399908848"/>
        <s v="EF134199155994037"/>
        <s v="EF140286744498270"/>
        <s v="EF134238073749275"/>
        <s v="EF140327427654174"/>
        <s v="EF134277002790662"/>
        <s v="EF140368122608194"/>
        <s v="EF134393857664453"/>
        <s v="EF136712782176462"/>
        <s v="EF140408829363750"/>
        <s v="EF136752428883293"/>
        <s v="EF135136303731500"/>
        <s v="EF136792087087669"/>
        <s v="EF134432831883175"/>
        <s v="EF135175493259582"/>
        <s v="EF134471817404422"/>
        <s v="EF135214694152627"/>
        <s v="EF134510814231469"/>
        <s v="EF135253906413931"/>
        <s v="EF134549822367596"/>
        <s v="EF135293130046791"/>
        <s v="EF136950834947324"/>
        <s v="EF134588841816083"/>
        <s v="EF135332365054505"/>
        <s v="EF136990550689459"/>
        <s v="EF135371611440371"/>
        <s v="EF137030277949158"/>
        <s v="EF135410869207688"/>
        <s v="EF137070016729764"/>
        <s v="EF135450138359759"/>
        <s v="EF137109767034615"/>
        <s v="EF135489418899883"/>
        <s v="EF137149528867055"/>
        <s v="EF135528710831364"/>
        <s v="EF135568014157505"/>
        <s v="EF137229087128074"/>
        <s v="EF137268883563341"/>
        <s v="EF137308691539573"/>
        <s v="EF135685992536938"/>
        <s v="EF137308691539574"/>
        <s v="EF135725341474774"/>
        <s v="EF135764701823802"/>
        <s v="EF135804073587331"/>
        <s v="EF135843456768671"/>
        <s v="EF135882851371134"/>
        <s v="EF135922257398031"/>
        <s v="EF135961674852677"/>
        <s v="EF136001103738384"/>
        <s v="EF137667483221710"/>
        <s v="EF136040544058468"/>
        <s v="EF137707406791844"/>
        <s v="EF137747341939814"/>
        <s v="EF137787288668977"/>
        <s v="EF136158933658146"/>
        <s v="EF137827246982691"/>
        <s v="EF136198419748907"/>
        <s v="EF137867216884316"/>
        <s v="EF136237917290634"/>
        <s v="EF137907198377212"/>
        <s v="EF136277426286649"/>
        <s v="EF137947191464741"/>
        <s v="EF136316946740272"/>
        <s v="EF137987196150266"/>
        <s v="EF136356478654826"/>
        <s v="EF138027212437150"/>
        <s v="EF136396022033636"/>
        <s v="EF138067240328759"/>
        <s v="EF136435576880026"/>
        <s v="EF138067240328756"/>
        <s v="EF136514720988848"/>
        <s v="EF138187393665575"/>
        <s v="EF136554310257935"/>
        <s v="EF138227468009738"/>
        <s v="EF136593911007910"/>
        <s v="EF136633523242102"/>
        <s v="EF138307651566113"/>
        <m/>
      </sharedItems>
    </cacheField>
    <cacheField name="Tanggal Order" numFmtId="164">
      <sharedItems containsDate="1" containsString="0" containsBlank="1">
        <d v="2025-01-01T00:00:00Z"/>
        <d v="2025-01-02T00:00:00Z"/>
        <d v="2025-01-03T00:00:00Z"/>
        <d v="2025-01-04T00:00:00Z"/>
        <d v="2025-01-05T00:00:00Z"/>
        <d v="2025-01-06T00:00:00Z"/>
        <d v="2025-01-07T00:00:00Z"/>
        <d v="2025-01-10T00:00:00Z"/>
        <d v="2025-01-11T00:00:00Z"/>
        <d v="2025-01-12T00:00:00Z"/>
        <d v="2025-01-13T00:00:00Z"/>
        <d v="2025-01-14T00:00:00Z"/>
        <d v="2025-01-15T00:00:00Z"/>
        <d v="2025-01-16T00:00:00Z"/>
        <d v="2025-01-17T00:00:00Z"/>
        <d v="2025-01-18T00:00:00Z"/>
        <d v="2025-01-19T00:00:00Z"/>
        <d v="2025-01-20T00:00:00Z"/>
        <d v="2025-01-21T00:00:00Z"/>
        <d v="2025-01-22T00:00:00Z"/>
        <d v="2025-01-23T00:00:00Z"/>
        <d v="2025-01-25T00:00:00Z"/>
        <d v="2025-01-26T00:00:00Z"/>
        <d v="2025-01-27T00:00:00Z"/>
        <d v="2025-01-28T00:00:00Z"/>
        <d v="2025-01-29T00:00:00Z"/>
        <d v="2025-01-30T00:00:00Z"/>
        <d v="2025-01-31T00:00:00Z"/>
        <d v="2025-02-01T00:00:00Z"/>
        <d v="2025-02-02T00:00:00Z"/>
        <d v="2025-02-03T00:00:00Z"/>
        <d v="2025-02-04T00:00:00Z"/>
        <d v="2025-02-05T00:00:00Z"/>
        <d v="2025-02-06T00:00:00Z"/>
        <d v="2025-02-07T00:00:00Z"/>
        <d v="2025-02-08T00:00:00Z"/>
        <d v="2025-02-09T00:00:00Z"/>
        <d v="2025-02-10T00:00:00Z"/>
        <d v="2025-02-11T00:00:00Z"/>
        <d v="2025-02-12T00:00:00Z"/>
        <d v="2025-02-13T00:00:00Z"/>
        <d v="2025-02-14T00:00:00Z"/>
        <d v="2025-02-15T00:00:00Z"/>
        <d v="2025-02-16T00:00:00Z"/>
        <d v="2025-02-17T00:00:00Z"/>
        <d v="2025-02-18T00:00:00Z"/>
        <d v="2025-02-19T00:00:00Z"/>
        <d v="2025-02-20T00:00:00Z"/>
        <d v="2025-02-21T00:00:00Z"/>
        <d v="2025-02-22T00:00:00Z"/>
        <d v="2025-02-23T00:00:00Z"/>
        <d v="2025-02-24T00:00:00Z"/>
        <d v="2025-02-25T00:00:00Z"/>
        <d v="2025-02-26T00:00:00Z"/>
        <d v="2025-02-27T00:00:00Z"/>
        <d v="2025-02-28T00:00:00Z"/>
        <d v="2025-03-01T00:00:00Z"/>
        <d v="2025-03-02T00:00:00Z"/>
        <d v="2025-03-03T00:00:00Z"/>
        <d v="2025-03-04T00:00:00Z"/>
        <d v="2025-03-05T00:00:00Z"/>
        <d v="2025-03-06T00:00:00Z"/>
        <d v="2025-03-07T00:00:00Z"/>
        <d v="2025-03-08T00:00:00Z"/>
        <d v="2025-03-09T00:00:00Z"/>
        <d v="2025-03-10T00:00:00Z"/>
        <d v="2025-03-11T00:00:00Z"/>
        <d v="2025-03-12T00:00:00Z"/>
        <d v="2025-03-13T00:00:00Z"/>
        <d v="2025-03-14T00:00:00Z"/>
        <d v="2025-03-15T00:00:00Z"/>
        <d v="2025-03-16T00:00:00Z"/>
        <d v="2025-03-17T00:00:00Z"/>
        <d v="2025-03-18T00:00:00Z"/>
        <d v="2025-03-19T00:00:00Z"/>
        <d v="2025-03-20T00:00:00Z"/>
        <d v="2025-03-21T00:00:00Z"/>
        <d v="2025-03-22T00:00:00Z"/>
        <d v="2025-03-23T00:00:00Z"/>
        <d v="2025-03-24T00:00:00Z"/>
        <d v="2025-03-25T00:00:00Z"/>
        <d v="2025-03-26T00:00:00Z"/>
        <d v="2025-03-28T00:00:00Z"/>
        <d v="2025-03-29T00:00:00Z"/>
        <d v="2025-03-30T00:00:00Z"/>
        <d v="2025-03-31T00:00:00Z"/>
        <d v="2025-04-02T00:00:00Z"/>
        <m/>
      </sharedItems>
    </cacheField>
    <cacheField name="No Resi" numFmtId="0">
      <sharedItems containsBlank="1">
        <s v="SHJP2131570450"/>
        <s v="SH000817822236"/>
        <s v="SHJP3294768267"/>
        <s v="SH000819410968"/>
        <s v="SH000816904326"/>
        <s v="SH000817956395"/>
        <s v="SH000817788985"/>
        <s v="SH000819408599"/>
        <s v="SHJP2339889289"/>
        <s v="SHJP4830772414"/>
        <s v="SHJP2984031462"/>
        <s v="SH000817823219"/>
        <s v="SH000817972575"/>
        <s v="SHJP5710033819"/>
        <s v="SH000817827897"/>
        <s v="SH000818825436"/>
        <s v="SH000816960220"/>
        <s v="SH000817822387"/>
        <s v="SH000817829901"/>
        <s v="SHJP0993027226"/>
        <s v="SH000816904317"/>
        <s v="SH000818333990"/>
        <s v="SH000818211307"/>
        <s v="SH000818824846"/>
        <s v="SH000816905305"/>
        <s v="SH000816903177"/>
        <s v="SH000817828487"/>
        <s v="SHJP1529505367"/>
        <s v="SH000817375021"/>
        <s v="SH000816960884"/>
        <s v="SH000817375020"/>
        <s v="SH000816905072"/>
        <s v="SH000818208940"/>
        <s v="SHJP1928989692"/>
        <s v="SH000818577553"/>
        <s v="SH000816904862"/>
        <s v="SH000816903683"/>
        <s v="SH000818210806"/>
        <s v="SHJP2696000516"/>
        <s v="SH000816903539"/>
        <s v="SH000817827245"/>
        <s v="SH000818576045"/>
        <s v="SHJP3589573667"/>
        <s v="SH000817827244"/>
        <s v="SH100817954797"/>
        <s v="SHJP0910496816"/>
        <s v="SH000816903579"/>
        <s v="SH000817954797"/>
        <s v="SHJP3073075289"/>
        <s v="SH000817955864"/>
        <s v="SH000818335010"/>
        <s v="SH000817335280"/>
        <s v="SH000817955863"/>
        <s v="SH000817829124"/>
        <s v="SH000817828077"/>
        <s v="SH000817957421"/>
        <s v="SH000819410739"/>
        <s v="SH000818576517"/>
        <s v="SH000819407746"/>
        <s v="SH000817828920"/>
        <s v="SH000817828246"/>
        <s v="SH000817841053"/>
        <s v="SHJP2857577570"/>
        <s v="SHJP6160957036"/>
        <s v="SH000818825535"/>
        <s v="SH000819410346"/>
        <s v="SH000817956942"/>
        <s v="SH000818208847"/>
        <s v="SHJP3028369494"/>
        <s v="SH000817829369"/>
        <s v="SHJP6764314964"/>
        <s v="SHJP6817208100"/>
        <s v="SHJP9517936622"/>
        <s v="SH000819410486"/>
        <s v="SH002501038613"/>
        <s v="SHJP5607552322"/>
        <s v="SHJP4763729595"/>
        <s v="SH002501038614"/>
        <s v="SHJP7827576301"/>
        <s v="SH000818826617"/>
        <s v="SH002501038615"/>
        <s v="SH000818928053"/>
        <s v="SHJP7150934162"/>
        <s v="SHJP8202023808"/>
        <s v="SHJP4749283833"/>
        <s v="SHJP7909110035"/>
        <s v="SH000817828493"/>
        <s v="SH000818894405"/>
        <s v="SHJP1981541166"/>
        <s v="SH000818668558"/>
        <s v="SH002502390748"/>
        <s v="SHJP6331208141"/>
        <s v="SH000818334227"/>
        <s v="SH000819411824"/>
        <s v="SHJP9476708216"/>
        <s v="SHJP7967548474"/>
        <s v="SHJP9476708215"/>
        <s v="SHJP8660531115"/>
        <s v="SH002502129735"/>
        <s v="SHJP9220844237"/>
        <s v="SHJP8901799869"/>
        <s v="SH000818210327"/>
        <s v="SH000818210328"/>
        <s v="SHJP0963437243"/>
        <s v="SHJP6211126770"/>
        <s v="SHJP2072691294"/>
        <s v="SHJP5298443446"/>
        <s v="SH000817317052"/>
        <s v="SH002501676366"/>
        <s v="SH000819412116"/>
        <s v="SH002501676365"/>
        <s v="SH000818211067"/>
        <s v="SH000819411555"/>
        <s v="SHJP3772811792"/>
        <s v="SH000818625062"/>
        <s v="SH000818576919"/>
        <s v="SHJP4040517651"/>
        <s v="SH000819582244"/>
        <s v="SHJP4260195903"/>
        <s v="SH000819738329"/>
        <s v="SH000819410767"/>
        <s v="SH000817829171"/>
        <s v="SH000818893039"/>
        <s v="SH000818826222"/>
        <s v="SH000819739953"/>
        <s v="SH002500573076"/>
        <s v="SH000818826221"/>
        <s v="SH000819411827"/>
        <s v="SH002501227174"/>
        <s v="SH000816962205"/>
        <s v="SHJP1234185561"/>
        <s v="SHJP9175954217"/>
        <s v="SHJP4688192727"/>
        <s v="SH000819411176"/>
        <s v="SH002500460557"/>
        <s v="SHJP2065979389"/>
        <s v="SHJP1311881549"/>
        <s v="SH000818176035"/>
        <s v="SH000819850468"/>
        <s v="SHJP7557522445"/>
        <s v="SHJP7557522446"/>
        <s v="SHJP2893424801"/>
        <s v="SHJP0870106262"/>
        <s v="SH000819738191"/>
        <s v="SH002500071926"/>
        <s v="SH000818825341"/>
        <s v="SH000818825340"/>
        <s v="SHJP0130056348"/>
        <s v="SHJP0981597628"/>
        <s v="SHJP2253321595"/>
        <s v="SH000819409944"/>
        <s v="SH002502004248"/>
        <s v="SH000817822662"/>
        <s v="SH002502004247"/>
        <s v="SHJP0108352134"/>
        <s v="SHJP2595368290"/>
        <s v="SH000819411655"/>
        <s v="SH002501999931"/>
        <s v="SH000818577702"/>
        <s v="SH002502227569"/>
        <s v="SH000818577701"/>
        <s v="SHJP8663070422"/>
        <s v="SH002500179706"/>
        <s v="SHJP8663070423"/>
        <s v="SH000818333860"/>
        <s v="SH002502130273"/>
        <s v="SH000818369116"/>
        <s v="SHJP5911196396"/>
        <s v="SHJP7767666102"/>
        <s v="SH002502299073"/>
        <s v="SH000818208737"/>
        <s v="SHJP3057272060"/>
        <s v="SH002502294171"/>
        <s v="SHJP6157925607"/>
        <s v="SHJP5167377859"/>
        <s v="SH000819542574"/>
        <s v="SH000819542573"/>
        <s v="SHJP6324306102"/>
        <m/>
      </sharedItems>
    </cacheField>
    <cacheField name="Pengiriman" numFmtId="0">
      <sharedItems containsBlank="1">
        <s v="J&amp;G Compress"/>
        <s v="SiLumayanCepat"/>
        <s v="JemputAja"/>
        <s v="J&amp;T Economy"/>
        <m/>
      </sharedItems>
    </cacheField>
    <cacheField name="Nama Customer" numFmtId="0">
      <sharedItems containsBlank="1">
        <s v="Kepa Arrizabalaga"/>
        <s v="Naby Keïta"/>
        <s v="Donny van de Beek"/>
        <s v="Ronald Araújo"/>
        <s v="Antonio Rüdiger"/>
        <s v="Jordan Henderson"/>
        <s v="James Garner"/>
        <s v="Juan Miranda"/>
        <s v="Marcos Alonso"/>
        <s v="Song Kang"/>
        <s v="Andreas Christensen"/>
        <s v="Curtis Jones"/>
        <s v="Scott McTominay"/>
        <s v="Jorginho"/>
        <s v="Xherdan Shaqiri"/>
        <s v="Joel Castro Pereira"/>
        <s v="Thiago Silva"/>
        <s v="Ben Woodburn"/>
        <s v="Teden Mengi"/>
        <s v="Pedri"/>
        <s v="N’Golo Kanté"/>
        <s v="Harry Wilson"/>
        <s v="Edinson Cavani"/>
        <s v="Aymeric Laporte"/>
        <s v="Lee Je Hoon"/>
        <s v="Timo Werner"/>
        <s v="Sadio Mané"/>
        <s v="Willy Caballero"/>
        <s v="Mohamed Salah"/>
        <s v="Fikayo Tomori"/>
        <s v="Takumi Minamino"/>
        <s v="Kurt Zouma"/>
        <s v="Nathan Aké"/>
        <s v="Édouard Mendy"/>
        <s v="Sergio Agüero"/>
        <s v="Mateo Kovačić"/>
        <s v="Olivier Giroud"/>
        <s v="Victor Lindelöf"/>
        <s v="Mason Mount"/>
        <s v="Eric Bailly"/>
        <s v="Callum Hudson-Odoi"/>
        <s v="Phil Jones"/>
        <s v="Oleksandr Zinchenko"/>
        <s v="Ben Chilwell"/>
        <s v="Harry Maguire"/>
        <s v="Zack Steffen"/>
        <s v="Hakim Ziyech"/>
        <s v="Paul Pogba"/>
        <s v="Billy Gilmour"/>
        <s v="Juan Mata"/>
        <s v="Sergio Romero"/>
        <s v="Reece James"/>
        <s v="Marcus Rashford"/>
        <s v="César Azpilicueta"/>
        <s v="Lee Grant"/>
        <s v="Benjamin Mendy"/>
        <s v="Jesse Lingard"/>
        <s v="Fernandinho"/>
        <s v="Caoimhín Kelleher"/>
        <s v="Andreas Pereira"/>
        <s v="Virgil van Dijk"/>
        <s v="Marcos Rojo"/>
        <s v="Bruno Fernandes"/>
        <s v="Nicolás Otamendi"/>
        <s v="Ederson"/>
        <s v="Andrew Robertson"/>
        <s v="Diogo Dalot"/>
        <s v="Scott Carson"/>
        <s v="Joël Matip"/>
        <s v="Daniel James"/>
        <s v="Carles Aleñá"/>
        <s v="Nathaniel Phillips"/>
        <s v="Phil Foden"/>
        <s v="Oriol Busquets"/>
        <s v="Trent Alexander-Arnold"/>
        <s v="Luke Shaw"/>
        <s v="Matheus Fernandes"/>
        <s v="Neco Williams"/>
        <s v="Timothy Fosu-Mensah"/>
        <s v="Moussa Wagué"/>
        <s v="Odion Ighalo"/>
        <s v="Francisco Trincão"/>
        <s v="Fabinho"/>
        <s v="Dean Henderson"/>
        <s v="Do Jae Hak"/>
        <s v="Thiago"/>
        <s v="Aaron Wan-Bissaka"/>
        <s v="Kai Havertz"/>
        <s v="Nemanja Matić"/>
        <s v="Emerson"/>
        <s v="James Milner"/>
        <s v="Brandon Williams"/>
        <s v="Sergio Busquets"/>
        <s v="Adrián"/>
        <s v="Jean-Clair Todibo"/>
        <s v="Carlo Pinsoglio"/>
        <s v="Antoine Griezmann"/>
        <s v="Marc-André ter Stegen"/>
        <s v="Miralem Pjanić"/>
        <s v="Kim Jun Wan"/>
        <s v="Luis Suárez"/>
        <s v="Lionel Messi"/>
        <s v="Gianluigi Buffon"/>
        <s v="Ansu Fati"/>
        <s v="Rafinha"/>
        <s v="Luka Jović"/>
        <s v="Neto"/>
        <s v="Ji Chang Wook"/>
        <s v="Philippe Coutinho"/>
        <s v="Clément Lenglet"/>
        <s v="Álvaro Odriozola"/>
        <s v="Axel Tuanzebe"/>
        <s v="Vinícius Júnior"/>
        <s v="Giorgio Chiellin"/>
        <s v="Martin Ødegaard"/>
        <s v="Jordi Alba"/>
        <s v="Matthijs de Ligt"/>
        <s v="Martin Braithwaite"/>
        <s v="Alex Sandro"/>
        <s v="Nelson"/>
        <s v="Danilo"/>
        <s v="Frenkie de Jong"/>
        <s v="Juan Cuadrado"/>
        <s v="Rodrygo"/>
        <s v="Jang Ki Yong"/>
        <s v="Leonardo Bonucci"/>
        <s v="Dani Carvajal"/>
        <s v="Merih Demiral"/>
        <s v="Lee Ik Jun"/>
        <s v="Gianluca Frabotta"/>
        <s v="Arthur"/>
        <s v="Tammy Abraham"/>
        <s v="Sami Khedira"/>
        <s v="Christian Pulisic"/>
        <s v="Aaron Ramsey"/>
        <s v="Kang kentang"/>
        <s v="Arturo Vidal"/>
        <s v="Samuel Umtiti"/>
        <s v="Junior Firpo"/>
        <s v="Federico Bernardeschi"/>
        <s v="Riqui Puig"/>
        <s v="Dejan Kulusevski"/>
        <s v="Cristiano Ronaldo"/>
        <s v="Paulo Dybala"/>
        <s v="Federico Chiesa"/>
        <s v="Mattia De Sciglio"/>
        <s v="Douglas Costa"/>
        <s v="Éder Militão"/>
        <s v="Weston McKennie"/>
        <s v="Thibaut Courtois"/>
        <s v="Adrien Rabiot"/>
        <s v="Rodrigo Bentancur"/>
        <s v="Riyad Mahrez"/>
        <s v="Sergio Ramos"/>
        <s v="João Cancelo"/>
        <s v="Raphaël Varane"/>
        <s v="Ahn Jeongwon"/>
        <s v="Nacho"/>
        <s v="Eden Hazard"/>
        <s v="Rodri"/>
        <s v="Toni Kroos"/>
        <s v="Kevin De Bruyne"/>
        <s v="Karim Benzema"/>
        <s v="Bernardo Silva"/>
        <s v="Luka Modrić"/>
        <s v="Ferran Torres"/>
        <s v="Marco Asensio"/>
        <s v="Kang Lotre"/>
        <s v="Andriy Lunin"/>
        <s v="Casemiro"/>
        <s v="Yang Seok-Hyeong"/>
        <s v="Federico Valverde"/>
        <s v="Lucas Vázquez"/>
        <s v="Joe Gomez"/>
        <m/>
      </sharedItems>
    </cacheField>
    <cacheField name="Kota" numFmtId="0">
      <sharedItems containsBlank="1">
        <s v="Bandung"/>
        <s v="Jakarta"/>
        <s v="Makassar"/>
        <s v="Surabaya"/>
        <s v="Malang"/>
        <s v="Tangerang"/>
        <s v="Cilacap"/>
        <s v="Palembang"/>
        <s v="Medan"/>
        <s v="Lampung"/>
        <s v="Banjarmasin"/>
        <s v="Denpasar"/>
        <s v="Pekanbaru"/>
        <s v="Kupang"/>
        <s v="Balikpapan"/>
        <s v="Samarinda"/>
        <s v="Jambi"/>
        <s v="Manado"/>
        <s v="Yogyakarta"/>
        <s v="Mataram"/>
        <s v="Pontianak"/>
        <s v="Semarang"/>
        <s v="Jayapura"/>
        <s v="Solo"/>
        <s v="Palu"/>
        <s v="Tarakan"/>
        <s v="Padang"/>
        <m/>
      </sharedItems>
    </cacheField>
    <cacheField name="Product" numFmtId="0">
      <sharedItems containsBlank="1">
        <s v="Basic Hoodie - White"/>
        <s v="Casual Sneakers White"/>
        <s v="Colarless Shirt Long Sleeve Black"/>
        <s v="Running Pants - Black"/>
        <s v="Basic Shirt - Black"/>
        <s v="Basic T-Shirt Black"/>
        <s v="Basic T-Shirt White"/>
        <s v="Colarless Shirt Long Sleeve Maroon"/>
        <s v="Colarless Shirt Long Sleeve Navy"/>
        <s v="Running Pants - Grey"/>
        <s v="Basic Shirt - Grey"/>
        <s v="Running Pants - Navy"/>
        <s v="Running Sneakers - Black"/>
        <s v="Linen Shirt - Slimfit - Grey"/>
        <s v="Basic Shirt - Navy"/>
        <s v="Basic T-Shirt Navy"/>
        <s v="Colarless Shirt Long Sleeve White"/>
        <s v="Basic Shirt - White"/>
        <s v="Basic T-Shirt Maroon"/>
        <s v="Colarless Shirt Long Sleeve Grey"/>
        <s v="Chino Pants - Grey"/>
        <s v="Basic T-Shirt Grey"/>
        <s v="Linen Shirt - Slimfit - Navy"/>
        <s v="Chino Pants - Khaki"/>
        <s v="Running Jacket - Black"/>
        <s v="Running Jacket - Navy"/>
        <s v="Basic T-Shirt Army"/>
        <s v="Linen Shirt - Slimfit - Khaki"/>
        <s v="Linen Shirt - Slimfit - White"/>
        <s v="Linen Shirt - Slimfit - Black"/>
        <s v="Linen Shirt - Slimfit - Maroon"/>
        <s v="Short Sleeve - Cotton Shirt Black"/>
        <s v="Short Sleeve - Cotton Shirt Navy"/>
        <s v="Short Sleeve - Cotton Shirt Maroon"/>
        <s v="Short Sleeve - Cotton Shirt White"/>
        <s v="Short Sleeve - Cotton Shirt Khaki"/>
        <s v="Short Sleeve - Cotton Shirt Grey"/>
        <s v="Cotton Pants - Short Navy"/>
        <s v="Cotton Pants - Short Black"/>
        <s v="Cotton Pants - Short White"/>
        <s v="Cotton Pants - Short Grey"/>
        <s v="Bomber - Jacket Black"/>
        <s v="Bomber - Jacket Navy"/>
        <s v="Bomber - Jacket Dark Grey"/>
        <s v="Bomber - Jacket Maroon"/>
        <s v="Colarless Shirt Long Sleeve Army"/>
        <s v="Casual Sneakers Black"/>
        <m/>
      </sharedItems>
    </cacheField>
    <cacheField name="Harga" numFmtId="3">
      <sharedItems containsString="0" containsBlank="1" containsNumber="1" containsInteger="1">
        <n v="189000.0"/>
        <n v="329000.0"/>
        <n v="199000.0"/>
        <n v="149000.0"/>
        <n v="129000.0"/>
        <n v="89000.0"/>
        <n v="349000.0"/>
        <n v="229000.0"/>
        <n v="175000.0"/>
        <n v="179000.0"/>
        <n v="249000.0"/>
        <m/>
      </sharedItems>
    </cacheField>
    <cacheField name="Qty" numFmtId="3">
      <sharedItems containsString="0" containsBlank="1" containsNumber="1" containsInteger="1">
        <n v="1.0"/>
        <n v="3.0"/>
        <n v="2.0"/>
        <m/>
      </sharedItems>
    </cacheField>
    <cacheField name="Total per Item" numFmtId="3">
      <sharedItems containsString="0" containsBlank="1" containsNumber="1" containsInteger="1">
        <n v="189000.0"/>
        <n v="329000.0"/>
        <n v="199000.0"/>
        <n v="149000.0"/>
        <n v="387000.0"/>
        <n v="89000.0"/>
        <n v="398000.0"/>
        <n v="129000.0"/>
        <n v="298000.0"/>
        <n v="349000.0"/>
        <n v="229000.0"/>
        <n v="175000.0"/>
        <n v="567000.0"/>
        <n v="378000.0"/>
        <n v="698000.0"/>
        <n v="687000.0"/>
        <n v="458000.0"/>
        <n v="179000.0"/>
        <n v="249000.0"/>
        <n v="358000.0"/>
        <n v="498000.0"/>
        <n v="597000.0"/>
        <n v="258000.0"/>
        <n v="178000.0"/>
        <n v="447000.0"/>
        <n v="537000.0"/>
        <n v="267000.0"/>
        <m/>
      </sharedItems>
    </cacheField>
    <cacheField name="Total per transaksi" numFmtId="3">
      <sharedItems containsString="0" containsBlank="1" containsNumber="1" containsInteger="1">
        <n v="189000.0"/>
        <n v="329000.0"/>
        <n v="199000.0"/>
        <n v="149000.0"/>
        <n v="387000.0"/>
        <n v="178000.0"/>
        <n v="597000.0"/>
        <n v="129000.0"/>
        <n v="876000.0"/>
        <n v="89000.0"/>
        <n v="175000.0"/>
        <n v="567000.0"/>
        <n v="229000.0"/>
        <n v="573000.0"/>
        <n v="596000.0"/>
        <n v="516000.0"/>
        <n v="350000.0"/>
        <n v="687000.0"/>
        <n v="678000.0"/>
        <n v="698000.0"/>
        <n v="795000.0"/>
        <n v="349000.0"/>
        <n v="458000.0"/>
        <n v="179000.0"/>
        <n v="916000.0"/>
        <n v="1145000.0"/>
        <n v="686000.0"/>
        <n v="298000.0"/>
        <n v="358000.0"/>
        <n v="696000.0"/>
        <n v="249000.0"/>
        <n v="328000.0"/>
        <n v="1742000.0"/>
        <n v="398000.0"/>
        <n v="658000.0"/>
        <n v="258000.0"/>
        <n v="356000.0"/>
        <n v="447000.0"/>
        <n v="877000.0"/>
        <n v="537000.0"/>
        <n v="747000.0"/>
        <n v="1891000.0"/>
        <n v="267000.0"/>
        <n v="304000.0"/>
        <n v="496000.0"/>
        <m/>
      </sharedItems>
    </cacheField>
    <cacheField name="Kategori" numFmtId="0">
      <sharedItems containsBlank="1">
        <s v="Jacket"/>
        <s v="Shoes"/>
        <s v="Shirt"/>
        <s v="Sportswear"/>
        <s v="T-Shirt"/>
        <s v="Pants"/>
        <m/>
      </sharedItems>
    </cacheField>
    <cacheField name="Warna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1000" sheet="Helper1"/>
  </cacheSource>
  <cacheFields>
    <cacheField name="Kode Pesanan" numFmtId="0">
      <sharedItems containsBlank="1">
        <s v="EF129384712365821"/>
        <s v="EF130894093668403"/>
        <s v="EF132421083171172"/>
        <s v="EF134784108858761"/>
        <s v="EF129422233932407"/>
        <s v="EF130932052955567"/>
        <s v="EF132459485285292"/>
        <s v="EF134823196250330"/>
        <s v="EF129459766380247"/>
        <s v="EF134862294977243"/>
        <s v="EF129497309712498"/>
        <s v="EF131008004557666"/>
        <s v="EF132536322926600"/>
        <s v="EF129534863932314"/>
        <s v="EF131045996878988"/>
        <s v="EF132574758460249"/>
        <s v="EF129572429042855"/>
        <s v="EF131084000218083"/>
        <s v="EF132613205140202"/>
        <s v="EF134979659202919"/>
        <s v="EF129610005047277"/>
        <s v="EF131122014578146"/>
        <s v="EF132690131951954"/>
        <s v="EF132805605847709"/>
        <s v="EF135018803304088"/>
        <s v="EF129722798455434"/>
        <s v="EF131236123816111"/>
        <s v="EF129760418066986"/>
        <s v="EF131274182292018"/>
        <s v="EF129798048588225"/>
        <s v="EF131312251804883"/>
        <s v="EF129835690022316"/>
        <s v="EF132882644268052"/>
        <s v="EF129873342372422"/>
        <s v="EF132921180234890"/>
        <s v="EF129911005641710"/>
        <s v="EF129948679833346"/>
        <s v="EF131464640289950"/>
        <s v="EF129986364950498"/>
        <s v="EF131502765035634"/>
        <s v="EF130024060996333"/>
        <s v="EF131540900837494"/>
        <s v="EF133075435888958"/>
        <s v="EF130061767974022"/>
        <s v="EF131579047698737"/>
        <s v="EF133114027765366"/>
        <s v="EF130099485886735"/>
        <s v="EF131617205622570"/>
        <s v="EF133152630833418"/>
        <s v="EF130137214737642"/>
        <s v="EF131655374612200"/>
        <s v="EF133191245096359"/>
        <s v="EF130174954529916"/>
        <s v="EF131693554670838"/>
        <s v="EF130212705266729"/>
        <s v="EF131808161292897"/>
        <s v="EF133345814161968"/>
        <s v="EF131846385659672"/>
        <s v="EF133384484448075"/>
        <s v="EF130363817722874"/>
        <s v="EF131884621111513"/>
        <s v="EF133423165948565"/>
        <s v="EF130401623230014"/>
        <s v="EF131922867651636"/>
        <s v="EF131961125283255"/>
        <s v="EF133500562605703"/>
        <s v="EF133539277768859"/>
        <s v="EF130515105545733"/>
        <s v="EF132037673833850"/>
        <s v="EF133578004159412"/>
        <s v="EF130552954926342"/>
        <s v="EF132075964759261"/>
        <s v="EF138387881635695"/>
        <s v="EF130590815283270"/>
        <s v="EF133655490635734"/>
        <s v="EF138428014121369"/>
        <s v="EF130628686619702"/>
        <s v="EF132152579926410"/>
        <s v="EF138468158245465"/>
        <s v="EF130666568938822"/>
        <s v="EF132190904174589"/>
        <s v="EF138508314011356"/>
        <s v="EF132229239536800"/>
        <s v="EF138548481422419"/>
        <s v="EF130742366537865"/>
        <s v="EF132267586016265"/>
        <s v="EF138669053560417"/>
        <s v="EF130780281824161"/>
        <s v="EF132305943616210"/>
        <s v="EF138709267585950"/>
        <s v="EF132344312339859"/>
        <s v="EF138749493273550"/>
        <s v="EF130856145386241"/>
        <s v="EF132382692190437"/>
        <s v="EF133927047444810"/>
        <s v="EF138789730626599"/>
        <s v="EF133965886288569"/>
        <s v="EF138829979648481"/>
        <s v="EF134004736395593"/>
        <s v="EF138870240342579"/>
        <s v="EF134043597769147"/>
        <s v="EF138910512712278"/>
        <s v="EF134082470412501"/>
        <s v="EF134121354328920"/>
        <s v="EF138991092492025"/>
        <s v="EF139031399908848"/>
        <s v="EF134199155994037"/>
        <s v="EF140286744498270"/>
        <s v="EF134238073749275"/>
        <s v="EF140327427654174"/>
        <s v="EF134277002790662"/>
        <s v="EF140368122608194"/>
        <s v="EF134393857664453"/>
        <s v="EF136712782176462"/>
        <s v="EF140408829363750"/>
        <s v="EF136752428883293"/>
        <s v="EF135136303731500"/>
        <s v="EF136792087087669"/>
        <s v="EF134432831883175"/>
        <s v="EF135175493259582"/>
        <s v="EF134471817404422"/>
        <s v="EF135214694152627"/>
        <s v="EF134510814231469"/>
        <s v="EF135253906413931"/>
        <s v="EF134549822367596"/>
        <s v="EF135293130046791"/>
        <s v="EF136950834947324"/>
        <s v="EF134588841816083"/>
        <s v="EF135332365054505"/>
        <s v="EF136990550689459"/>
        <s v="EF135371611440371"/>
        <s v="EF137030277949158"/>
        <s v="EF135410869207688"/>
        <s v="EF137070016729764"/>
        <s v="EF135450138359759"/>
        <s v="EF137109767034615"/>
        <s v="EF135489418899883"/>
        <s v="EF137149528867055"/>
        <s v="EF135528710831364"/>
        <s v="EF135568014157505"/>
        <s v="EF137229087128074"/>
        <s v="EF137268883563341"/>
        <s v="EF137308691539573"/>
        <s v="EF135685992536938"/>
        <s v="EF137308691539574"/>
        <s v="EF135725341474774"/>
        <s v="EF135764701823802"/>
        <s v="EF135804073587331"/>
        <s v="EF135843456768671"/>
        <s v="EF135882851371134"/>
        <s v="EF135922257398031"/>
        <s v="EF135961674852677"/>
        <s v="EF136001103738384"/>
        <s v="EF137667483221710"/>
        <s v="EF136040544058468"/>
        <s v="EF137707406791844"/>
        <s v="EF137747341939814"/>
        <s v="EF137787288668977"/>
        <s v="EF136158933658146"/>
        <s v="EF137827246982691"/>
        <s v="EF136198419748907"/>
        <s v="EF137867216884316"/>
        <s v="EF136237917290634"/>
        <s v="EF137907198377212"/>
        <s v="EF136277426286649"/>
        <s v="EF137947191464741"/>
        <s v="EF136316946740272"/>
        <s v="EF137987196150266"/>
        <s v="EF136356478654826"/>
        <s v="EF138027212437150"/>
        <s v="EF136396022033636"/>
        <s v="EF138067240328759"/>
        <s v="EF136435576880026"/>
        <s v="EF138067240328756"/>
        <s v="EF136514720988848"/>
        <s v="EF138187393665575"/>
        <s v="EF136554310257935"/>
        <s v="EF138227468009738"/>
        <s v="EF136593911007910"/>
        <s v="EF136633523242102"/>
        <s v="EF138307651566113"/>
        <m/>
      </sharedItems>
    </cacheField>
    <cacheField name="Tanggal Order" numFmtId="164">
      <sharedItems containsDate="1" containsString="0" containsBlank="1">
        <d v="2025-01-01T00:00:00Z"/>
        <d v="2025-01-02T00:00:00Z"/>
        <d v="2025-01-03T00:00:00Z"/>
        <d v="2025-01-04T00:00:00Z"/>
        <d v="2025-01-05T00:00:00Z"/>
        <d v="2025-01-06T00:00:00Z"/>
        <d v="2025-01-07T00:00:00Z"/>
        <d v="2025-01-10T00:00:00Z"/>
        <d v="2025-01-11T00:00:00Z"/>
        <d v="2025-01-12T00:00:00Z"/>
        <d v="2025-01-13T00:00:00Z"/>
        <d v="2025-01-14T00:00:00Z"/>
        <d v="2025-01-15T00:00:00Z"/>
        <d v="2025-01-16T00:00:00Z"/>
        <d v="2025-01-17T00:00:00Z"/>
        <d v="2025-01-18T00:00:00Z"/>
        <d v="2025-01-19T00:00:00Z"/>
        <d v="2025-01-20T00:00:00Z"/>
        <d v="2025-01-21T00:00:00Z"/>
        <d v="2025-01-22T00:00:00Z"/>
        <d v="2025-01-23T00:00:00Z"/>
        <d v="2025-01-25T00:00:00Z"/>
        <d v="2025-01-26T00:00:00Z"/>
        <d v="2025-01-27T00:00:00Z"/>
        <d v="2025-01-28T00:00:00Z"/>
        <d v="2025-01-29T00:00:00Z"/>
        <d v="2025-01-30T00:00:00Z"/>
        <d v="2025-01-31T00:00:00Z"/>
        <d v="2025-02-01T00:00:00Z"/>
        <d v="2025-02-02T00:00:00Z"/>
        <d v="2025-02-03T00:00:00Z"/>
        <d v="2025-02-04T00:00:00Z"/>
        <d v="2025-02-05T00:00:00Z"/>
        <d v="2025-02-06T00:00:00Z"/>
        <d v="2025-02-07T00:00:00Z"/>
        <d v="2025-02-08T00:00:00Z"/>
        <d v="2025-02-09T00:00:00Z"/>
        <d v="2025-02-10T00:00:00Z"/>
        <d v="2025-02-11T00:00:00Z"/>
        <d v="2025-02-12T00:00:00Z"/>
        <d v="2025-02-13T00:00:00Z"/>
        <d v="2025-02-14T00:00:00Z"/>
        <d v="2025-02-15T00:00:00Z"/>
        <d v="2025-02-16T00:00:00Z"/>
        <d v="2025-02-17T00:00:00Z"/>
        <d v="2025-02-18T00:00:00Z"/>
        <d v="2025-02-19T00:00:00Z"/>
        <d v="2025-02-20T00:00:00Z"/>
        <d v="2025-02-21T00:00:00Z"/>
        <d v="2025-02-22T00:00:00Z"/>
        <d v="2025-02-23T00:00:00Z"/>
        <d v="2025-02-24T00:00:00Z"/>
        <d v="2025-02-25T00:00:00Z"/>
        <d v="2025-02-26T00:00:00Z"/>
        <d v="2025-02-27T00:00:00Z"/>
        <d v="2025-02-28T00:00:00Z"/>
        <d v="2025-03-01T00:00:00Z"/>
        <d v="2025-03-02T00:00:00Z"/>
        <d v="2025-03-03T00:00:00Z"/>
        <d v="2025-03-04T00:00:00Z"/>
        <d v="2025-03-05T00:00:00Z"/>
        <d v="2025-03-06T00:00:00Z"/>
        <d v="2025-03-07T00:00:00Z"/>
        <d v="2025-03-08T00:00:00Z"/>
        <d v="2025-03-09T00:00:00Z"/>
        <d v="2025-03-10T00:00:00Z"/>
        <d v="2025-03-11T00:00:00Z"/>
        <d v="2025-03-12T00:00:00Z"/>
        <d v="2025-03-13T00:00:00Z"/>
        <d v="2025-03-14T00:00:00Z"/>
        <d v="2025-03-15T00:00:00Z"/>
        <d v="2025-03-16T00:00:00Z"/>
        <d v="2025-03-17T00:00:00Z"/>
        <d v="2025-03-18T00:00:00Z"/>
        <d v="2025-03-19T00:00:00Z"/>
        <d v="2025-03-20T00:00:00Z"/>
        <d v="2025-03-21T00:00:00Z"/>
        <d v="2025-03-22T00:00:00Z"/>
        <d v="2025-03-23T00:00:00Z"/>
        <d v="2025-03-24T00:00:00Z"/>
        <d v="2025-03-25T00:00:00Z"/>
        <d v="2025-03-26T00:00:00Z"/>
        <d v="2025-03-28T00:00:00Z"/>
        <d v="2025-03-29T00:00:00Z"/>
        <d v="2025-03-30T00:00:00Z"/>
        <d v="2025-03-31T00:00:00Z"/>
        <d v="2025-04-02T00:00:00Z"/>
        <m/>
      </sharedItems>
    </cacheField>
    <cacheField name="No Resi" numFmtId="0">
      <sharedItems containsBlank="1">
        <s v="SHJP2131570450"/>
        <s v="SH000817822236"/>
        <s v="SHJP3294768267"/>
        <s v="SH000819410968"/>
        <s v="SH000816904326"/>
        <s v="SH000817956395"/>
        <s v="SH000817788985"/>
        <s v="SH000819408599"/>
        <s v="SHJP2339889289"/>
        <s v="SHJP4830772414"/>
        <s v="SHJP2984031462"/>
        <s v="SH000817823219"/>
        <s v="SH000817972575"/>
        <s v="SHJP5710033819"/>
        <s v="SH000817827897"/>
        <s v="SH000818825436"/>
        <s v="SH000816960220"/>
        <s v="SH000817822387"/>
        <s v="SH000817829901"/>
        <s v="SHJP0993027226"/>
        <s v="SH000816904317"/>
        <s v="SH000818333990"/>
        <s v="SH000818211307"/>
        <s v="SH000818824846"/>
        <s v="SH000816905305"/>
        <s v="SH000816903177"/>
        <s v="SH000817828487"/>
        <s v="SHJP1529505367"/>
        <s v="SH000817375021"/>
        <s v="SH000816960884"/>
        <s v="SH000817375020"/>
        <s v="SH000816905072"/>
        <s v="SH000818208940"/>
        <s v="SHJP1928989692"/>
        <s v="SH000818577553"/>
        <s v="SH000816904862"/>
        <s v="SH000816903683"/>
        <s v="SH000818210806"/>
        <s v="SHJP2696000516"/>
        <s v="SH000816903539"/>
        <s v="SH000817827245"/>
        <s v="SH000818576045"/>
        <s v="SHJP3589573667"/>
        <s v="SH000817827244"/>
        <s v="SH100817954797"/>
        <s v="SHJP0910496816"/>
        <s v="SH000816903579"/>
        <s v="SH000817954797"/>
        <s v="SHJP3073075289"/>
        <s v="SH000817955864"/>
        <s v="SH000818335010"/>
        <s v="SH000817335280"/>
        <s v="SH000817955863"/>
        <s v="SH000817829124"/>
        <s v="SH000817828077"/>
        <s v="SH000817957421"/>
        <s v="SH000819410739"/>
        <s v="SH000818576517"/>
        <s v="SH000819407746"/>
        <s v="SH000817828920"/>
        <s v="SH000817828246"/>
        <s v="SH000817841053"/>
        <s v="SHJP2857577570"/>
        <s v="SHJP6160957036"/>
        <s v="SH000818825535"/>
        <s v="SH000819410346"/>
        <s v="SH000817956942"/>
        <s v="SH000818208847"/>
        <s v="SHJP3028369494"/>
        <s v="SH000817829369"/>
        <s v="SHJP6764314964"/>
        <s v="SHJP6817208100"/>
        <s v="SHJP9517936622"/>
        <s v="SH000819410486"/>
        <s v="SH002501038613"/>
        <s v="SHJP5607552322"/>
        <s v="SHJP4763729595"/>
        <s v="SH002501038614"/>
        <s v="SHJP7827576301"/>
        <s v="SH000818826617"/>
        <s v="SH002501038615"/>
        <s v="SH000818928053"/>
        <s v="SHJP7150934162"/>
        <s v="SHJP8202023808"/>
        <s v="SHJP4749283833"/>
        <s v="SHJP7909110035"/>
        <s v="SH000817828493"/>
        <s v="SH000818894405"/>
        <s v="SHJP1981541166"/>
        <s v="SH000818668558"/>
        <s v="SH002502390748"/>
        <s v="SHJP6331208141"/>
        <s v="SH000818334227"/>
        <s v="SH000819411824"/>
        <s v="SHJP9476708216"/>
        <s v="SHJP7967548474"/>
        <s v="SHJP9476708215"/>
        <s v="SHJP8660531115"/>
        <s v="SH002502129735"/>
        <s v="SHJP9220844237"/>
        <s v="SHJP8901799869"/>
        <s v="SH000818210327"/>
        <s v="SH000818210328"/>
        <s v="SHJP0963437243"/>
        <s v="SHJP6211126770"/>
        <s v="SHJP2072691294"/>
        <s v="SHJP5298443446"/>
        <s v="SH000817317052"/>
        <s v="SH002501676366"/>
        <s v="SH000819412116"/>
        <s v="SH002501676365"/>
        <s v="SH000818211067"/>
        <s v="SH000819411555"/>
        <s v="SHJP3772811792"/>
        <s v="SH000818625062"/>
        <s v="SH000818576919"/>
        <s v="SHJP4040517651"/>
        <s v="SH000819582244"/>
        <s v="SHJP4260195903"/>
        <s v="SH000819738329"/>
        <s v="SH000819410767"/>
        <s v="SH000817829171"/>
        <s v="SH000818893039"/>
        <s v="SH000818826222"/>
        <s v="SH000819739953"/>
        <s v="SH002500573076"/>
        <s v="SH000818826221"/>
        <s v="SH000819411827"/>
        <s v="SH002501227174"/>
        <s v="SH000816962205"/>
        <s v="SHJP1234185561"/>
        <s v="SHJP9175954217"/>
        <s v="SHJP4688192727"/>
        <s v="SH000819411176"/>
        <s v="SH002500460557"/>
        <s v="SHJP2065979389"/>
        <s v="SHJP1311881549"/>
        <s v="SH000818176035"/>
        <s v="SH000819850468"/>
        <s v="SHJP7557522445"/>
        <s v="SHJP7557522446"/>
        <s v="SHJP2893424801"/>
        <s v="SHJP0870106262"/>
        <s v="SH000819738191"/>
        <s v="SH002500071926"/>
        <s v="SH000818825341"/>
        <s v="SH000818825340"/>
        <s v="SHJP0130056348"/>
        <s v="SHJP0981597628"/>
        <s v="SHJP2253321595"/>
        <s v="SH000819409944"/>
        <s v="SH002502004248"/>
        <s v="SH000817822662"/>
        <s v="SH002502004247"/>
        <s v="SHJP0108352134"/>
        <s v="SHJP2595368290"/>
        <s v="SH000819411655"/>
        <s v="SH002501999931"/>
        <s v="SH000818577702"/>
        <s v="SH002502227569"/>
        <s v="SH000818577701"/>
        <s v="SHJP8663070422"/>
        <s v="SH002500179706"/>
        <s v="SHJP8663070423"/>
        <s v="SH000818333860"/>
        <s v="SH002502130273"/>
        <s v="SH000818369116"/>
        <s v="SHJP5911196396"/>
        <s v="SHJP7767666102"/>
        <s v="SH002502299073"/>
        <s v="SH000818208737"/>
        <s v="SHJP3057272060"/>
        <s v="SH002502294171"/>
        <s v="SHJP6157925607"/>
        <s v="SHJP5167377859"/>
        <s v="SH000819542574"/>
        <s v="SH000819542573"/>
        <s v="SHJP6324306102"/>
        <m/>
      </sharedItems>
    </cacheField>
    <cacheField name="Pengiriman" numFmtId="0">
      <sharedItems containsBlank="1">
        <s v="J&amp;G Compress"/>
        <s v="SiLumayanCepat"/>
        <s v="JemputAja"/>
        <s v="J&amp;T Economy"/>
        <m/>
      </sharedItems>
    </cacheField>
    <cacheField name="Nama Customer" numFmtId="0">
      <sharedItems containsBlank="1">
        <s v="Kepa Arrizabalaga"/>
        <s v="Naby Keïta"/>
        <s v="Donny van de Beek"/>
        <s v="Ronald Araújo"/>
        <s v="Antonio Rüdiger"/>
        <s v="Jordan Henderson"/>
        <s v="James Garner"/>
        <s v="Juan Miranda"/>
        <s v="Marcos Alonso"/>
        <s v="Song Kang"/>
        <s v="Andreas Christensen"/>
        <s v="Curtis Jones"/>
        <s v="Scott McTominay"/>
        <s v="Jorginho"/>
        <s v="Xherdan Shaqiri"/>
        <s v="Joel Castro Pereira"/>
        <s v="Thiago Silva"/>
        <s v="Ben Woodburn"/>
        <s v="Teden Mengi"/>
        <s v="Pedri"/>
        <s v="N’Golo Kanté"/>
        <s v="Harry Wilson"/>
        <s v="Edinson Cavani"/>
        <s v="Aymeric Laporte"/>
        <s v="Lee Je Hoon"/>
        <s v="Timo Werner"/>
        <s v="Sadio Mané"/>
        <s v="Willy Caballero"/>
        <s v="Mohamed Salah"/>
        <s v="Fikayo Tomori"/>
        <s v="Takumi Minamino"/>
        <s v="Kurt Zouma"/>
        <s v="Nathan Aké"/>
        <s v="Édouard Mendy"/>
        <s v="Sergio Agüero"/>
        <s v="Mateo Kovačić"/>
        <s v="Olivier Giroud"/>
        <s v="Victor Lindelöf"/>
        <s v="Mason Mount"/>
        <s v="Eric Bailly"/>
        <s v="Callum Hudson-Odoi"/>
        <s v="Phil Jones"/>
        <s v="Oleksandr Zinchenko"/>
        <s v="Ben Chilwell"/>
        <s v="Harry Maguire"/>
        <s v="Zack Steffen"/>
        <s v="Hakim Ziyech"/>
        <s v="Paul Pogba"/>
        <s v="Billy Gilmour"/>
        <s v="Juan Mata"/>
        <s v="Sergio Romero"/>
        <s v="Reece James"/>
        <s v="Marcus Rashford"/>
        <s v="César Azpilicueta"/>
        <s v="Lee Grant"/>
        <s v="Benjamin Mendy"/>
        <s v="Jesse Lingard"/>
        <s v="Fernandinho"/>
        <s v="Caoimhín Kelleher"/>
        <s v="Andreas Pereira"/>
        <s v="Virgil van Dijk"/>
        <s v="Marcos Rojo"/>
        <s v="Bruno Fernandes"/>
        <s v="Nicolás Otamendi"/>
        <s v="Ederson"/>
        <s v="Andrew Robertson"/>
        <s v="Diogo Dalot"/>
        <s v="Scott Carson"/>
        <s v="Joël Matip"/>
        <s v="Daniel James"/>
        <s v="Carles Aleñá"/>
        <s v="Nathaniel Phillips"/>
        <s v="Phil Foden"/>
        <s v="Oriol Busquets"/>
        <s v="Trent Alexander-Arnold"/>
        <s v="Luke Shaw"/>
        <s v="Matheus Fernandes"/>
        <s v="Neco Williams"/>
        <s v="Timothy Fosu-Mensah"/>
        <s v="Moussa Wagué"/>
        <s v="Odion Ighalo"/>
        <s v="Francisco Trincão"/>
        <s v="Fabinho"/>
        <s v="Dean Henderson"/>
        <s v="Do Jae Hak"/>
        <s v="Thiago"/>
        <s v="Aaron Wan-Bissaka"/>
        <s v="Kai Havertz"/>
        <s v="Nemanja Matić"/>
        <s v="Emerson"/>
        <s v="James Milner"/>
        <s v="Brandon Williams"/>
        <s v="Sergio Busquets"/>
        <s v="Adrián"/>
        <s v="Jean-Clair Todibo"/>
        <s v="Carlo Pinsoglio"/>
        <s v="Antoine Griezmann"/>
        <s v="Marc-André ter Stegen"/>
        <s v="Miralem Pjanić"/>
        <s v="Kim Jun Wan"/>
        <s v="Luis Suárez"/>
        <s v="Lionel Messi"/>
        <s v="Gianluigi Buffon"/>
        <s v="Ansu Fati"/>
        <s v="Rafinha"/>
        <s v="Luka Jović"/>
        <s v="Neto"/>
        <s v="Ji Chang Wook"/>
        <s v="Philippe Coutinho"/>
        <s v="Clément Lenglet"/>
        <s v="Álvaro Odriozola"/>
        <s v="Axel Tuanzebe"/>
        <s v="Vinícius Júnior"/>
        <s v="Giorgio Chiellin"/>
        <s v="Martin Ødegaard"/>
        <s v="Jordi Alba"/>
        <s v="Matthijs de Ligt"/>
        <s v="Martin Braithwaite"/>
        <s v="Alex Sandro"/>
        <s v="Nelson"/>
        <s v="Danilo"/>
        <s v="Frenkie de Jong"/>
        <s v="Juan Cuadrado"/>
        <s v="Rodrygo"/>
        <s v="Jang Ki Yong"/>
        <s v="Leonardo Bonucci"/>
        <s v="Dani Carvajal"/>
        <s v="Merih Demiral"/>
        <s v="Lee Ik Jun"/>
        <s v="Gianluca Frabotta"/>
        <s v="Arthur"/>
        <s v="Tammy Abraham"/>
        <s v="Sami Khedira"/>
        <s v="Christian Pulisic"/>
        <s v="Aaron Ramsey"/>
        <s v="Kang kentang"/>
        <s v="Arturo Vidal"/>
        <s v="Samuel Umtiti"/>
        <s v="Junior Firpo"/>
        <s v="Federico Bernardeschi"/>
        <s v="Riqui Puig"/>
        <s v="Dejan Kulusevski"/>
        <s v="Cristiano Ronaldo"/>
        <s v="Paulo Dybala"/>
        <s v="Federico Chiesa"/>
        <s v="Mattia De Sciglio"/>
        <s v="Douglas Costa"/>
        <s v="Éder Militão"/>
        <s v="Weston McKennie"/>
        <s v="Thibaut Courtois"/>
        <s v="Adrien Rabiot"/>
        <s v="Rodrigo Bentancur"/>
        <s v="Riyad Mahrez"/>
        <s v="Sergio Ramos"/>
        <s v="João Cancelo"/>
        <s v="Raphaël Varane"/>
        <s v="Ahn Jeongwon"/>
        <s v="Nacho"/>
        <s v="Eden Hazard"/>
        <s v="Rodri"/>
        <s v="Toni Kroos"/>
        <s v="Kevin De Bruyne"/>
        <s v="Karim Benzema"/>
        <s v="Bernardo Silva"/>
        <s v="Luka Modrić"/>
        <s v="Ferran Torres"/>
        <s v="Marco Asensio"/>
        <s v="Kang Lotre"/>
        <s v="Andriy Lunin"/>
        <s v="Casemiro"/>
        <s v="Yang Seok-Hyeong"/>
        <s v="Federico Valverde"/>
        <s v="Lucas Vázquez"/>
        <s v="Joe Gomez"/>
        <m/>
      </sharedItems>
    </cacheField>
    <cacheField name="Kota" numFmtId="0">
      <sharedItems containsBlank="1">
        <s v="Bandung"/>
        <s v="Jakarta"/>
        <s v="Makassar"/>
        <s v="Surabaya"/>
        <s v="Malang"/>
        <s v="Tangerang"/>
        <s v="Cilacap"/>
        <s v="Palembang"/>
        <s v="Medan"/>
        <s v="Lampung"/>
        <s v="Banjarmasin"/>
        <s v="Denpasar"/>
        <s v="Pekanbaru"/>
        <s v="Kupang"/>
        <s v="Balikpapan"/>
        <s v="Samarinda"/>
        <s v="Jambi"/>
        <s v="Manado"/>
        <s v="Yogyakarta"/>
        <s v="Mataram"/>
        <s v="Pontianak"/>
        <s v="Semarang"/>
        <s v="Jayapura"/>
        <s v="Solo"/>
        <s v="Palu"/>
        <s v="Tarakan"/>
        <s v="Padang"/>
        <m/>
      </sharedItems>
    </cacheField>
    <cacheField name="Product" numFmtId="0">
      <sharedItems containsBlank="1">
        <s v="Basic Hoodie - White"/>
        <s v="Casual Sneakers White"/>
        <s v="Colarless Shirt Long Sleeve Black"/>
        <s v="Running Pants - Black"/>
        <s v="Basic Shirt - Black"/>
        <s v="Basic T-Shirt Black"/>
        <s v="Basic T-Shirt White"/>
        <s v="Colarless Shirt Long Sleeve Maroon"/>
        <s v="Colarless Shirt Long Sleeve Navy"/>
        <s v="Running Pants - Grey"/>
        <s v="Basic Shirt - Grey"/>
        <s v="Running Pants - Navy"/>
        <s v="Running Sneakers - Black"/>
        <s v="Linen Shirt - Slimfit - Grey"/>
        <s v="Basic Shirt - Navy"/>
        <s v="Basic T-Shirt Navy"/>
        <s v="Colarless Shirt Long Sleeve White"/>
        <s v="Basic Shirt - White"/>
        <s v="Basic T-Shirt Maroon"/>
        <s v="Colarless Shirt Long Sleeve Grey"/>
        <s v="Chino Pants - Grey"/>
        <s v="Basic T-Shirt Grey"/>
        <s v="Linen Shirt - Slimfit - Navy"/>
        <s v="Chino Pants - Khaki"/>
        <s v="Running Jacket - Black"/>
        <s v="Running Jacket - Navy"/>
        <s v="Basic T-Shirt Army"/>
        <s v="Linen Shirt - Slimfit - Khaki"/>
        <s v="Linen Shirt - Slimfit - White"/>
        <s v="Linen Shirt - Slimfit - Black"/>
        <s v="Linen Shirt - Slimfit - Maroon"/>
        <s v="Short Sleeve - Cotton Shirt Black"/>
        <s v="Short Sleeve - Cotton Shirt Navy"/>
        <s v="Short Sleeve - Cotton Shirt Maroon"/>
        <s v="Short Sleeve - Cotton Shirt White"/>
        <s v="Short Sleeve - Cotton Shirt Khaki"/>
        <s v="Short Sleeve - Cotton Shirt Grey"/>
        <s v="Cotton Pants - Short Navy"/>
        <s v="Cotton Pants - Short Black"/>
        <s v="Cotton Pants - Short White"/>
        <s v="Cotton Pants - Short Grey"/>
        <s v="Bomber - Jacket Black"/>
        <s v="Bomber - Jacket Navy"/>
        <s v="Bomber - Jacket Dark Grey"/>
        <s v="Bomber - Jacket Maroon"/>
        <s v="Colarless Shirt Long Sleeve Army"/>
        <s v="Casual Sneakers Black"/>
        <m/>
      </sharedItems>
    </cacheField>
    <cacheField name="Harga" numFmtId="3">
      <sharedItems containsString="0" containsBlank="1" containsNumber="1" containsInteger="1">
        <n v="189000.0"/>
        <n v="329000.0"/>
        <n v="199000.0"/>
        <n v="149000.0"/>
        <n v="129000.0"/>
        <n v="89000.0"/>
        <n v="349000.0"/>
        <n v="229000.0"/>
        <n v="175000.0"/>
        <n v="179000.0"/>
        <n v="249000.0"/>
        <m/>
      </sharedItems>
    </cacheField>
    <cacheField name="Qty" numFmtId="3">
      <sharedItems containsString="0" containsBlank="1" containsNumber="1" containsInteger="1">
        <n v="1.0"/>
        <n v="3.0"/>
        <n v="2.0"/>
        <m/>
      </sharedItems>
    </cacheField>
    <cacheField name="Total per Item" numFmtId="3">
      <sharedItems containsString="0" containsBlank="1" containsNumber="1" containsInteger="1">
        <n v="189000.0"/>
        <n v="329000.0"/>
        <n v="199000.0"/>
        <n v="149000.0"/>
        <n v="387000.0"/>
        <n v="89000.0"/>
        <n v="398000.0"/>
        <n v="129000.0"/>
        <n v="298000.0"/>
        <n v="349000.0"/>
        <n v="229000.0"/>
        <n v="175000.0"/>
        <n v="567000.0"/>
        <n v="378000.0"/>
        <n v="698000.0"/>
        <n v="687000.0"/>
        <n v="458000.0"/>
        <n v="179000.0"/>
        <n v="249000.0"/>
        <n v="358000.0"/>
        <n v="498000.0"/>
        <n v="597000.0"/>
        <n v="258000.0"/>
        <n v="178000.0"/>
        <n v="447000.0"/>
        <n v="537000.0"/>
        <n v="267000.0"/>
        <m/>
      </sharedItems>
    </cacheField>
    <cacheField name="Total per transaksi" numFmtId="3">
      <sharedItems containsString="0" containsBlank="1" containsNumber="1" containsInteger="1">
        <n v="189000.0"/>
        <n v="329000.0"/>
        <n v="199000.0"/>
        <n v="149000.0"/>
        <n v="387000.0"/>
        <n v="178000.0"/>
        <n v="597000.0"/>
        <n v="129000.0"/>
        <n v="876000.0"/>
        <n v="89000.0"/>
        <n v="175000.0"/>
        <n v="567000.0"/>
        <n v="229000.0"/>
        <n v="573000.0"/>
        <n v="596000.0"/>
        <n v="516000.0"/>
        <n v="350000.0"/>
        <n v="687000.0"/>
        <n v="678000.0"/>
        <n v="698000.0"/>
        <n v="795000.0"/>
        <n v="349000.0"/>
        <n v="458000.0"/>
        <n v="179000.0"/>
        <n v="916000.0"/>
        <n v="1145000.0"/>
        <n v="686000.0"/>
        <n v="298000.0"/>
        <n v="358000.0"/>
        <n v="696000.0"/>
        <n v="249000.0"/>
        <n v="328000.0"/>
        <n v="1742000.0"/>
        <n v="398000.0"/>
        <n v="658000.0"/>
        <n v="258000.0"/>
        <n v="356000.0"/>
        <n v="447000.0"/>
        <n v="877000.0"/>
        <n v="537000.0"/>
        <n v="747000.0"/>
        <n v="1891000.0"/>
        <n v="267000.0"/>
        <n v="304000.0"/>
        <n v="496000.0"/>
        <m/>
      </sharedItems>
    </cacheField>
    <cacheField name="Kategori" numFmtId="0">
      <sharedItems containsBlank="1">
        <s v="Jacket"/>
        <s v="Shoes"/>
        <s v="Shirt"/>
        <s v="Sportswear"/>
        <s v="T-Shirt"/>
        <s v="Pants"/>
        <m/>
      </sharedItems>
    </cacheField>
    <cacheField name="Warna" numFmtId="0">
      <sharedItems containsString="0" containsBlank="1"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1188" sheet="Database Transaksi"/>
  </cacheSource>
  <cacheFields>
    <cacheField name="Kode Pesanan" numFmtId="0">
      <sharedItems containsBlank="1">
        <s v="EF129384712365821"/>
        <s v="EF130894093668403"/>
        <s v="EF132421083171172"/>
        <s v="EF134784108858761"/>
        <s v="EF129422233932407"/>
        <s v="EF130932052955567"/>
        <s v="EF132459485285292"/>
        <s v="EF134823196250330"/>
        <s v="EF129459766380247"/>
        <s v="EF134862294977243"/>
        <s v="EF129497309712498"/>
        <s v="EF131008004557666"/>
        <s v="EF132536322926600"/>
        <s v="EF129534863932314"/>
        <s v="EF131045996878988"/>
        <s v="EF132574758460249"/>
        <s v="EF129572429042855"/>
        <s v="EF131084000218083"/>
        <s v="EF132613205140202"/>
        <s v="EF134979659202919"/>
        <s v="EF129610005047277"/>
        <s v="EF131122014578146"/>
        <s v="EF132690131951954"/>
        <s v="EF132805605847709"/>
        <s v="EF135018803304088"/>
        <s v="EF129722798455434"/>
        <s v="EF131236123816111"/>
        <s v="EF129760418066986"/>
        <s v="EF131274182292018"/>
        <s v="EF129798048588225"/>
        <s v="EF131312251804883"/>
        <s v="EF129835690022316"/>
        <s v="EF132882644268052"/>
        <s v="EF129873342372422"/>
        <s v="EF132921180234890"/>
        <s v="EF129911005641710"/>
        <s v="EF129948679833346"/>
        <s v="EF131464640289950"/>
        <s v="EF129986364950498"/>
        <s v="EF131502765035634"/>
        <s v="EF130024060996333"/>
        <s v="EF131540900837494"/>
        <s v="EF133075435888958"/>
        <s v="EF130061767974022"/>
        <s v="EF131579047698737"/>
        <s v="EF133114027765366"/>
        <s v="EF130099485886735"/>
        <s v="EF131617205622570"/>
        <s v="EF133152630833418"/>
        <s v="EF130137214737642"/>
        <s v="EF131655374612200"/>
        <s v="EF133191245096359"/>
        <s v="EF130174954529916"/>
        <s v="EF131693554670838"/>
        <s v="EF130212705266729"/>
        <s v="EF131808161292897"/>
        <s v="EF133345814161968"/>
        <s v="EF131846385659672"/>
        <s v="EF133384484448075"/>
        <s v="EF130363817722874"/>
        <s v="EF131884621111513"/>
        <s v="EF133423165948565"/>
        <s v="EF130401623230014"/>
        <s v="EF131922867651636"/>
        <s v="EF131961125283255"/>
        <s v="EF133500562605703"/>
        <s v="EF133539277768859"/>
        <s v="EF130515105545733"/>
        <s v="EF132037673833850"/>
        <s v="EF133578004159412"/>
        <s v="EF130552954926342"/>
        <s v="EF132075964759261"/>
        <s v="EF138387881635695"/>
        <s v="EF130590815283270"/>
        <s v="EF133655490635734"/>
        <s v="EF138428014121369"/>
        <s v="EF130628686619702"/>
        <s v="EF132152579926410"/>
        <s v="EF138468158245465"/>
        <s v="EF130666568938822"/>
        <s v="EF132190904174589"/>
        <s v="EF138508314011356"/>
        <s v="EF132229239536800"/>
        <s v="EF138548481422419"/>
        <s v="EF130742366537865"/>
        <s v="EF132267586016265"/>
        <s v="EF138669053560417"/>
        <s v="EF130780281824161"/>
        <s v="EF132305943616210"/>
        <s v="EF138709267585950"/>
        <s v="EF132344312339859"/>
        <s v="EF138749493273550"/>
        <s v="EF130856145386241"/>
        <s v="EF132382692190437"/>
        <s v="EF133927047444810"/>
        <s v="EF138789730626599"/>
        <s v="EF133965886288569"/>
        <s v="EF138829979648481"/>
        <s v="EF134004736395593"/>
        <s v="EF138870240342579"/>
        <s v="EF134043597769147"/>
        <s v="EF138910512712278"/>
        <s v="EF134082470412501"/>
        <s v="EF134121354328920"/>
        <s v="EF138991092492025"/>
        <s v="EF139031399908848"/>
        <s v="EF134199155994037"/>
        <s v="EF140286744498270"/>
        <s v="EF134238073749275"/>
        <s v="EF140327427654174"/>
        <s v="EF134277002790662"/>
        <s v="EF140368122608194"/>
        <s v="EF134393857664453"/>
        <s v="EF136712782176462"/>
        <s v="EF140408829363750"/>
        <s v="EF136752428883293"/>
        <s v="EF135136303731500"/>
        <s v="EF136792087087669"/>
        <s v="EF134432831883175"/>
        <s v="EF135175493259582"/>
        <s v="EF134471817404422"/>
        <s v="EF135214694152627"/>
        <s v="EF134510814231469"/>
        <s v="EF135253906413931"/>
        <s v="EF134549822367596"/>
        <s v="EF135293130046791"/>
        <s v="EF136950834947324"/>
        <s v="EF134588841816083"/>
        <s v="EF135332365054505"/>
        <s v="EF136990550689459"/>
        <s v="EF135371611440371"/>
        <s v="EF137030277949158"/>
        <s v="EF135410869207688"/>
        <s v="EF137070016729764"/>
        <s v="EF135450138359759"/>
        <s v="EF137109767034615"/>
        <s v="EF135489418899883"/>
        <s v="EF137149528867055"/>
        <s v="EF135528710831364"/>
        <s v="EF135568014157505"/>
        <s v="EF137229087128074"/>
        <s v="EF137268883563341"/>
        <s v="EF137308691539573"/>
        <s v="EF135685992536938"/>
        <s v="EF137308691539574"/>
        <s v="EF135725341474774"/>
        <s v="EF135764701823802"/>
        <s v="EF135804073587331"/>
        <s v="EF135843456768671"/>
        <s v="EF135882851371134"/>
        <s v="EF135922257398031"/>
        <s v="EF135961674852677"/>
        <s v="EF136001103738384"/>
        <s v="EF137667483221710"/>
        <s v="EF136040544058468"/>
        <s v="EF137707406791844"/>
        <s v="EF137747341939814"/>
        <s v="EF137787288668977"/>
        <s v="EF136158933658146"/>
        <s v="EF137827246982691"/>
        <s v="EF136198419748907"/>
        <s v="EF137867216884316"/>
        <s v="EF136237917290634"/>
        <s v="EF137907198377212"/>
        <s v="EF136277426286649"/>
        <s v="EF137947191464741"/>
        <s v="EF136316946740272"/>
        <s v="EF137987196150266"/>
        <s v="EF136356478654826"/>
        <s v="EF138027212437150"/>
        <s v="EF136396022033636"/>
        <s v="EF138067240328759"/>
        <s v="EF136435576880026"/>
        <s v="EF138067240328756"/>
        <s v="EF136514720988848"/>
        <s v="EF138187393665575"/>
        <s v="EF136554310257935"/>
        <s v="EF138227468009738"/>
        <s v="EF136593911007910"/>
        <s v="EF136633523242102"/>
        <s v="EF138307651566113"/>
        <m/>
      </sharedItems>
    </cacheField>
    <cacheField name="Tanggal Order" numFmtId="164">
      <sharedItems containsNonDate="0" containsDate="1" containsString="0" containsBlank="1" minDate="2025-01-01T00:00:00Z" maxDate="2025-04-03T00:00:00Z">
        <d v="2025-01-01T00:00:00Z"/>
        <d v="2025-01-02T00:00:00Z"/>
        <d v="2025-01-03T00:00:00Z"/>
        <d v="2025-01-04T00:00:00Z"/>
        <d v="2025-01-05T00:00:00Z"/>
        <d v="2025-01-06T00:00:00Z"/>
        <d v="2025-01-07T00:00:00Z"/>
        <d v="2025-01-10T00:00:00Z"/>
        <d v="2025-01-11T00:00:00Z"/>
        <d v="2025-01-12T00:00:00Z"/>
        <d v="2025-01-13T00:00:00Z"/>
        <d v="2025-01-14T00:00:00Z"/>
        <d v="2025-01-15T00:00:00Z"/>
        <d v="2025-01-16T00:00:00Z"/>
        <d v="2025-01-17T00:00:00Z"/>
        <d v="2025-01-18T00:00:00Z"/>
        <d v="2025-01-19T00:00:00Z"/>
        <d v="2025-01-20T00:00:00Z"/>
        <d v="2025-01-21T00:00:00Z"/>
        <d v="2025-01-22T00:00:00Z"/>
        <d v="2025-01-23T00:00:00Z"/>
        <d v="2025-01-25T00:00:00Z"/>
        <d v="2025-01-26T00:00:00Z"/>
        <d v="2025-01-27T00:00:00Z"/>
        <d v="2025-01-28T00:00:00Z"/>
        <d v="2025-01-29T00:00:00Z"/>
        <d v="2025-01-30T00:00:00Z"/>
        <d v="2025-01-31T00:00:00Z"/>
        <d v="2025-02-01T00:00:00Z"/>
        <d v="2025-02-02T00:00:00Z"/>
        <d v="2025-02-03T00:00:00Z"/>
        <d v="2025-02-04T00:00:00Z"/>
        <d v="2025-02-05T00:00:00Z"/>
        <d v="2025-02-06T00:00:00Z"/>
        <d v="2025-02-07T00:00:00Z"/>
        <d v="2025-02-08T00:00:00Z"/>
        <d v="2025-02-09T00:00:00Z"/>
        <d v="2025-02-10T00:00:00Z"/>
        <d v="2025-02-11T00:00:00Z"/>
        <d v="2025-02-12T00:00:00Z"/>
        <d v="2025-02-13T00:00:00Z"/>
        <d v="2025-02-14T00:00:00Z"/>
        <d v="2025-02-15T00:00:00Z"/>
        <d v="2025-02-16T00:00:00Z"/>
        <d v="2025-02-17T00:00:00Z"/>
        <d v="2025-02-18T00:00:00Z"/>
        <d v="2025-02-19T00:00:00Z"/>
        <d v="2025-02-20T00:00:00Z"/>
        <d v="2025-02-21T00:00:00Z"/>
        <d v="2025-02-22T00:00:00Z"/>
        <d v="2025-02-23T00:00:00Z"/>
        <d v="2025-02-24T00:00:00Z"/>
        <d v="2025-02-25T00:00:00Z"/>
        <d v="2025-02-26T00:00:00Z"/>
        <d v="2025-02-27T00:00:00Z"/>
        <d v="2025-02-28T00:00:00Z"/>
        <d v="2025-03-01T00:00:00Z"/>
        <d v="2025-03-02T00:00:00Z"/>
        <d v="2025-03-03T00:00:00Z"/>
        <d v="2025-03-04T00:00:00Z"/>
        <d v="2025-03-05T00:00:00Z"/>
        <d v="2025-03-06T00:00:00Z"/>
        <d v="2025-03-07T00:00:00Z"/>
        <d v="2025-03-08T00:00:00Z"/>
        <d v="2025-03-09T00:00:00Z"/>
        <d v="2025-03-10T00:00:00Z"/>
        <d v="2025-03-11T00:00:00Z"/>
        <d v="2025-03-12T00:00:00Z"/>
        <d v="2025-03-13T00:00:00Z"/>
        <d v="2025-03-14T00:00:00Z"/>
        <d v="2025-03-15T00:00:00Z"/>
        <d v="2025-03-16T00:00:00Z"/>
        <d v="2025-03-17T00:00:00Z"/>
        <d v="2025-03-18T00:00:00Z"/>
        <d v="2025-03-19T00:00:00Z"/>
        <d v="2025-03-20T00:00:00Z"/>
        <d v="2025-03-21T00:00:00Z"/>
        <d v="2025-03-22T00:00:00Z"/>
        <d v="2025-03-23T00:00:00Z"/>
        <d v="2025-03-24T00:00:00Z"/>
        <d v="2025-03-25T00:00:00Z"/>
        <d v="2025-03-26T00:00:00Z"/>
        <d v="2025-03-28T00:00:00Z"/>
        <d v="2025-03-29T00:00:00Z"/>
        <d v="2025-03-30T00:00:00Z"/>
        <d v="2025-03-31T00:00:00Z"/>
        <d v="2025-04-02T00:00:00Z"/>
        <m/>
      </sharedItems>
      <fieldGroup base="1">
        <rangePr autoStart="0" autoEnd="0" groupBy="months" startDate="2025-01-01T00:00:00Z" endDate="2025-04-03T00:00:00Z"/>
        <groupItems>
          <s v="&lt;01/01/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4/03/25"/>
        </groupItems>
      </fieldGroup>
    </cacheField>
    <cacheField name="No Resi" numFmtId="0">
      <sharedItems containsBlank="1">
        <s v="SHJP2131570450"/>
        <s v="SH000817822236"/>
        <s v="SHJP3294768267"/>
        <s v="SH000819410968"/>
        <s v="SH000816904326"/>
        <s v="SH000817956395"/>
        <s v="SH000817788985"/>
        <s v="SH000819408599"/>
        <s v="SHJP2339889289"/>
        <s v="SHJP4830772414"/>
        <s v="SHJP2984031462"/>
        <s v="SH000817823219"/>
        <s v="SH000817972575"/>
        <s v="SHJP5710033819"/>
        <s v="SH000817827897"/>
        <s v="SH000818825436"/>
        <s v="SH000816960220"/>
        <s v="SH000817822387"/>
        <s v="SH000817829901"/>
        <s v="SHJP0993027226"/>
        <s v="SH000816904317"/>
        <s v="SH000818333990"/>
        <s v="SH000818211307"/>
        <s v="SH000818824846"/>
        <s v="SH000816905305"/>
        <s v="SH000816903177"/>
        <s v="SH000817828487"/>
        <s v="SHJP1529505367"/>
        <s v="SH000817375021"/>
        <s v="SH000816960884"/>
        <s v="SH000817375020"/>
        <s v="SH000816905072"/>
        <s v="SH000818208940"/>
        <s v="SHJP1928989692"/>
        <s v="SH000818577553"/>
        <s v="SH000816904862"/>
        <s v="SH000816903683"/>
        <s v="SH000818210806"/>
        <s v="SHJP2696000516"/>
        <s v="SH000816903539"/>
        <s v="SH000817827245"/>
        <s v="SH000818576045"/>
        <s v="SHJP3589573667"/>
        <s v="SH000817827244"/>
        <s v="SH100817954797"/>
        <s v="SHJP0910496816"/>
        <s v="SH000816903579"/>
        <s v="SH000817954797"/>
        <s v="SHJP3073075289"/>
        <s v="SH000817955864"/>
        <s v="SH000818335010"/>
        <s v="SH000817335280"/>
        <s v="SH000817955863"/>
        <s v="SH000817829124"/>
        <s v="SH000817828077"/>
        <s v="SH000817957421"/>
        <s v="SH000819410739"/>
        <s v="SH000818576517"/>
        <s v="SH000819407746"/>
        <s v="SH000817828920"/>
        <s v="SH000817828246"/>
        <s v="SH000817841053"/>
        <s v="SHJP2857577570"/>
        <s v="SHJP6160957036"/>
        <s v="SH000818825535"/>
        <s v="SH000819410346"/>
        <s v="SH000817956942"/>
        <s v="SH000818208847"/>
        <s v="SHJP3028369494"/>
        <s v="SH000817829369"/>
        <s v="SHJP6764314964"/>
        <s v="SHJP6817208100"/>
        <s v="SHJP9517936622"/>
        <s v="SH000819410486"/>
        <s v="SH002501038613"/>
        <s v="SHJP5607552322"/>
        <s v="SHJP4763729595"/>
        <s v="SH002501038614"/>
        <s v="SHJP7827576301"/>
        <s v="SH000818826617"/>
        <s v="SH002501038615"/>
        <s v="SH000818928053"/>
        <s v="SHJP7150934162"/>
        <s v="SHJP8202023808"/>
        <s v="SHJP4749283833"/>
        <s v="SHJP7909110035"/>
        <s v="SH000817828493"/>
        <s v="SH000818894405"/>
        <s v="SHJP1981541166"/>
        <s v="SH000818668558"/>
        <s v="SH002502390748"/>
        <s v="SHJP6331208141"/>
        <s v="SH000818334227"/>
        <s v="SH000819411824"/>
        <s v="SHJP9476708216"/>
        <s v="SHJP7967548474"/>
        <s v="SHJP9476708215"/>
        <s v="SHJP8660531115"/>
        <s v="SH002502129735"/>
        <s v="SHJP9220844237"/>
        <s v="SHJP8901799869"/>
        <s v="SH000818210327"/>
        <s v="SH000818210328"/>
        <s v="SHJP0963437243"/>
        <s v="SHJP6211126770"/>
        <s v="SHJP2072691294"/>
        <s v="SHJP5298443446"/>
        <s v="SH000817317052"/>
        <s v="SH002501676366"/>
        <s v="SH000819412116"/>
        <s v="SH002501676365"/>
        <s v="SH000818211067"/>
        <s v="SH000819411555"/>
        <s v="SHJP3772811792"/>
        <s v="SH000818625062"/>
        <s v="SH000818576919"/>
        <s v="SHJP4040517651"/>
        <s v="SH000819582244"/>
        <s v="SHJP4260195903"/>
        <s v="SH000819738329"/>
        <s v="SH000819410767"/>
        <s v="SH000817829171"/>
        <s v="SH000818893039"/>
        <s v="SH000818826222"/>
        <s v="SH000819739953"/>
        <s v="SH002500573076"/>
        <s v="SH000818826221"/>
        <s v="SH000819411827"/>
        <s v="SH002501227174"/>
        <s v="SH000816962205"/>
        <s v="SHJP1234185561"/>
        <s v="SHJP9175954217"/>
        <s v="SHJP4688192727"/>
        <s v="SH000819411176"/>
        <s v="SH002500460557"/>
        <s v="SHJP2065979389"/>
        <s v="SHJP1311881549"/>
        <s v="SH000818176035"/>
        <s v="SH000819850468"/>
        <s v="SHJP7557522445"/>
        <s v="SHJP7557522446"/>
        <s v="SHJP2893424801"/>
        <s v="SHJP0870106262"/>
        <s v="SH000819738191"/>
        <s v="SH002500071926"/>
        <s v="SH000818825341"/>
        <s v="SH000818825340"/>
        <s v="SHJP0130056348"/>
        <s v="SHJP0981597628"/>
        <s v="SHJP2253321595"/>
        <s v="SH000819409944"/>
        <s v="SH002502004248"/>
        <s v="SH000817822662"/>
        <s v="SH002502004247"/>
        <s v="SHJP0108352134"/>
        <s v="SHJP2595368290"/>
        <s v="SH000819411655"/>
        <s v="SH002501999931"/>
        <s v="SH000818577702"/>
        <s v="SH002502227569"/>
        <s v="SH000818577701"/>
        <s v="SHJP8663070422"/>
        <s v="SH002500179706"/>
        <s v="SHJP8663070423"/>
        <s v="SH000818333860"/>
        <s v="SH002502130273"/>
        <s v="SH000818369116"/>
        <s v="SHJP5911196396"/>
        <s v="SHJP7767666102"/>
        <s v="SH002502299073"/>
        <s v="SH000818208737"/>
        <s v="SHJP3057272060"/>
        <s v="SH002502294171"/>
        <s v="SHJP6157925607"/>
        <s v="SHJP5167377859"/>
        <s v="SH000819542574"/>
        <s v="SH000819542573"/>
        <s v="SHJP6324306102"/>
        <m/>
      </sharedItems>
    </cacheField>
    <cacheField name="Pengiriman" numFmtId="0">
      <sharedItems containsBlank="1">
        <s v="J&amp;G Compress"/>
        <s v="SiLumayanCepat"/>
        <s v="JemputAja"/>
        <s v="J&amp;T Economy"/>
        <m/>
      </sharedItems>
    </cacheField>
    <cacheField name="Nama Customer" numFmtId="0">
      <sharedItems containsBlank="1">
        <s v="Kepa Arrizabalaga"/>
        <s v="Naby Keïta"/>
        <s v="Donny van de Beek"/>
        <s v="Ronald Araújo"/>
        <s v="Antonio Rüdiger"/>
        <s v="Jordan Henderson"/>
        <s v="James Garner"/>
        <s v="Juan Miranda"/>
        <s v="Marcos Alonso"/>
        <s v="Song Kang"/>
        <s v="Andreas Christensen"/>
        <s v="Curtis Jones"/>
        <s v="Scott McTominay"/>
        <s v="Jorginho"/>
        <s v="Xherdan Shaqiri"/>
        <s v="Joel Castro Pereira"/>
        <s v="Thiago Silva"/>
        <s v="Ben Woodburn"/>
        <s v="Teden Mengi"/>
        <s v="Pedri"/>
        <s v="N’Golo Kanté"/>
        <s v="Harry Wilson"/>
        <s v="Edinson Cavani"/>
        <s v="Aymeric Laporte"/>
        <s v="Lee Je Hoon"/>
        <s v="Timo Werner"/>
        <s v="Sadio Mané"/>
        <s v="Willy Caballero"/>
        <s v="Mohamed Salah"/>
        <s v="Fikayo Tomori"/>
        <s v="Takumi Minamino"/>
        <s v="Kurt Zouma"/>
        <s v="Nathan Aké"/>
        <s v="Édouard Mendy"/>
        <s v="Sergio Agüero"/>
        <s v="Mateo Kovačić"/>
        <s v="Olivier Giroud"/>
        <s v="Victor Lindelöf"/>
        <s v="Mason Mount"/>
        <s v="Eric Bailly"/>
        <s v="Callum Hudson-Odoi"/>
        <s v="Phil Jones"/>
        <s v="Oleksandr Zinchenko"/>
        <s v="Ben Chilwell"/>
        <s v="Harry Maguire"/>
        <s v="Zack Steffen"/>
        <s v="Hakim Ziyech"/>
        <s v="Paul Pogba"/>
        <s v="Billy Gilmour"/>
        <s v="Juan Mata"/>
        <s v="Sergio Romero"/>
        <s v="Reece James"/>
        <s v="Marcus Rashford"/>
        <s v="César Azpilicueta"/>
        <s v="Lee Grant"/>
        <s v="Benjamin Mendy"/>
        <s v="Jesse Lingard"/>
        <s v="Fernandinho"/>
        <s v="Caoimhín Kelleher"/>
        <s v="Andreas Pereira"/>
        <s v="Virgil van Dijk"/>
        <s v="Marcos Rojo"/>
        <s v="Bruno Fernandes"/>
        <s v="Nicolás Otamendi"/>
        <s v="Ederson"/>
        <s v="Andrew Robertson"/>
        <s v="Diogo Dalot"/>
        <s v="Scott Carson"/>
        <s v="Joël Matip"/>
        <s v="Daniel James"/>
        <s v="Carles Aleñá"/>
        <s v="Nathaniel Phillips"/>
        <s v="Phil Foden"/>
        <s v="Oriol Busquets"/>
        <s v="Trent Alexander-Arnold"/>
        <s v="Luke Shaw"/>
        <s v="Matheus Fernandes"/>
        <s v="Neco Williams"/>
        <s v="Timothy Fosu-Mensah"/>
        <s v="Moussa Wagué"/>
        <s v="Odion Ighalo"/>
        <s v="Francisco Trincão"/>
        <s v="Fabinho"/>
        <s v="Dean Henderson"/>
        <s v="Do Jae Hak"/>
        <s v="Thiago"/>
        <s v="Aaron Wan-Bissaka"/>
        <s v="Kai Havertz"/>
        <s v="Nemanja Matić"/>
        <s v="Emerson"/>
        <s v="James Milner"/>
        <s v="Brandon Williams"/>
        <s v="Sergio Busquets"/>
        <s v="Adrián"/>
        <s v="Jean-Clair Todibo"/>
        <s v="Carlo Pinsoglio"/>
        <s v="Antoine Griezmann"/>
        <s v="Marc-André ter Stegen"/>
        <s v="Miralem Pjanić"/>
        <s v="Kim Jun Wan"/>
        <s v="Luis Suárez"/>
        <s v="Lionel Messi"/>
        <s v="Gianluigi Buffon"/>
        <s v="Ansu Fati"/>
        <s v="Rafinha"/>
        <s v="Luka Jović"/>
        <s v="Neto"/>
        <s v="Ji Chang Wook"/>
        <s v="Philippe Coutinho"/>
        <s v="Clément Lenglet"/>
        <s v="Álvaro Odriozola"/>
        <s v="Axel Tuanzebe"/>
        <s v="Vinícius Júnior"/>
        <s v="Giorgio Chiellin"/>
        <s v="Martin Ødegaard"/>
        <s v="Jordi Alba"/>
        <s v="Matthijs de Ligt"/>
        <s v="Martin Braithwaite"/>
        <s v="Alex Sandro"/>
        <s v="Nelson"/>
        <s v="Danilo"/>
        <s v="Frenkie de Jong"/>
        <s v="Juan Cuadrado"/>
        <s v="Rodrygo"/>
        <s v="Jang Ki Yong"/>
        <s v="Leonardo Bonucci"/>
        <s v="Dani Carvajal"/>
        <s v="Merih Demiral"/>
        <s v="Lee Ik Jun"/>
        <s v="Gianluca Frabotta"/>
        <s v="Arthur"/>
        <s v="Tammy Abraham"/>
        <s v="Sami Khedira"/>
        <s v="Christian Pulisic"/>
        <s v="Aaron Ramsey"/>
        <s v="Kang kentang"/>
        <s v="Arturo Vidal"/>
        <s v="Samuel Umtiti"/>
        <s v="Junior Firpo"/>
        <s v="Federico Bernardeschi"/>
        <s v="Riqui Puig"/>
        <s v="Dejan Kulusevski"/>
        <s v="Cristiano Ronaldo"/>
        <s v="Paulo Dybala"/>
        <s v="Federico Chiesa"/>
        <s v="Mattia De Sciglio"/>
        <s v="Douglas Costa"/>
        <s v="Éder Militão"/>
        <s v="Weston McKennie"/>
        <s v="Thibaut Courtois"/>
        <s v="Adrien Rabiot"/>
        <s v="Rodrigo Bentancur"/>
        <s v="Riyad Mahrez"/>
        <s v="Sergio Ramos"/>
        <s v="João Cancelo"/>
        <s v="Raphaël Varane"/>
        <s v="Ahn Jeongwon"/>
        <s v="Nacho"/>
        <s v="Eden Hazard"/>
        <s v="Rodri"/>
        <s v="Toni Kroos"/>
        <s v="Kevin De Bruyne"/>
        <s v="Karim Benzema"/>
        <s v="Bernardo Silva"/>
        <s v="Luka Modrić"/>
        <s v="Ferran Torres"/>
        <s v="Marco Asensio"/>
        <s v="Kang Lotre"/>
        <s v="Andriy Lunin"/>
        <s v="Casemiro"/>
        <s v="Yang Seok-Hyeong"/>
        <s v="Federico Valverde"/>
        <s v="Lucas Vázquez"/>
        <s v="Joe Gomez"/>
        <m/>
      </sharedItems>
    </cacheField>
    <cacheField name="Kota" numFmtId="0">
      <sharedItems containsBlank="1">
        <s v="Bandung"/>
        <s v="Jakarta"/>
        <s v="Makassar"/>
        <s v="Surabaya"/>
        <s v="Malang"/>
        <s v="Tangerang"/>
        <s v="Cilacap"/>
        <s v="Palembang"/>
        <s v="Medan"/>
        <s v="Lampung"/>
        <s v="Banjarmasin"/>
        <s v="Denpasar"/>
        <s v="Pekanbaru"/>
        <s v="Kupang"/>
        <s v="Balikpapan"/>
        <s v="Samarinda"/>
        <s v="Jambi"/>
        <s v="Manado"/>
        <s v="Yogyakarta"/>
        <s v="Mataram"/>
        <s v="Pontianak"/>
        <s v="Semarang"/>
        <s v="Jayapura"/>
        <s v="Solo"/>
        <s v="Palu"/>
        <s v="Tarakan"/>
        <s v="Padang"/>
        <m/>
      </sharedItems>
    </cacheField>
    <cacheField name="Product" numFmtId="0">
      <sharedItems containsBlank="1">
        <s v="Basic Hoodie - White"/>
        <s v="Casual Sneakers White"/>
        <s v="Colarless Shirt Long Sleeve Black"/>
        <s v="Running Pants - Black"/>
        <s v="Basic Shirt - Black"/>
        <s v="Basic T-Shirt Black"/>
        <s v="Basic T-Shirt White"/>
        <s v="Colarless Shirt Long Sleeve Maroon"/>
        <s v="Colarless Shirt Long Sleeve Navy"/>
        <s v="Running Pants - Grey"/>
        <s v="Basic Shirt - Grey"/>
        <s v="Running Pants - Navy"/>
        <s v="Running Sneakers - Black"/>
        <s v="Linen Shirt - Slimfit - Grey"/>
        <s v="Basic Shirt - Navy"/>
        <s v="Basic T-Shirt Navy"/>
        <s v="Colarless Shirt Long Sleeve White"/>
        <s v="Basic Shirt - White"/>
        <s v="Basic T-Shirt Maroon"/>
        <s v="Colarless Shirt Long Sleeve Grey"/>
        <s v="Chino Pants - Grey"/>
        <s v="Basic T-Shirt Grey"/>
        <s v="Linen Shirt - Slimfit - Navy"/>
        <s v="Chino Pants - Khaki"/>
        <s v="Running Jacket - Black"/>
        <s v="Running Jacket - Navy"/>
        <s v="Basic T-Shirt Army"/>
        <s v="Linen Shirt - Slimfit - Khaki"/>
        <s v="Linen Shirt - Slimfit - White"/>
        <s v="Linen Shirt - Slimfit - Black"/>
        <s v="Linen Shirt - Slimfit - Maroon"/>
        <s v="Short Sleeve - Cotton Shirt Black"/>
        <s v="Short Sleeve - Cotton Shirt Navy"/>
        <s v="Short Sleeve - Cotton Shirt Maroon"/>
        <s v="Short Sleeve - Cotton Shirt White"/>
        <s v="Short Sleeve - Cotton Shirt Khaki"/>
        <s v="Short Sleeve - Cotton Shirt Grey"/>
        <s v="Cotton Pants - Short Navy"/>
        <s v="Cotton Pants - Short Black"/>
        <s v="Cotton Pants - Short White"/>
        <s v="Cotton Pants - Short Grey"/>
        <s v="Bomber - Jacket Black"/>
        <s v="Bomber - Jacket Navy"/>
        <s v="Bomber - Jacket Dark Grey"/>
        <s v="Bomber - Jacket Maroon"/>
        <s v="Colarless Shirt Long Sleeve Army"/>
        <s v="Casual Sneakers Black"/>
        <m/>
      </sharedItems>
    </cacheField>
    <cacheField name="Harga" numFmtId="3">
      <sharedItems containsString="0" containsBlank="1" containsNumber="1" containsInteger="1">
        <n v="189000.0"/>
        <n v="329000.0"/>
        <n v="199000.0"/>
        <n v="149000.0"/>
        <n v="129000.0"/>
        <n v="89000.0"/>
        <n v="349000.0"/>
        <n v="229000.0"/>
        <n v="175000.0"/>
        <n v="179000.0"/>
        <n v="249000.0"/>
        <m/>
      </sharedItems>
    </cacheField>
    <cacheField name="Qty" numFmtId="3">
      <sharedItems containsString="0" containsBlank="1" containsNumber="1" containsInteger="1">
        <n v="1.0"/>
        <n v="3.0"/>
        <n v="2.0"/>
        <m/>
      </sharedItems>
    </cacheField>
    <cacheField name="Total per Item" numFmtId="3">
      <sharedItems containsString="0" containsBlank="1" containsNumber="1" containsInteger="1">
        <n v="189000.0"/>
        <n v="329000.0"/>
        <n v="199000.0"/>
        <n v="149000.0"/>
        <n v="387000.0"/>
        <n v="89000.0"/>
        <n v="398000.0"/>
        <n v="129000.0"/>
        <n v="298000.0"/>
        <n v="349000.0"/>
        <n v="229000.0"/>
        <n v="175000.0"/>
        <n v="567000.0"/>
        <n v="378000.0"/>
        <n v="698000.0"/>
        <n v="687000.0"/>
        <n v="458000.0"/>
        <n v="179000.0"/>
        <n v="249000.0"/>
        <n v="358000.0"/>
        <n v="498000.0"/>
        <n v="597000.0"/>
        <n v="258000.0"/>
        <n v="178000.0"/>
        <n v="447000.0"/>
        <n v="537000.0"/>
        <n v="267000.0"/>
        <m/>
      </sharedItems>
    </cacheField>
    <cacheField name="Total per transaksi" numFmtId="3">
      <sharedItems containsString="0" containsBlank="1" containsNumber="1" containsInteger="1">
        <n v="189000.0"/>
        <n v="329000.0"/>
        <n v="199000.0"/>
        <n v="149000.0"/>
        <n v="387000.0"/>
        <n v="178000.0"/>
        <n v="597000.0"/>
        <n v="129000.0"/>
        <n v="876000.0"/>
        <n v="89000.0"/>
        <n v="175000.0"/>
        <n v="567000.0"/>
        <n v="229000.0"/>
        <n v="573000.0"/>
        <n v="596000.0"/>
        <n v="516000.0"/>
        <n v="350000.0"/>
        <n v="687000.0"/>
        <n v="678000.0"/>
        <n v="698000.0"/>
        <n v="795000.0"/>
        <n v="349000.0"/>
        <n v="458000.0"/>
        <n v="179000.0"/>
        <n v="916000.0"/>
        <n v="1145000.0"/>
        <n v="686000.0"/>
        <n v="298000.0"/>
        <n v="358000.0"/>
        <n v="696000.0"/>
        <n v="249000.0"/>
        <n v="328000.0"/>
        <n v="1742000.0"/>
        <n v="398000.0"/>
        <n v="658000.0"/>
        <n v="258000.0"/>
        <n v="356000.0"/>
        <n v="447000.0"/>
        <n v="877000.0"/>
        <n v="537000.0"/>
        <n v="747000.0"/>
        <n v="1891000.0"/>
        <n v="267000.0"/>
        <n v="304000.0"/>
        <n v="496000.0"/>
        <m/>
      </sharedItems>
    </cacheField>
    <cacheField name="Kategori" numFmtId="0">
      <sharedItems containsBlank="1">
        <s v="Jacket"/>
        <s v="Shoes"/>
        <s v="Shirt"/>
        <s v="Sportswear"/>
        <s v="T-Shirt"/>
        <s v="Pants"/>
        <m/>
      </sharedItems>
    </cacheField>
    <cacheField name="Column 13" numFmtId="0">
      <sharedItems containsString="0" containsBlank="1">
        <m/>
      </sharedItems>
    </cacheField>
    <cacheField name="Column 14" numFmtId="0">
      <sharedItems containsString="0" containsBlank="1">
        <m/>
      </sharedItems>
    </cacheField>
    <cacheField name="Column 15" numFmtId="0">
      <sharedItems containsString="0" containsBlank="1">
        <m/>
      </sharedItems>
    </cacheField>
    <cacheField name="Column 16" numFmtId="0">
      <sharedItems containsString="0" containsBlank="1">
        <m/>
      </sharedItems>
    </cacheField>
    <cacheField name="Column 17" numFmtId="0">
      <sharedItems containsString="0" containsBlank="1">
        <m/>
      </sharedItems>
    </cacheField>
    <cacheField name="Column 18" numFmtId="0">
      <sharedItems containsString="0" containsBlank="1">
        <m/>
      </sharedItems>
    </cacheField>
    <cacheField name="Column 19" numFmtId="0">
      <sharedItems containsString="0" containsBlank="1">
        <m/>
      </sharedItems>
    </cacheField>
    <cacheField name="Column 20" numFmtId="0">
      <sharedItems containsString="0" containsBlank="1">
        <m/>
      </sharedItems>
    </cacheField>
    <cacheField name="Column 21" numFmtId="0">
      <sharedItems containsString="0" containsBlank="1">
        <m/>
      </sharedItems>
    </cacheField>
    <cacheField name="Column 22" numFmtId="0">
      <sharedItems containsString="0" containsBlank="1">
        <m/>
      </sharedItems>
    </cacheField>
    <cacheField name="Column 23" numFmtId="0">
      <sharedItems containsString="0" containsBlank="1">
        <m/>
      </sharedItems>
    </cacheField>
    <cacheField name="Column 24" numFmtId="0">
      <sharedItems containsString="0" containsBlank="1">
        <m/>
      </sharedItems>
    </cacheField>
    <cacheField name="Column 25" numFmtId="0">
      <sharedItems containsString="0" containsBlank="1">
        <m/>
      </sharedItems>
    </cacheField>
    <cacheField name="Column 26" numFmtId="0">
      <sharedItems containsString="0" containsBlank="1">
        <m/>
      </sharedItems>
    </cacheField>
    <cacheField name="Column 27" numFmtId="0">
      <sharedItems containsString="0" containsBlank="1"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188" sheet="Database Transaksi"/>
  </cacheSource>
  <cacheFields>
    <cacheField name="Kode Pesanan" numFmtId="0">
      <sharedItems>
        <s v="EF129384712365821"/>
        <s v="EF130894093668403"/>
        <s v="EF132421083171172"/>
        <s v="EF134784108858761"/>
        <s v="EF129422233932407"/>
        <s v="EF130932052955567"/>
        <s v="EF132459485285292"/>
        <s v="EF134823196250330"/>
        <s v="EF129459766380247"/>
        <s v="EF134862294977243"/>
        <s v="EF129497309712498"/>
        <s v="EF131008004557666"/>
        <s v="EF132536322926600"/>
        <s v="EF129534863932314"/>
        <s v="EF131045996878988"/>
        <s v="EF132574758460249"/>
        <s v="EF129572429042855"/>
        <s v="EF131084000218083"/>
        <s v="EF132613205140202"/>
        <s v="EF134979659202919"/>
        <s v="EF129610005047277"/>
        <s v="EF131122014578146"/>
        <s v="EF132690131951954"/>
        <s v="EF132805605847709"/>
        <s v="EF135018803304088"/>
        <s v="EF129722798455434"/>
        <s v="EF131236123816111"/>
        <s v="EF129760418066986"/>
        <s v="EF131274182292018"/>
        <s v="EF129798048588225"/>
        <s v="EF131312251804883"/>
        <s v="EF129835690022316"/>
        <s v="EF132882644268052"/>
        <s v="EF129873342372422"/>
        <s v="EF132921180234890"/>
        <s v="EF129911005641710"/>
        <s v="EF129948679833346"/>
        <s v="EF131464640289950"/>
        <s v="EF129986364950498"/>
        <s v="EF131502765035634"/>
        <s v="EF130024060996333"/>
        <s v="EF131540900837494"/>
        <s v="EF133075435888958"/>
        <s v="EF130061767974022"/>
        <s v="EF131579047698737"/>
        <s v="EF133114027765366"/>
        <s v="EF130099485886735"/>
        <s v="EF131617205622570"/>
        <s v="EF133152630833418"/>
        <s v="EF130137214737642"/>
        <s v="EF131655374612200"/>
        <s v="EF133191245096359"/>
        <s v="EF130174954529916"/>
        <s v="EF131693554670838"/>
        <s v="EF130212705266729"/>
        <s v="EF131808161292897"/>
        <s v="EF133345814161968"/>
        <s v="EF131846385659672"/>
        <s v="EF133384484448075"/>
        <s v="EF130363817722874"/>
        <s v="EF131884621111513"/>
        <s v="EF133423165948565"/>
        <s v="EF130401623230014"/>
        <s v="EF131922867651636"/>
        <s v="EF131961125283255"/>
        <s v="EF133500562605703"/>
        <s v="EF133539277768859"/>
        <s v="EF130515105545733"/>
        <s v="EF132037673833850"/>
        <s v="EF133578004159412"/>
        <s v="EF130552954926342"/>
        <s v="EF132075964759261"/>
        <s v="EF138387881635695"/>
        <s v="EF130590815283270"/>
        <s v="EF133655490635734"/>
        <s v="EF138428014121369"/>
        <s v="EF130628686619702"/>
        <s v="EF132152579926410"/>
        <s v="EF138468158245465"/>
        <s v="EF130666568938822"/>
        <s v="EF132190904174589"/>
        <s v="EF138508314011356"/>
        <s v="EF132229239536800"/>
        <s v="EF138548481422419"/>
        <s v="EF130742366537865"/>
        <s v="EF132267586016265"/>
        <s v="EF138669053560417"/>
        <s v="EF130780281824161"/>
        <s v="EF132305943616210"/>
        <s v="EF138709267585950"/>
        <s v="EF132344312339859"/>
        <s v="EF138749493273550"/>
        <s v="EF130856145386241"/>
        <s v="EF132382692190437"/>
        <s v="EF133927047444810"/>
        <s v="EF138789730626599"/>
        <s v="EF133965886288569"/>
        <s v="EF138829979648481"/>
        <s v="EF134004736395593"/>
        <s v="EF138870240342579"/>
        <s v="EF134043597769147"/>
        <s v="EF138910512712278"/>
        <s v="EF134082470412501"/>
        <s v="EF134121354328920"/>
        <s v="EF138991092492025"/>
        <s v="EF139031399908848"/>
        <s v="EF134199155994037"/>
        <s v="EF140286744498270"/>
        <s v="EF134238073749275"/>
        <s v="EF140327427654174"/>
        <s v="EF134277002790662"/>
        <s v="EF140368122608194"/>
        <s v="EF134393857664453"/>
        <s v="EF136712782176462"/>
        <s v="EF140408829363750"/>
        <s v="EF136752428883293"/>
        <s v="EF135136303731500"/>
        <s v="EF136792087087669"/>
        <s v="EF134432831883175"/>
        <s v="EF135175493259582"/>
        <s v="EF134471817404422"/>
        <s v="EF135214694152627"/>
        <s v="EF134510814231469"/>
        <s v="EF135253906413931"/>
        <s v="EF134549822367596"/>
        <s v="EF135293130046791"/>
        <s v="EF136950834947324"/>
        <s v="EF134588841816083"/>
        <s v="EF135332365054505"/>
        <s v="EF136990550689459"/>
        <s v="EF135371611440371"/>
        <s v="EF137030277949158"/>
        <s v="EF135410869207688"/>
        <s v="EF137070016729764"/>
      </sharedItems>
    </cacheField>
    <cacheField name="Tanggal Order" numFmtId="164">
      <sharedItems containsSemiMixedTypes="0" containsDate="1" containsString="0">
        <d v="2025-01-01T00:00:00Z"/>
        <d v="2025-01-02T00:00:00Z"/>
        <d v="2025-01-03T00:00:00Z"/>
        <d v="2025-01-04T00:00:00Z"/>
        <d v="2025-01-05T00:00:00Z"/>
        <d v="2025-01-06T00:00:00Z"/>
        <d v="2025-01-07T00:00:00Z"/>
        <d v="2025-01-10T00:00:00Z"/>
        <d v="2025-01-11T00:00:00Z"/>
        <d v="2025-01-12T00:00:00Z"/>
        <d v="2025-01-13T00:00:00Z"/>
        <d v="2025-01-14T00:00:00Z"/>
        <d v="2025-01-15T00:00:00Z"/>
        <d v="2025-01-16T00:00:00Z"/>
        <d v="2025-01-17T00:00:00Z"/>
        <d v="2025-01-18T00:00:00Z"/>
        <d v="2025-01-19T00:00:00Z"/>
        <d v="2025-01-20T00:00:00Z"/>
        <d v="2025-01-21T00:00:00Z"/>
        <d v="2025-01-22T00:00:00Z"/>
        <d v="2025-01-23T00:00:00Z"/>
        <d v="2025-01-25T00:00:00Z"/>
        <d v="2025-01-26T00:00:00Z"/>
        <d v="2025-01-27T00:00:00Z"/>
        <d v="2025-01-28T00:00:00Z"/>
        <d v="2025-01-29T00:00:00Z"/>
        <d v="2025-01-30T00:00:00Z"/>
        <d v="2025-01-31T00:00:00Z"/>
        <d v="2025-02-01T00:00:00Z"/>
        <d v="2025-02-02T00:00:00Z"/>
        <d v="2025-02-03T00:00:00Z"/>
        <d v="2025-02-04T00:00:00Z"/>
        <d v="2025-02-05T00:00:00Z"/>
        <d v="2025-02-06T00:00:00Z"/>
        <d v="2025-02-07T00:00:00Z"/>
        <d v="2025-02-08T00:00:00Z"/>
        <d v="2025-02-09T00:00:00Z"/>
        <d v="2025-02-10T00:00:00Z"/>
        <d v="2025-02-11T00:00:00Z"/>
        <d v="2025-02-12T00:00:00Z"/>
        <d v="2025-02-13T00:00:00Z"/>
        <d v="2025-02-14T00:00:00Z"/>
        <d v="2025-02-15T00:00:00Z"/>
        <d v="2025-02-16T00:00:00Z"/>
        <d v="2025-02-17T00:00:00Z"/>
        <d v="2025-02-18T00:00:00Z"/>
        <d v="2025-02-19T00:00:00Z"/>
        <d v="2025-02-20T00:00:00Z"/>
        <d v="2025-02-21T00:00:00Z"/>
        <d v="2025-02-22T00:00:00Z"/>
        <d v="2025-02-23T00:00:00Z"/>
        <d v="2025-02-24T00:00:00Z"/>
        <d v="2025-02-25T00:00:00Z"/>
        <d v="2025-02-26T00:00:00Z"/>
        <d v="2025-02-27T00:00:00Z"/>
        <d v="2025-02-28T00:00:00Z"/>
      </sharedItems>
    </cacheField>
    <cacheField name="No Resi" numFmtId="0">
      <sharedItems>
        <s v="SHJP2131570450"/>
        <s v="SH000817822236"/>
        <s v="SHJP3294768267"/>
        <s v="SH000819410968"/>
        <s v="SH000816904326"/>
        <s v="SH000817956395"/>
        <s v="SH000817788985"/>
        <s v="SH000819408599"/>
        <s v="SHJP2339889289"/>
        <s v="SHJP4830772414"/>
        <s v="SHJP2984031462"/>
        <s v="SH000817823219"/>
        <s v="SH000817972575"/>
        <s v="SHJP5710033819"/>
        <s v="SH000817827897"/>
        <s v="SH000818825436"/>
        <s v="SH000816960220"/>
        <s v="SH000817822387"/>
        <s v="SH000817829901"/>
        <s v="SHJP0993027226"/>
        <s v="SH000816904317"/>
        <s v="SH000818333990"/>
        <s v="SH000818211307"/>
        <s v="SH000818824846"/>
        <s v="SH000816905305"/>
        <s v="SH000816903177"/>
        <s v="SH000817828487"/>
        <s v="SHJP1529505367"/>
        <s v="SH000817375021"/>
        <s v="SH000816960884"/>
        <s v="SH000817375020"/>
        <s v="SH000816905072"/>
        <s v="SH000818208940"/>
        <s v="SHJP1928989692"/>
        <s v="SH000818577553"/>
        <s v="SH000816904862"/>
        <s v="SH000816903683"/>
        <s v="SH000818210806"/>
        <s v="SHJP2696000516"/>
        <s v="SH000816903539"/>
        <s v="SH000817827245"/>
        <s v="SH000818576045"/>
        <s v="SHJP3589573667"/>
        <s v="SH000817827244"/>
        <s v="SH100817954797"/>
        <s v="SHJP0910496816"/>
        <s v="SH000816903579"/>
        <s v="SH000817954797"/>
        <s v="SHJP3073075289"/>
        <s v="SH000817955864"/>
        <s v="SH000818335010"/>
        <s v="SH000817335280"/>
        <s v="SH000817955863"/>
        <s v="SH000817829124"/>
        <s v="SH000817828077"/>
        <s v="SH000817957421"/>
        <s v="SH000819410739"/>
        <s v="SH000818576517"/>
        <s v="SH000819407746"/>
        <s v="SH000817828920"/>
        <s v="SH000817828246"/>
        <s v="SH000817841053"/>
        <s v="SHJP2857577570"/>
        <s v="SHJP6160957036"/>
        <s v="SH000818825535"/>
        <s v="SH000819410346"/>
        <s v="SH000817956942"/>
        <s v="SH000818208847"/>
        <s v="SHJP3028369494"/>
        <s v="SH000817829369"/>
        <s v="SHJP6764314964"/>
        <s v="SHJP6817208100"/>
        <s v="SHJP9517936622"/>
        <s v="SH000819410486"/>
        <s v="SH002501038613"/>
        <s v="SHJP5607552322"/>
        <s v="SHJP4763729595"/>
        <s v="SH002501038614"/>
        <s v="SHJP7827576301"/>
        <s v="SH000818826617"/>
        <s v="SH002501038615"/>
        <s v="SH000818928053"/>
        <s v="SHJP7150934162"/>
        <s v="SHJP8202023808"/>
        <s v="SHJP4749283833"/>
        <s v="SHJP7909110035"/>
        <s v="SH000817828493"/>
        <s v="SH000818894405"/>
        <s v="SHJP1981541166"/>
        <s v="SH000818668558"/>
        <s v="SH002502390748"/>
        <s v="SHJP6331208141"/>
        <s v="SH000818334227"/>
        <s v="SH000819411824"/>
        <s v="SHJP9476708216"/>
        <s v="SHJP7967548474"/>
        <s v="SHJP9476708215"/>
        <s v="SHJP8660531115"/>
        <s v="SH002502129735"/>
        <s v="SHJP9220844237"/>
        <s v="SHJP8901799869"/>
        <s v="SH000818210327"/>
        <s v="SH000818210328"/>
        <s v="SHJP0963437243"/>
        <s v="SHJP6211126770"/>
        <s v="SHJP2072691294"/>
        <s v="SHJP5298443446"/>
        <s v="SH000817317052"/>
        <s v="SH002501676366"/>
        <s v="SH000819412116"/>
        <s v="SH002501676365"/>
        <s v="SH000818211067"/>
        <s v="SH000819411555"/>
        <s v="SHJP3772811792"/>
        <s v="SH000818625062"/>
        <s v="SH000818576919"/>
        <s v="SHJP4040517651"/>
        <s v="SH000819582244"/>
        <s v="SHJP4260195903"/>
        <s v="SH000819738329"/>
        <s v="SH000819410767"/>
        <s v="SH000817829171"/>
        <s v="SH000818893039"/>
        <s v="SH000818826222"/>
        <s v="SH000819739953"/>
        <s v="SH002500573076"/>
        <s v="SH000818826221"/>
        <s v="SH000819411827"/>
        <s v="SH002501227174"/>
        <s v="SH000816962205"/>
        <s v="SHJP1234185561"/>
        <s v="SHJP9175954217"/>
        <s v="SHJP4688192727"/>
      </sharedItems>
    </cacheField>
    <cacheField name="Pengiriman" numFmtId="0">
      <sharedItems>
        <s v="J&amp;G Compress"/>
        <s v="SiLumayanCepat"/>
        <s v="JemputAja"/>
        <s v="J&amp;T Economy"/>
      </sharedItems>
    </cacheField>
    <cacheField name="Nama Customer" numFmtId="0">
      <sharedItems>
        <s v="Kepa Arrizabalaga"/>
        <s v="Naby Keïta"/>
        <s v="Donny van de Beek"/>
        <s v="Ronald Araújo"/>
        <s v="Antonio Rüdiger"/>
        <s v="Jordan Henderson"/>
        <s v="James Garner"/>
        <s v="Juan Miranda"/>
        <s v="Marcos Alonso"/>
        <s v="Song Kang"/>
        <s v="Andreas Christensen"/>
        <s v="Curtis Jones"/>
        <s v="Scott McTominay"/>
        <s v="Jorginho"/>
        <s v="Xherdan Shaqiri"/>
        <s v="Joel Castro Pereira"/>
        <s v="Thiago Silva"/>
        <s v="Ben Woodburn"/>
        <s v="Teden Mengi"/>
        <s v="Pedri"/>
        <s v="N’Golo Kanté"/>
        <s v="Harry Wilson"/>
        <s v="Edinson Cavani"/>
        <s v="Aymeric Laporte"/>
        <s v="Lee Je Hoon"/>
        <s v="Timo Werner"/>
        <s v="Sadio Mané"/>
        <s v="Willy Caballero"/>
        <s v="Mohamed Salah"/>
        <s v="Fikayo Tomori"/>
        <s v="Takumi Minamino"/>
        <s v="Kurt Zouma"/>
        <s v="Nathan Aké"/>
        <s v="Édouard Mendy"/>
        <s v="Sergio Agüero"/>
        <s v="Mateo Kovačić"/>
        <s v="Olivier Giroud"/>
        <s v="Victor Lindelöf"/>
        <s v="Mason Mount"/>
        <s v="Eric Bailly"/>
        <s v="Callum Hudson-Odoi"/>
        <s v="Phil Jones"/>
        <s v="Oleksandr Zinchenko"/>
        <s v="Ben Chilwell"/>
        <s v="Harry Maguire"/>
        <s v="Zack Steffen"/>
        <s v="Hakim Ziyech"/>
        <s v="Paul Pogba"/>
        <s v="Billy Gilmour"/>
        <s v="Juan Mata"/>
        <s v="Sergio Romero"/>
        <s v="Reece James"/>
        <s v="Marcus Rashford"/>
        <s v="César Azpilicueta"/>
        <s v="Lee Grant"/>
        <s v="Benjamin Mendy"/>
        <s v="Jesse Lingard"/>
        <s v="Fernandinho"/>
        <s v="Caoimhín Kelleher"/>
        <s v="Andreas Pereira"/>
        <s v="Virgil van Dijk"/>
        <s v="Marcos Rojo"/>
        <s v="Bruno Fernandes"/>
        <s v="Nicolás Otamendi"/>
        <s v="Ederson"/>
        <s v="Andrew Robertson"/>
        <s v="Diogo Dalot"/>
        <s v="Scott Carson"/>
        <s v="Joël Matip"/>
        <s v="Daniel James"/>
        <s v="Carles Aleñá"/>
        <s v="Nathaniel Phillips"/>
        <s v="Phil Foden"/>
        <s v="Oriol Busquets"/>
        <s v="Trent Alexander-Arnold"/>
        <s v="Luke Shaw"/>
        <s v="Matheus Fernandes"/>
        <s v="Neco Williams"/>
        <s v="Timothy Fosu-Mensah"/>
        <s v="Moussa Wagué"/>
        <s v="Odion Ighalo"/>
        <s v="Francisco Trincão"/>
        <s v="Fabinho"/>
        <s v="Dean Henderson"/>
        <s v="Do Jae Hak"/>
        <s v="Thiago"/>
        <s v="Aaron Wan-Bissaka"/>
        <s v="Kai Havertz"/>
        <s v="Nemanja Matić"/>
        <s v="Emerson"/>
        <s v="James Milner"/>
        <s v="Brandon Williams"/>
        <s v="Sergio Busquets"/>
        <s v="Adrián"/>
        <s v="Jean-Clair Todibo"/>
        <s v="Carlo Pinsoglio"/>
        <s v="Antoine Griezmann"/>
        <s v="Marc-André ter Stegen"/>
        <s v="Miralem Pjanić"/>
        <s v="Kim Jun Wan"/>
        <s v="Luis Suárez"/>
        <s v="Lionel Messi"/>
        <s v="Gianluigi Buffon"/>
        <s v="Ansu Fati"/>
        <s v="Rafinha"/>
        <s v="Luka Jović"/>
        <s v="Neto"/>
        <s v="Ji Chang Wook"/>
        <s v="Philippe Coutinho"/>
        <s v="Clément Lenglet"/>
        <s v="Álvaro Odriozola"/>
        <s v="Axel Tuanzebe"/>
        <s v="Vinícius Júnior"/>
        <s v="Giorgio Chiellin"/>
        <s v="Martin Ødegaard"/>
        <s v="Jordi Alba"/>
        <s v="Matthijs de Ligt"/>
        <s v="Martin Braithwaite"/>
        <s v="Alex Sandro"/>
        <s v="Nelson"/>
        <s v="Danilo"/>
        <s v="Frenkie de Jong"/>
        <s v="Juan Cuadrado"/>
        <s v="Rodrygo"/>
        <s v="Jang Ki Yong"/>
        <s v="Leonardo Bonucci"/>
        <s v="Dani Carvajal"/>
        <s v="Merih Demiral"/>
        <s v="Lee Ik Jun"/>
        <s v="Gianluca Frabotta"/>
      </sharedItems>
    </cacheField>
    <cacheField name="Kota" numFmtId="0">
      <sharedItems>
        <s v="Bandung"/>
        <s v="Jakarta"/>
        <s v="Makassar"/>
        <s v="Surabaya"/>
        <s v="Malang"/>
        <s v="Tangerang"/>
        <s v="Cilacap"/>
        <s v="Palembang"/>
        <s v="Medan"/>
        <s v="Lampung"/>
        <s v="Banjarmasin"/>
        <s v="Denpasar"/>
        <s v="Pekanbaru"/>
        <s v="Kupang"/>
        <s v="Balikpapan"/>
        <s v="Samarinda"/>
        <s v="Jambi"/>
        <s v="Manado"/>
        <s v="Yogyakarta"/>
        <s v="Mataram"/>
        <s v="Pontianak"/>
        <s v="Semarang"/>
        <s v="Jayapura"/>
        <s v="Solo"/>
        <s v="Palu"/>
        <s v="Tarakan"/>
        <s v="Padang"/>
      </sharedItems>
    </cacheField>
    <cacheField name="Product" numFmtId="0">
      <sharedItems>
        <s v="Basic Hoodie - White"/>
        <s v="Casual Sneakers White"/>
        <s v="Colarless Shirt Long Sleeve Black"/>
        <s v="Running Pants - Black"/>
        <s v="Basic Shirt - Black"/>
        <s v="Basic T-Shirt Black"/>
        <s v="Basic T-Shirt White"/>
        <s v="Colarless Shirt Long Sleeve Maroon"/>
        <s v="Colarless Shirt Long Sleeve Navy"/>
        <s v="Running Pants - Grey"/>
        <s v="Basic Shirt - Grey"/>
        <s v="Running Pants - Navy"/>
        <s v="Running Sneakers - Black"/>
        <s v="Linen Shirt - Slimfit - Grey"/>
        <s v="Basic Shirt - Navy"/>
        <s v="Basic T-Shirt Navy"/>
        <s v="Colarless Shirt Long Sleeve White"/>
        <s v="Basic Shirt - White"/>
        <s v="Basic T-Shirt Maroon"/>
        <s v="Colarless Shirt Long Sleeve Grey"/>
        <s v="Chino Pants - Grey"/>
        <s v="Basic T-Shirt Grey"/>
        <s v="Linen Shirt - Slimfit - Navy"/>
        <s v="Chino Pants - Khaki"/>
        <s v="Running Jacket - Black"/>
        <s v="Running Jacket - Navy"/>
        <s v="Basic T-Shirt Army"/>
        <s v="Linen Shirt - Slimfit - Khaki"/>
        <s v="Linen Shirt - Slimfit - White"/>
        <s v="Linen Shirt - Slimfit - Black"/>
        <s v="Linen Shirt - Slimfit - Maroon"/>
        <s v="Short Sleeve - Cotton Shirt Black"/>
        <s v="Short Sleeve - Cotton Shirt Navy"/>
        <s v="Short Sleeve - Cotton Shirt Maroon"/>
        <s v="Short Sleeve - Cotton Shirt White"/>
        <s v="Short Sleeve - Cotton Shirt Khaki"/>
        <s v="Short Sleeve - Cotton Shirt Grey"/>
        <s v="Cotton Pants - Short Navy"/>
        <s v="Cotton Pants - Short Black"/>
        <s v="Cotton Pants - Short White"/>
        <s v="Cotton Pants - Short Grey"/>
        <s v="Bomber - Jacket Black"/>
        <s v="Bomber - Jacket Navy"/>
        <s v="Bomber - Jacket Dark Grey"/>
        <s v="Bomber - Jacket Maroon"/>
        <s v="Colarless Shirt Long Sleeve Army"/>
        <s v="Casual Sneakers Black"/>
      </sharedItems>
    </cacheField>
    <cacheField name="Harga" numFmtId="3">
      <sharedItems containsSemiMixedTypes="0" containsString="0" containsNumber="1" containsInteger="1">
        <n v="189000.0"/>
        <n v="329000.0"/>
        <n v="199000.0"/>
        <n v="149000.0"/>
        <n v="129000.0"/>
        <n v="89000.0"/>
        <n v="349000.0"/>
        <n v="229000.0"/>
        <n v="175000.0"/>
        <n v="179000.0"/>
        <n v="249000.0"/>
      </sharedItems>
    </cacheField>
    <cacheField name="Qty" numFmtId="3">
      <sharedItems containsSemiMixedTypes="0" containsString="0" containsNumber="1" containsInteger="1">
        <n v="1.0"/>
        <n v="3.0"/>
        <n v="2.0"/>
      </sharedItems>
    </cacheField>
    <cacheField name="Total per Item" numFmtId="3">
      <sharedItems containsSemiMixedTypes="0" containsString="0" containsNumber="1" containsInteger="1">
        <n v="189000.0"/>
        <n v="329000.0"/>
        <n v="199000.0"/>
        <n v="149000.0"/>
        <n v="387000.0"/>
        <n v="89000.0"/>
        <n v="398000.0"/>
        <n v="129000.0"/>
        <n v="298000.0"/>
        <n v="349000.0"/>
        <n v="229000.0"/>
        <n v="175000.0"/>
        <n v="567000.0"/>
        <n v="378000.0"/>
        <n v="698000.0"/>
        <n v="687000.0"/>
        <n v="458000.0"/>
        <n v="179000.0"/>
        <n v="249000.0"/>
        <n v="358000.0"/>
        <n v="498000.0"/>
        <n v="597000.0"/>
        <n v="258000.0"/>
        <n v="178000.0"/>
        <n v="447000.0"/>
        <n v="537000.0"/>
      </sharedItems>
    </cacheField>
    <cacheField name="Total per transaksi" numFmtId="3">
      <sharedItems containsSemiMixedTypes="0" containsString="0" containsNumber="1" containsInteger="1">
        <n v="189000.0"/>
        <n v="329000.0"/>
        <n v="199000.0"/>
        <n v="149000.0"/>
        <n v="387000.0"/>
        <n v="178000.0"/>
        <n v="597000.0"/>
        <n v="129000.0"/>
        <n v="876000.0"/>
        <n v="89000.0"/>
        <n v="175000.0"/>
        <n v="567000.0"/>
        <n v="229000.0"/>
        <n v="573000.0"/>
        <n v="596000.0"/>
        <n v="516000.0"/>
        <n v="350000.0"/>
        <n v="687000.0"/>
        <n v="678000.0"/>
        <n v="698000.0"/>
        <n v="795000.0"/>
        <n v="349000.0"/>
        <n v="458000.0"/>
        <n v="179000.0"/>
        <n v="916000.0"/>
        <n v="1145000.0"/>
        <n v="686000.0"/>
        <n v="298000.0"/>
        <n v="358000.0"/>
        <n v="696000.0"/>
        <n v="249000.0"/>
        <n v="328000.0"/>
        <n v="1742000.0"/>
        <n v="398000.0"/>
        <n v="658000.0"/>
        <n v="258000.0"/>
        <n v="356000.0"/>
        <n v="447000.0"/>
        <n v="877000.0"/>
        <n v="537000.0"/>
      </sharedItems>
    </cacheField>
    <cacheField name="Kategori" numFmtId="0">
      <sharedItems>
        <s v="Jacket"/>
        <s v="Shoes"/>
        <s v="Shirt"/>
        <s v="Sportswear"/>
        <s v="T-Shirt"/>
        <s v="Pants"/>
      </sharedItems>
    </cacheField>
    <cacheField name="Column 13" numFmtId="0">
      <sharedItems containsString="0" containsBlank="1">
        <m/>
      </sharedItems>
    </cacheField>
    <cacheField name="Column 14" numFmtId="0">
      <sharedItems containsString="0" containsBlank="1">
        <m/>
      </sharedItems>
    </cacheField>
    <cacheField name="Column 15" numFmtId="0">
      <sharedItems containsString="0" containsBlank="1">
        <m/>
      </sharedItems>
    </cacheField>
    <cacheField name="Column 16" numFmtId="0">
      <sharedItems containsString="0" containsBlank="1">
        <m/>
      </sharedItems>
    </cacheField>
    <cacheField name="Column 17" numFmtId="0">
      <sharedItems containsString="0" containsBlank="1">
        <m/>
      </sharedItems>
    </cacheField>
    <cacheField name="Column 18" numFmtId="0">
      <sharedItems containsString="0" containsBlank="1">
        <m/>
      </sharedItems>
    </cacheField>
    <cacheField name="Column 19" numFmtId="0">
      <sharedItems containsString="0" containsBlank="1">
        <m/>
      </sharedItems>
    </cacheField>
    <cacheField name="Column 20" numFmtId="0">
      <sharedItems containsString="0" containsBlank="1">
        <m/>
      </sharedItems>
    </cacheField>
    <cacheField name="Column 21" numFmtId="0">
      <sharedItems containsString="0" containsBlank="1">
        <m/>
      </sharedItems>
    </cacheField>
    <cacheField name="Column 22" numFmtId="0">
      <sharedItems containsString="0" containsBlank="1">
        <m/>
      </sharedItems>
    </cacheField>
    <cacheField name="Column 23" numFmtId="0">
      <sharedItems containsString="0" containsBlank="1">
        <m/>
      </sharedItems>
    </cacheField>
    <cacheField name="Column 24" numFmtId="0">
      <sharedItems containsString="0" containsBlank="1">
        <m/>
      </sharedItems>
    </cacheField>
    <cacheField name="Column 25" numFmtId="0">
      <sharedItems containsString="0" containsBlank="1">
        <m/>
      </sharedItems>
    </cacheField>
    <cacheField name="Column 26" numFmtId="0">
      <sharedItems containsString="0" containsBlank="1">
        <m/>
      </sharedItems>
    </cacheField>
    <cacheField name="Column 27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Helper1" cacheId="0" dataCaption="" rowGrandTotals="0" compact="0" compactData="0">
  <location ref="N3:O11" firstHeaderRow="0" firstDataRow="1" firstDataCol="0"/>
  <pivotFields>
    <pivotField name="Kode Pesan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t="default"/>
      </items>
    </pivotField>
    <pivotField name="Tanggal Order" axis="axisRow" compact="0" numFmtId="164" outline="0" multipleItemSelectionAllowed="1" showAll="0" sortType="ascending">
      <items>
        <item x="8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No Res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Pengirima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Nama 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Kot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Harga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Qty" compact="0" numFmtId="3" outline="0" multipleItemSelectionAllowed="1" showAll="0">
      <items>
        <item x="0"/>
        <item x="1"/>
        <item x="2"/>
        <item x="3"/>
        <item t="default"/>
      </items>
    </pivotField>
    <pivotField name="Total per Item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otal per transaksi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Kategori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arna" compact="0" outline="0" multipleItemSelectionAllowed="1" showAll="0">
      <items>
        <item x="0"/>
        <item t="default"/>
      </items>
    </pivotField>
  </pivotFields>
  <rowFields>
    <field x="1"/>
  </rowFields>
  <dataFields>
    <dataField name="SUM of Total per transaksi" fld="10" baseField="0"/>
  </dataFields>
</pivotTableDefinition>
</file>

<file path=xl/pivotTables/pivotTable2.xml><?xml version="1.0" encoding="utf-8"?>
<pivotTableDefinition xmlns="http://schemas.openxmlformats.org/spreadsheetml/2006/main" name="Helper1 2" cacheId="1" dataCaption="" rowGrandTotals="0" compact="0" compactData="0">
  <location ref="Q3:R8" firstHeaderRow="0" firstDataRow="1" firstDataCol="0"/>
  <pivotFields>
    <pivotField name="Kode Pesan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t="default"/>
      </items>
    </pivotField>
    <pivotField name="Tanggal Order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No Res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Pengiriman" axis="axisRow" compact="0" outline="0" multipleItemSelectionAllowed="1" showAll="0" sortType="descending">
      <items>
        <item x="0"/>
        <item x="1"/>
        <item x="2"/>
        <item x="3"/>
        <item x="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Nama 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Kot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Harga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Qty" compact="0" numFmtId="3" outline="0" multipleItemSelectionAllowed="1" showAll="0">
      <items>
        <item x="0"/>
        <item x="1"/>
        <item x="2"/>
        <item x="3"/>
        <item t="default"/>
      </items>
    </pivotField>
    <pivotField name="Total per Item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otal per transaksi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Kategori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arna" compact="0" outline="0" multipleItemSelectionAllowed="1" showAll="0">
      <items>
        <item x="0"/>
        <item t="default"/>
      </items>
    </pivotField>
  </pivotFields>
  <rowFields>
    <field x="3"/>
  </rowFields>
  <dataFields>
    <dataField name="SUM of Total per transaksi" fld="10" baseField="0"/>
  </dataFields>
</pivotTableDefinition>
</file>

<file path=xl/pivotTables/pivotTable3.xml><?xml version="1.0" encoding="utf-8"?>
<pivotTableDefinition xmlns="http://schemas.openxmlformats.org/spreadsheetml/2006/main" name="Helper1 3" cacheId="1" dataCaption="" rowGrandTotals="0" compact="0" compactData="0">
  <location ref="T3:U31" firstHeaderRow="0" firstDataRow="1" firstDataCol="0"/>
  <pivotFields>
    <pivotField name="Kode Pesan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t="default"/>
      </items>
    </pivotField>
    <pivotField name="Tanggal Order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No Res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Pengirima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Nama 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Kota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Harga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Qty" compact="0" numFmtId="3" outline="0" multipleItemSelectionAllowed="1" showAll="0">
      <items>
        <item x="0"/>
        <item x="1"/>
        <item x="2"/>
        <item x="3"/>
        <item t="default"/>
      </items>
    </pivotField>
    <pivotField name="Total per Item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otal per transaksi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Kategori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arna" compact="0" outline="0" multipleItemSelectionAllowed="1" showAll="0">
      <items>
        <item x="0"/>
        <item t="default"/>
      </items>
    </pivotField>
  </pivotFields>
  <rowFields>
    <field x="5"/>
  </rowFields>
  <dataFields>
    <dataField name="SUM of Total per transaksi" fld="10" baseField="0"/>
  </dataFields>
</pivotTableDefinition>
</file>

<file path=xl/pivotTables/pivotTable4.xml><?xml version="1.0" encoding="utf-8"?>
<pivotTableDefinition xmlns="http://schemas.openxmlformats.org/spreadsheetml/2006/main" name="Helper1 4" cacheId="1" dataCaption="" rowGrandTotals="0" compact="0" compactData="0">
  <location ref="W3:X10" firstHeaderRow="0" firstDataRow="1" firstDataCol="0"/>
  <pivotFields>
    <pivotField name="Kode Pesan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t="default"/>
      </items>
    </pivotField>
    <pivotField name="Tanggal Order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No Res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Pengirima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Nama 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Kot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Harga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Qty" dataField="1" compact="0" numFmtId="3" outline="0" multipleItemSelectionAllowed="1" showAll="0">
      <items>
        <item x="0"/>
        <item x="1"/>
        <item x="2"/>
        <item x="3"/>
        <item t="default"/>
      </items>
    </pivotField>
    <pivotField name="Total per Item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otal per transaksi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Kategori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Warna" compact="0" outline="0" multipleItemSelectionAllowed="1" showAll="0">
      <items>
        <item x="0"/>
        <item t="default"/>
      </items>
    </pivotField>
  </pivotFields>
  <rowFields>
    <field x="11"/>
  </rowFields>
  <dataFields>
    <dataField name="SUM of Qty" fld="8" baseField="0"/>
  </dataFields>
</pivotTableDefinition>
</file>

<file path=xl/pivotTables/pivotTable5.xml><?xml version="1.0" encoding="utf-8"?>
<pivotTableDefinition xmlns="http://schemas.openxmlformats.org/spreadsheetml/2006/main" name="Helper1 5" cacheId="1" dataCaption="" rowGrandTotals="0" compact="0" compactData="0">
  <location ref="Z3:AA51" firstHeaderRow="0" firstDataRow="1" firstDataCol="0"/>
  <pivotFields>
    <pivotField name="Kode Pesan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t="default"/>
      </items>
    </pivotField>
    <pivotField name="Tanggal Order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No Res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Pengirima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Nama 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Kot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Product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Harga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Qty" dataField="1" compact="0" numFmtId="3" outline="0" multipleItemSelectionAllowed="1" showAll="0">
      <items>
        <item x="0"/>
        <item x="1"/>
        <item x="2"/>
        <item x="3"/>
        <item t="default"/>
      </items>
    </pivotField>
    <pivotField name="Total per Item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otal per transaksi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Kategori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arna" compact="0" outline="0" multipleItemSelectionAllowed="1" showAll="0">
      <items>
        <item x="0"/>
        <item t="default"/>
      </items>
    </pivotField>
  </pivotFields>
  <rowFields>
    <field x="6"/>
  </rowFields>
  <dataFields>
    <dataField name="SUM of Qty" fld="8" baseField="0"/>
  </dataFields>
</pivotTableDefinition>
</file>

<file path=xl/pivotTables/pivotTable6.xml><?xml version="1.0" encoding="utf-8"?>
<pivotTableDefinition xmlns="http://schemas.openxmlformats.org/spreadsheetml/2006/main" name="Helper1 6" cacheId="2" dataCaption="" rowGrandTotals="0" compact="0" compactData="0">
  <location ref="N14:O19" firstHeaderRow="0" firstDataRow="1" firstDataCol="0"/>
  <pivotFields>
    <pivotField name="Kode Pesan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t="default"/>
      </items>
    </pivotField>
    <pivotField name="Tanggal Order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No Res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Pengirima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Nama 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Kot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Harga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Qty" compact="0" numFmtId="3" outline="0" multipleItemSelectionAllowed="1" showAll="0">
      <items>
        <item x="0"/>
        <item x="1"/>
        <item x="2"/>
        <item x="3"/>
        <item t="default"/>
      </items>
    </pivotField>
    <pivotField name="Total per Item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otal per transaksi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Kategori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olumn 13" compact="0" outline="0" multipleItemSelectionAllowed="1" showAll="0">
      <items>
        <item x="0"/>
        <item t="default"/>
      </items>
    </pivotField>
    <pivotField name="Column 14" compact="0" outline="0" multipleItemSelectionAllowed="1" showAll="0">
      <items>
        <item x="0"/>
        <item t="default"/>
      </items>
    </pivotField>
    <pivotField name="Column 15" compact="0" outline="0" multipleItemSelectionAllowed="1" showAll="0">
      <items>
        <item x="0"/>
        <item t="default"/>
      </items>
    </pivotField>
    <pivotField name="Column 16" compact="0" outline="0" multipleItemSelectionAllowed="1" showAll="0">
      <items>
        <item x="0"/>
        <item t="default"/>
      </items>
    </pivotField>
    <pivotField name="Column 17" compact="0" outline="0" multipleItemSelectionAllowed="1" showAll="0">
      <items>
        <item x="0"/>
        <item t="default"/>
      </items>
    </pivotField>
    <pivotField name="Column 18" compact="0" outline="0" multipleItemSelectionAllowed="1" showAll="0">
      <items>
        <item x="0"/>
        <item t="default"/>
      </items>
    </pivotField>
    <pivotField name="Column 19" compact="0" outline="0" multipleItemSelectionAllowed="1" showAll="0">
      <items>
        <item x="0"/>
        <item t="default"/>
      </items>
    </pivotField>
    <pivotField name="Column 20" compact="0" outline="0" multipleItemSelectionAllowed="1" showAll="0">
      <items>
        <item x="0"/>
        <item t="default"/>
      </items>
    </pivotField>
    <pivotField name="Column 21" compact="0" outline="0" multipleItemSelectionAllowed="1" showAll="0">
      <items>
        <item x="0"/>
        <item t="default"/>
      </items>
    </pivotField>
    <pivotField name="Column 22" compact="0" outline="0" multipleItemSelectionAllowed="1" showAll="0">
      <items>
        <item x="0"/>
        <item t="default"/>
      </items>
    </pivotField>
    <pivotField name="Column 23" compact="0" outline="0" multipleItemSelectionAllowed="1" showAll="0">
      <items>
        <item x="0"/>
        <item t="default"/>
      </items>
    </pivotField>
    <pivotField name="Column 24" compact="0" outline="0" multipleItemSelectionAllowed="1" showAll="0">
      <items>
        <item x="0"/>
        <item t="default"/>
      </items>
    </pivotField>
    <pivotField name="Column 25" compact="0" outline="0" multipleItemSelectionAllowed="1" showAll="0">
      <items>
        <item x="0"/>
        <item t="default"/>
      </items>
    </pivotField>
    <pivotField name="Column 26" compact="0" outline="0" multipleItemSelectionAllowed="1" showAll="0">
      <items>
        <item x="0"/>
        <item t="default"/>
      </items>
    </pivotField>
    <pivotField name="Column 27" compact="0" outline="0" multipleItemSelectionAllowed="1" showAll="0">
      <items>
        <item x="0"/>
        <item t="default"/>
      </items>
    </pivotField>
  </pivotFields>
  <rowFields>
    <field x="1"/>
  </rowFields>
  <dataFields>
    <dataField name="SUM of Total per transaksi" fld="10" baseField="0"/>
  </dataFields>
</pivotTableDefinition>
</file>

<file path=xl/pivotTables/pivotTable7.xml><?xml version="1.0" encoding="utf-8"?>
<pivotTableDefinition xmlns="http://schemas.openxmlformats.org/spreadsheetml/2006/main" name="Pivot Table 1" cacheId="3" dataCaption="" rowGrandTotals="0" compact="0" compactData="0">
  <location ref="A1:C48" firstHeaderRow="0" firstDataRow="2" firstDataCol="0"/>
  <pivotFields>
    <pivotField name="Kode Pesan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t="default"/>
      </items>
    </pivotField>
    <pivotField name="Tanggal Order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No Res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t="default"/>
      </items>
    </pivotField>
    <pivotField name="Pengiriman" compact="0" outline="0" multipleItemSelectionAllowed="1" showAll="0">
      <items>
        <item x="0"/>
        <item x="1"/>
        <item x="2"/>
        <item x="3"/>
        <item t="default"/>
      </items>
    </pivotField>
    <pivotField name="Nama 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t="default"/>
      </items>
    </pivotField>
    <pivotField name="Kot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Product" axis="axisRow" compact="0" outline="0" multipleItemSelectionAllowed="1" showAll="0" sortType="ascending" defaultSubtotal="0">
      <items>
        <item x="0"/>
        <item x="4"/>
        <item x="10"/>
        <item x="14"/>
        <item x="17"/>
        <item x="26"/>
        <item x="5"/>
        <item x="21"/>
        <item x="18"/>
        <item x="15"/>
        <item x="6"/>
        <item x="41"/>
        <item x="43"/>
        <item x="44"/>
        <item x="42"/>
        <item x="46"/>
        <item x="1"/>
        <item x="20"/>
        <item x="23"/>
        <item x="45"/>
        <item x="2"/>
        <item x="19"/>
        <item x="7"/>
        <item x="8"/>
        <item x="16"/>
        <item x="38"/>
        <item x="40"/>
        <item x="37"/>
        <item x="39"/>
        <item x="29"/>
        <item x="13"/>
        <item x="27"/>
        <item x="30"/>
        <item x="22"/>
        <item x="28"/>
        <item x="24"/>
        <item x="25"/>
        <item x="3"/>
        <item x="9"/>
        <item x="11"/>
        <item x="12"/>
        <item x="31"/>
        <item x="36"/>
        <item x="35"/>
        <item x="33"/>
        <item x="32"/>
        <item x="34"/>
      </items>
    </pivotField>
    <pivotField name="Harga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Qty" compact="0" numFmtId="3" outline="0" multipleItemSelectionAllowed="1" showAll="0">
      <items>
        <item x="0"/>
        <item x="1"/>
        <item x="2"/>
        <item t="default"/>
      </items>
    </pivotField>
    <pivotField name="Total per Item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Total per transaksi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Kategori" axis="axisRow" compact="0" outline="0" multipleItemSelectionAllowed="1" showAll="0" sortType="ascending">
      <items>
        <item x="0"/>
        <item x="5"/>
        <item x="2"/>
        <item x="1"/>
        <item x="3"/>
        <item x="4"/>
        <item t="default"/>
      </items>
    </pivotField>
    <pivotField name="Column 13" compact="0" outline="0" multipleItemSelectionAllowed="1" showAll="0">
      <items>
        <item x="0"/>
        <item t="default"/>
      </items>
    </pivotField>
    <pivotField name="Column 14" compact="0" outline="0" multipleItemSelectionAllowed="1" showAll="0">
      <items>
        <item x="0"/>
        <item t="default"/>
      </items>
    </pivotField>
    <pivotField name="Column 15" compact="0" outline="0" multipleItemSelectionAllowed="1" showAll="0">
      <items>
        <item x="0"/>
        <item t="default"/>
      </items>
    </pivotField>
    <pivotField name="Column 16" compact="0" outline="0" multipleItemSelectionAllowed="1" showAll="0">
      <items>
        <item x="0"/>
        <item t="default"/>
      </items>
    </pivotField>
    <pivotField name="Column 17" compact="0" outline="0" multipleItemSelectionAllowed="1" showAll="0">
      <items>
        <item x="0"/>
        <item t="default"/>
      </items>
    </pivotField>
    <pivotField name="Column 18" compact="0" outline="0" multipleItemSelectionAllowed="1" showAll="0">
      <items>
        <item x="0"/>
        <item t="default"/>
      </items>
    </pivotField>
    <pivotField name="Column 19" compact="0" outline="0" multipleItemSelectionAllowed="1" showAll="0">
      <items>
        <item x="0"/>
        <item t="default"/>
      </items>
    </pivotField>
    <pivotField name="Column 20" compact="0" outline="0" multipleItemSelectionAllowed="1" showAll="0">
      <items>
        <item x="0"/>
        <item t="default"/>
      </items>
    </pivotField>
    <pivotField name="Column 21" compact="0" outline="0" multipleItemSelectionAllowed="1" showAll="0">
      <items>
        <item x="0"/>
        <item t="default"/>
      </items>
    </pivotField>
    <pivotField name="Column 22" compact="0" outline="0" multipleItemSelectionAllowed="1" showAll="0">
      <items>
        <item x="0"/>
        <item t="default"/>
      </items>
    </pivotField>
    <pivotField name="Column 23" compact="0" outline="0" multipleItemSelectionAllowed="1" showAll="0">
      <items>
        <item x="0"/>
        <item t="default"/>
      </items>
    </pivotField>
    <pivotField name="Column 24" compact="0" outline="0" multipleItemSelectionAllowed="1" showAll="0">
      <items>
        <item x="0"/>
        <item t="default"/>
      </items>
    </pivotField>
    <pivotField name="Column 25" compact="0" outline="0" multipleItemSelectionAllowed="1" showAll="0">
      <items>
        <item x="0"/>
        <item t="default"/>
      </items>
    </pivotField>
    <pivotField name="Column 26" compact="0" outline="0" multipleItemSelectionAllowed="1" showAll="0">
      <items>
        <item x="0"/>
        <item t="default"/>
      </items>
    </pivotField>
    <pivotField name="Column 27" compact="0" outline="0" multipleItemSelectionAllowed="1" showAll="0">
      <items>
        <item x="0"/>
        <item t="default"/>
      </items>
    </pivotField>
  </pivotFields>
  <rowFields>
    <field x="6"/>
    <field x="11"/>
  </rowFields>
  <dataFields>
    <dataField name="SUM of Total per Item" fld="9" baseField="0"/>
  </dataFields>
</pivotTableDefinition>
</file>

<file path=xl/tables/table1.xml><?xml version="1.0" encoding="utf-8"?>
<table xmlns="http://schemas.openxmlformats.org/spreadsheetml/2006/main" ref="A1:AA1188" displayName="Table1" name="Table1" id="1">
  <tableColumns count="27">
    <tableColumn name="Kode Pesanan" id="1"/>
    <tableColumn name="Tanggal Order" id="2"/>
    <tableColumn name="No Resi" id="3"/>
    <tableColumn name="Pengiriman" id="4"/>
    <tableColumn name="Nama Customer" id="5"/>
    <tableColumn name="Kota" id="6"/>
    <tableColumn name="Product" id="7"/>
    <tableColumn name="Harga" id="8"/>
    <tableColumn name="Qty" id="9"/>
    <tableColumn name="Total per Item" id="10"/>
    <tableColumn name="Total per transaksi" id="11"/>
    <tableColumn name="Kategori" id="12"/>
    <tableColumn name="Column 13" id="13"/>
    <tableColumn name="Column 14" id="14"/>
    <tableColumn name="Column 15" id="15"/>
    <tableColumn name="Column 16" id="16"/>
    <tableColumn name="Column 17" id="17"/>
    <tableColumn name="Column 18" id="18"/>
    <tableColumn name="Column 19" id="19"/>
    <tableColumn name="Column 20" id="20"/>
    <tableColumn name="Column 21" id="21"/>
    <tableColumn name="Column 22" id="22"/>
    <tableColumn name="Column 23" id="23"/>
    <tableColumn name="Column 24" id="24"/>
    <tableColumn name="Column 25" id="25"/>
    <tableColumn name="Column 26" id="26"/>
    <tableColumn name="Column 27" id="27"/>
  </tableColumns>
  <tableStyleInfo name="Database Transaks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1">
        <f>counta(B5:B1000)</f>
        <v>27</v>
      </c>
    </row>
    <row r="4">
      <c r="C4" s="2" t="s">
        <v>0</v>
      </c>
    </row>
    <row r="5">
      <c r="B5" s="1" t="str">
        <f t="array" ref="B5:B32">unique(Table1[Kota])</f>
        <v>Bandung</v>
      </c>
    </row>
    <row r="6">
      <c r="B6" s="1" t="s">
        <v>1</v>
      </c>
    </row>
    <row r="7">
      <c r="B7" s="1" t="s">
        <v>2</v>
      </c>
    </row>
    <row r="8">
      <c r="B8" s="1" t="s">
        <v>3</v>
      </c>
    </row>
    <row r="9">
      <c r="B9" s="1" t="s">
        <v>4</v>
      </c>
    </row>
    <row r="10">
      <c r="B10" s="1" t="s">
        <v>5</v>
      </c>
      <c r="E10" s="2" t="s">
        <v>6</v>
      </c>
    </row>
    <row r="11">
      <c r="B11" s="1" t="s">
        <v>7</v>
      </c>
    </row>
    <row r="12">
      <c r="B12" s="1" t="s">
        <v>8</v>
      </c>
    </row>
    <row r="13">
      <c r="B13" s="1" t="s">
        <v>9</v>
      </c>
    </row>
    <row r="14">
      <c r="B14" s="1" t="s">
        <v>10</v>
      </c>
    </row>
    <row r="15">
      <c r="B15" s="1" t="s">
        <v>11</v>
      </c>
    </row>
    <row r="16">
      <c r="B16" s="1" t="s">
        <v>12</v>
      </c>
    </row>
    <row r="17">
      <c r="B17" s="1" t="s">
        <v>13</v>
      </c>
    </row>
    <row r="18">
      <c r="B18" s="1" t="s">
        <v>14</v>
      </c>
    </row>
    <row r="19">
      <c r="B19" s="1" t="s">
        <v>15</v>
      </c>
    </row>
    <row r="20">
      <c r="B20" s="1" t="s">
        <v>16</v>
      </c>
    </row>
    <row r="21">
      <c r="B21" s="1" t="s">
        <v>17</v>
      </c>
    </row>
    <row r="22">
      <c r="B22" s="1" t="s">
        <v>18</v>
      </c>
    </row>
    <row r="23">
      <c r="B23" s="1" t="s">
        <v>19</v>
      </c>
    </row>
    <row r="24">
      <c r="B24" s="1" t="s">
        <v>20</v>
      </c>
    </row>
    <row r="25">
      <c r="B25" s="1" t="s">
        <v>21</v>
      </c>
    </row>
    <row r="26">
      <c r="B26" s="1" t="s">
        <v>22</v>
      </c>
    </row>
    <row r="27">
      <c r="B27" s="1" t="s">
        <v>23</v>
      </c>
    </row>
    <row r="28">
      <c r="B28" s="1" t="s">
        <v>24</v>
      </c>
    </row>
    <row r="29">
      <c r="B29" s="1" t="s">
        <v>25</v>
      </c>
    </row>
    <row r="30">
      <c r="B30" s="1" t="s">
        <v>26</v>
      </c>
    </row>
    <row r="31">
      <c r="B31" s="1" t="s">
        <v>27</v>
      </c>
    </row>
    <row r="32">
      <c r="B3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C5" s="2" t="s">
        <v>28</v>
      </c>
      <c r="D5" s="3">
        <v>45717.0</v>
      </c>
      <c r="E5" s="2" t="s">
        <v>29</v>
      </c>
      <c r="F5" s="2" t="s">
        <v>30</v>
      </c>
      <c r="G5" s="2" t="s">
        <v>31</v>
      </c>
      <c r="H5" s="2" t="s">
        <v>4</v>
      </c>
      <c r="I5" s="2" t="s">
        <v>32</v>
      </c>
      <c r="J5" s="4">
        <v>149000.0</v>
      </c>
      <c r="K5" s="4">
        <v>1.0</v>
      </c>
      <c r="L5" s="4">
        <v>149000.0</v>
      </c>
      <c r="M5" s="4">
        <v>149000.0</v>
      </c>
      <c r="N5" s="2" t="s">
        <v>33</v>
      </c>
      <c r="O5" s="1" t="s">
        <v>34</v>
      </c>
    </row>
    <row r="6">
      <c r="C6" s="2" t="s">
        <v>35</v>
      </c>
      <c r="D6" s="3">
        <v>45717.0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4">
        <v>179000.0</v>
      </c>
      <c r="K6" s="4">
        <v>1.0</v>
      </c>
      <c r="L6" s="4">
        <v>179000.0</v>
      </c>
      <c r="M6" s="4">
        <v>179000.0</v>
      </c>
      <c r="N6" s="2" t="s">
        <v>41</v>
      </c>
      <c r="O6" s="1" t="s">
        <v>42</v>
      </c>
    </row>
    <row r="7">
      <c r="C7" s="2" t="s">
        <v>43</v>
      </c>
      <c r="D7" s="3">
        <v>45718.0</v>
      </c>
      <c r="E7" s="2" t="s">
        <v>44</v>
      </c>
      <c r="F7" s="2" t="s">
        <v>45</v>
      </c>
      <c r="G7" s="2" t="s">
        <v>46</v>
      </c>
      <c r="H7" s="2" t="s">
        <v>18</v>
      </c>
      <c r="I7" s="2" t="s">
        <v>47</v>
      </c>
      <c r="J7" s="4">
        <v>149000.0</v>
      </c>
      <c r="K7" s="4">
        <v>1.0</v>
      </c>
      <c r="L7" s="4">
        <v>149000.0</v>
      </c>
      <c r="M7" s="4">
        <v>149000.0</v>
      </c>
      <c r="N7" s="2" t="s">
        <v>33</v>
      </c>
      <c r="O7" s="1" t="s">
        <v>48</v>
      </c>
    </row>
    <row r="8">
      <c r="C8" s="2" t="s">
        <v>49</v>
      </c>
      <c r="D8" s="3">
        <v>45718.0</v>
      </c>
      <c r="E8" s="2" t="s">
        <v>50</v>
      </c>
      <c r="F8" s="2" t="s">
        <v>45</v>
      </c>
      <c r="G8" s="2" t="s">
        <v>51</v>
      </c>
      <c r="H8" s="2" t="s">
        <v>11</v>
      </c>
      <c r="I8" s="2" t="s">
        <v>52</v>
      </c>
      <c r="J8" s="4">
        <v>179000.0</v>
      </c>
      <c r="K8" s="4">
        <v>2.0</v>
      </c>
      <c r="L8" s="4">
        <v>358000.0</v>
      </c>
      <c r="M8" s="4">
        <v>358000.0</v>
      </c>
      <c r="N8" s="2" t="s">
        <v>41</v>
      </c>
      <c r="O8" s="1" t="s">
        <v>48</v>
      </c>
    </row>
    <row r="9">
      <c r="C9" s="2" t="s">
        <v>53</v>
      </c>
      <c r="D9" s="3">
        <v>45719.0</v>
      </c>
      <c r="E9" s="2" t="s">
        <v>54</v>
      </c>
      <c r="F9" s="2" t="s">
        <v>30</v>
      </c>
      <c r="G9" s="2" t="s">
        <v>55</v>
      </c>
      <c r="H9" s="2" t="s">
        <v>9</v>
      </c>
      <c r="I9" s="2" t="s">
        <v>56</v>
      </c>
      <c r="J9" s="4">
        <v>149000.0</v>
      </c>
      <c r="K9" s="4">
        <v>1.0</v>
      </c>
      <c r="L9" s="4">
        <v>149000.0</v>
      </c>
      <c r="M9" s="4">
        <v>149000.0</v>
      </c>
      <c r="N9" s="2" t="s">
        <v>33</v>
      </c>
      <c r="O9" s="1" t="s">
        <v>57</v>
      </c>
    </row>
    <row r="10">
      <c r="C10" s="2" t="s">
        <v>58</v>
      </c>
      <c r="D10" s="3">
        <v>45720.0</v>
      </c>
      <c r="E10" s="2" t="s">
        <v>59</v>
      </c>
      <c r="F10" s="2" t="s">
        <v>37</v>
      </c>
      <c r="G10" s="2" t="s">
        <v>60</v>
      </c>
      <c r="H10" s="2" t="s">
        <v>8</v>
      </c>
      <c r="I10" s="2" t="s">
        <v>61</v>
      </c>
      <c r="J10" s="4">
        <v>249000.0</v>
      </c>
      <c r="K10" s="4">
        <v>1.0</v>
      </c>
      <c r="L10" s="4">
        <v>249000.0</v>
      </c>
      <c r="M10" s="4">
        <v>747000.0</v>
      </c>
      <c r="N10" s="2" t="s">
        <v>62</v>
      </c>
      <c r="O10" s="1" t="s">
        <v>34</v>
      </c>
    </row>
    <row r="11">
      <c r="C11" s="2" t="s">
        <v>58</v>
      </c>
      <c r="D11" s="3">
        <v>45720.0</v>
      </c>
      <c r="E11" s="2" t="s">
        <v>59</v>
      </c>
      <c r="F11" s="2" t="s">
        <v>37</v>
      </c>
      <c r="G11" s="2" t="s">
        <v>60</v>
      </c>
      <c r="H11" s="2" t="s">
        <v>8</v>
      </c>
      <c r="I11" s="2" t="s">
        <v>63</v>
      </c>
      <c r="J11" s="4">
        <v>249000.0</v>
      </c>
      <c r="K11" s="4">
        <v>1.0</v>
      </c>
      <c r="L11" s="4">
        <v>249000.0</v>
      </c>
      <c r="M11" s="4">
        <v>747000.0</v>
      </c>
      <c r="N11" s="2" t="s">
        <v>62</v>
      </c>
      <c r="O11" s="1" t="s">
        <v>64</v>
      </c>
    </row>
    <row r="12">
      <c r="C12" s="2" t="s">
        <v>58</v>
      </c>
      <c r="D12" s="3">
        <v>45720.0</v>
      </c>
      <c r="E12" s="2" t="s">
        <v>59</v>
      </c>
      <c r="F12" s="2" t="s">
        <v>37</v>
      </c>
      <c r="G12" s="2" t="s">
        <v>60</v>
      </c>
      <c r="H12" s="2" t="s">
        <v>8</v>
      </c>
      <c r="I12" s="2" t="s">
        <v>65</v>
      </c>
      <c r="J12" s="4">
        <v>249000.0</v>
      </c>
      <c r="K12" s="4">
        <v>1.0</v>
      </c>
      <c r="L12" s="4">
        <v>249000.0</v>
      </c>
      <c r="M12" s="4">
        <v>747000.0</v>
      </c>
      <c r="N12" s="2" t="s">
        <v>62</v>
      </c>
      <c r="O12" s="1" t="s">
        <v>66</v>
      </c>
    </row>
    <row r="13">
      <c r="C13" s="2" t="s">
        <v>67</v>
      </c>
      <c r="D13" s="3">
        <v>45720.0</v>
      </c>
      <c r="E13" s="2" t="s">
        <v>68</v>
      </c>
      <c r="F13" s="2" t="s">
        <v>45</v>
      </c>
      <c r="G13" s="2" t="s">
        <v>69</v>
      </c>
      <c r="H13" s="2" t="s">
        <v>7</v>
      </c>
      <c r="I13" s="2" t="s">
        <v>70</v>
      </c>
      <c r="J13" s="4">
        <v>179000.0</v>
      </c>
      <c r="K13" s="4">
        <v>2.0</v>
      </c>
      <c r="L13" s="4">
        <v>358000.0</v>
      </c>
      <c r="M13" s="4">
        <v>358000.0</v>
      </c>
      <c r="N13" s="2" t="s">
        <v>41</v>
      </c>
      <c r="O13" s="1" t="s">
        <v>57</v>
      </c>
    </row>
    <row r="14">
      <c r="C14" s="2" t="s">
        <v>71</v>
      </c>
      <c r="D14" s="3">
        <v>45721.0</v>
      </c>
      <c r="E14" s="2" t="s">
        <v>72</v>
      </c>
      <c r="F14" s="2" t="s">
        <v>45</v>
      </c>
      <c r="G14" s="2" t="s">
        <v>73</v>
      </c>
      <c r="H14" s="2" t="s">
        <v>2</v>
      </c>
      <c r="I14" s="2" t="s">
        <v>74</v>
      </c>
      <c r="J14" s="4">
        <v>149000.0</v>
      </c>
      <c r="K14" s="4">
        <v>1.0</v>
      </c>
      <c r="L14" s="4">
        <v>149000.0</v>
      </c>
      <c r="M14" s="4">
        <v>149000.0</v>
      </c>
      <c r="N14" s="2" t="s">
        <v>33</v>
      </c>
      <c r="O14" s="1" t="s">
        <v>64</v>
      </c>
    </row>
    <row r="15">
      <c r="C15" s="2" t="s">
        <v>75</v>
      </c>
      <c r="D15" s="3">
        <v>45722.0</v>
      </c>
      <c r="E15" s="2" t="s">
        <v>76</v>
      </c>
      <c r="F15" s="2" t="s">
        <v>45</v>
      </c>
      <c r="G15" s="2" t="s">
        <v>77</v>
      </c>
      <c r="H15" s="2" t="s">
        <v>9</v>
      </c>
      <c r="I15" s="2" t="s">
        <v>32</v>
      </c>
      <c r="J15" s="4">
        <v>149000.0</v>
      </c>
      <c r="K15" s="4">
        <v>1.0</v>
      </c>
      <c r="L15" s="4">
        <v>149000.0</v>
      </c>
      <c r="M15" s="4">
        <v>149000.0</v>
      </c>
      <c r="N15" s="2" t="s">
        <v>33</v>
      </c>
      <c r="O15" s="1" t="s">
        <v>34</v>
      </c>
    </row>
    <row r="16">
      <c r="C16" s="2" t="s">
        <v>78</v>
      </c>
      <c r="D16" s="3">
        <v>45723.0</v>
      </c>
      <c r="E16" s="2" t="s">
        <v>79</v>
      </c>
      <c r="F16" s="2" t="s">
        <v>45</v>
      </c>
      <c r="G16" s="2" t="s">
        <v>80</v>
      </c>
      <c r="H16" s="2" t="s">
        <v>16</v>
      </c>
      <c r="I16" s="2" t="s">
        <v>81</v>
      </c>
      <c r="J16" s="4">
        <v>249000.0</v>
      </c>
      <c r="K16" s="4">
        <v>1.0</v>
      </c>
      <c r="L16" s="4">
        <v>249000.0</v>
      </c>
      <c r="M16" s="4">
        <v>249000.0</v>
      </c>
      <c r="N16" s="2" t="s">
        <v>62</v>
      </c>
      <c r="O16" s="1" t="s">
        <v>42</v>
      </c>
    </row>
    <row r="17">
      <c r="C17" s="2" t="s">
        <v>82</v>
      </c>
      <c r="D17" s="3">
        <v>45723.0</v>
      </c>
      <c r="E17" s="2" t="s">
        <v>76</v>
      </c>
      <c r="F17" s="2" t="s">
        <v>45</v>
      </c>
      <c r="G17" s="2" t="s">
        <v>83</v>
      </c>
      <c r="H17" s="2" t="s">
        <v>12</v>
      </c>
      <c r="I17" s="2" t="s">
        <v>47</v>
      </c>
      <c r="J17" s="4">
        <v>149000.0</v>
      </c>
      <c r="K17" s="4">
        <v>1.0</v>
      </c>
      <c r="L17" s="4">
        <v>149000.0</v>
      </c>
      <c r="M17" s="4">
        <v>1891000.0</v>
      </c>
      <c r="N17" s="2" t="s">
        <v>33</v>
      </c>
      <c r="O17" s="1" t="s">
        <v>48</v>
      </c>
    </row>
    <row r="18">
      <c r="C18" s="2" t="s">
        <v>82</v>
      </c>
      <c r="D18" s="3">
        <v>45723.0</v>
      </c>
      <c r="E18" s="2" t="s">
        <v>76</v>
      </c>
      <c r="F18" s="2" t="s">
        <v>45</v>
      </c>
      <c r="G18" s="2" t="s">
        <v>83</v>
      </c>
      <c r="H18" s="2" t="s">
        <v>12</v>
      </c>
      <c r="I18" s="2" t="s">
        <v>56</v>
      </c>
      <c r="J18" s="4">
        <v>149000.0</v>
      </c>
      <c r="K18" s="4">
        <v>1.0</v>
      </c>
      <c r="L18" s="4">
        <v>149000.0</v>
      </c>
      <c r="M18" s="4">
        <v>1891000.0</v>
      </c>
      <c r="N18" s="2" t="s">
        <v>33</v>
      </c>
      <c r="O18" s="1" t="s">
        <v>57</v>
      </c>
    </row>
    <row r="19">
      <c r="C19" s="2" t="s">
        <v>82</v>
      </c>
      <c r="D19" s="3">
        <v>45723.0</v>
      </c>
      <c r="E19" s="2" t="s">
        <v>76</v>
      </c>
      <c r="F19" s="2" t="s">
        <v>45</v>
      </c>
      <c r="G19" s="2" t="s">
        <v>83</v>
      </c>
      <c r="H19" s="2" t="s">
        <v>12</v>
      </c>
      <c r="I19" s="2" t="s">
        <v>61</v>
      </c>
      <c r="J19" s="4">
        <v>249000.0</v>
      </c>
      <c r="K19" s="4">
        <v>1.0</v>
      </c>
      <c r="L19" s="4">
        <v>249000.0</v>
      </c>
      <c r="M19" s="4">
        <v>1891000.0</v>
      </c>
      <c r="N19" s="2" t="s">
        <v>62</v>
      </c>
      <c r="O19" s="1" t="s">
        <v>34</v>
      </c>
    </row>
    <row r="20">
      <c r="C20" s="2" t="s">
        <v>82</v>
      </c>
      <c r="D20" s="3">
        <v>45723.0</v>
      </c>
      <c r="E20" s="2" t="s">
        <v>76</v>
      </c>
      <c r="F20" s="2" t="s">
        <v>45</v>
      </c>
      <c r="G20" s="2" t="s">
        <v>83</v>
      </c>
      <c r="H20" s="2" t="s">
        <v>12</v>
      </c>
      <c r="I20" s="2" t="s">
        <v>63</v>
      </c>
      <c r="J20" s="4">
        <v>249000.0</v>
      </c>
      <c r="K20" s="4">
        <v>1.0</v>
      </c>
      <c r="L20" s="4">
        <v>249000.0</v>
      </c>
      <c r="M20" s="4">
        <v>1891000.0</v>
      </c>
      <c r="N20" s="2" t="s">
        <v>62</v>
      </c>
      <c r="O20" s="1" t="s">
        <v>64</v>
      </c>
    </row>
    <row r="21">
      <c r="C21" s="2" t="s">
        <v>82</v>
      </c>
      <c r="D21" s="3">
        <v>45723.0</v>
      </c>
      <c r="E21" s="2" t="s">
        <v>76</v>
      </c>
      <c r="F21" s="2" t="s">
        <v>45</v>
      </c>
      <c r="G21" s="2" t="s">
        <v>83</v>
      </c>
      <c r="H21" s="2" t="s">
        <v>12</v>
      </c>
      <c r="I21" s="2" t="s">
        <v>65</v>
      </c>
      <c r="J21" s="4">
        <v>249000.0</v>
      </c>
      <c r="K21" s="4">
        <v>1.0</v>
      </c>
      <c r="L21" s="4">
        <v>249000.0</v>
      </c>
      <c r="M21" s="4">
        <v>1891000.0</v>
      </c>
      <c r="N21" s="2" t="s">
        <v>62</v>
      </c>
      <c r="O21" s="1" t="s">
        <v>66</v>
      </c>
    </row>
    <row r="22">
      <c r="C22" s="2" t="s">
        <v>82</v>
      </c>
      <c r="D22" s="3">
        <v>45723.0</v>
      </c>
      <c r="E22" s="2" t="s">
        <v>76</v>
      </c>
      <c r="F22" s="2" t="s">
        <v>45</v>
      </c>
      <c r="G22" s="2" t="s">
        <v>83</v>
      </c>
      <c r="H22" s="2" t="s">
        <v>12</v>
      </c>
      <c r="I22" s="2" t="s">
        <v>81</v>
      </c>
      <c r="J22" s="4">
        <v>249000.0</v>
      </c>
      <c r="K22" s="4">
        <v>1.0</v>
      </c>
      <c r="L22" s="4">
        <v>249000.0</v>
      </c>
      <c r="M22" s="4">
        <v>1891000.0</v>
      </c>
      <c r="N22" s="2" t="s">
        <v>62</v>
      </c>
      <c r="O22" s="1" t="s">
        <v>42</v>
      </c>
    </row>
    <row r="23">
      <c r="C23" s="2" t="s">
        <v>82</v>
      </c>
      <c r="D23" s="3">
        <v>45723.0</v>
      </c>
      <c r="E23" s="2" t="s">
        <v>76</v>
      </c>
      <c r="F23" s="2" t="s">
        <v>45</v>
      </c>
      <c r="G23" s="2" t="s">
        <v>83</v>
      </c>
      <c r="H23" s="2" t="s">
        <v>12</v>
      </c>
      <c r="I23" s="2" t="s">
        <v>84</v>
      </c>
      <c r="J23" s="4">
        <v>199000.0</v>
      </c>
      <c r="K23" s="4">
        <v>1.0</v>
      </c>
      <c r="L23" s="4">
        <v>199000.0</v>
      </c>
      <c r="M23" s="4">
        <v>1891000.0</v>
      </c>
      <c r="N23" s="2" t="s">
        <v>41</v>
      </c>
      <c r="O23" s="1" t="s">
        <v>34</v>
      </c>
    </row>
    <row r="24">
      <c r="C24" s="2" t="s">
        <v>82</v>
      </c>
      <c r="D24" s="3">
        <v>45723.0</v>
      </c>
      <c r="E24" s="2" t="s">
        <v>76</v>
      </c>
      <c r="F24" s="2" t="s">
        <v>45</v>
      </c>
      <c r="G24" s="2" t="s">
        <v>83</v>
      </c>
      <c r="H24" s="2" t="s">
        <v>12</v>
      </c>
      <c r="I24" s="2" t="s">
        <v>85</v>
      </c>
      <c r="J24" s="4">
        <v>199000.0</v>
      </c>
      <c r="K24" s="4">
        <v>2.0</v>
      </c>
      <c r="L24" s="4">
        <v>398000.0</v>
      </c>
      <c r="M24" s="4">
        <v>1891000.0</v>
      </c>
      <c r="N24" s="2" t="s">
        <v>41</v>
      </c>
      <c r="O24" s="1" t="s">
        <v>42</v>
      </c>
    </row>
    <row r="25">
      <c r="C25" s="2" t="s">
        <v>86</v>
      </c>
      <c r="D25" s="3">
        <v>45724.0</v>
      </c>
      <c r="E25" s="2" t="s">
        <v>87</v>
      </c>
      <c r="F25" s="2" t="s">
        <v>30</v>
      </c>
      <c r="G25" s="2" t="s">
        <v>88</v>
      </c>
      <c r="H25" s="2" t="s">
        <v>22</v>
      </c>
      <c r="I25" s="2" t="s">
        <v>84</v>
      </c>
      <c r="J25" s="4">
        <v>199000.0</v>
      </c>
      <c r="K25" s="4">
        <v>1.0</v>
      </c>
      <c r="L25" s="4">
        <v>199000.0</v>
      </c>
      <c r="M25" s="4">
        <v>199000.0</v>
      </c>
      <c r="N25" s="2" t="s">
        <v>41</v>
      </c>
      <c r="O25" s="1" t="s">
        <v>34</v>
      </c>
    </row>
    <row r="26">
      <c r="C26" s="2" t="s">
        <v>89</v>
      </c>
      <c r="D26" s="3">
        <v>45725.0</v>
      </c>
      <c r="E26" s="2" t="s">
        <v>90</v>
      </c>
      <c r="F26" s="2" t="s">
        <v>30</v>
      </c>
      <c r="G26" s="2" t="s">
        <v>91</v>
      </c>
      <c r="H26" s="2" t="s">
        <v>24</v>
      </c>
      <c r="I26" s="2" t="s">
        <v>85</v>
      </c>
      <c r="J26" s="4">
        <v>199000.0</v>
      </c>
      <c r="K26" s="4">
        <v>2.0</v>
      </c>
      <c r="L26" s="4">
        <v>398000.0</v>
      </c>
      <c r="M26" s="4">
        <v>398000.0</v>
      </c>
      <c r="N26" s="2" t="s">
        <v>41</v>
      </c>
      <c r="O26" s="1" t="s">
        <v>42</v>
      </c>
    </row>
    <row r="27">
      <c r="C27" s="2" t="s">
        <v>92</v>
      </c>
      <c r="D27" s="3">
        <v>45726.0</v>
      </c>
      <c r="E27" s="2" t="s">
        <v>93</v>
      </c>
      <c r="F27" s="2" t="s">
        <v>30</v>
      </c>
      <c r="G27" s="2" t="s">
        <v>94</v>
      </c>
      <c r="H27" s="2" t="s">
        <v>3</v>
      </c>
      <c r="I27" s="2" t="s">
        <v>95</v>
      </c>
      <c r="J27" s="4">
        <v>199000.0</v>
      </c>
      <c r="K27" s="4">
        <v>1.0</v>
      </c>
      <c r="L27" s="4">
        <v>199000.0</v>
      </c>
      <c r="M27" s="4">
        <v>199000.0</v>
      </c>
      <c r="N27" s="2" t="s">
        <v>41</v>
      </c>
      <c r="O27" s="1" t="s">
        <v>64</v>
      </c>
    </row>
    <row r="28">
      <c r="C28" s="2" t="s">
        <v>96</v>
      </c>
      <c r="D28" s="3">
        <v>45727.0</v>
      </c>
      <c r="E28" s="2" t="s">
        <v>97</v>
      </c>
      <c r="F28" s="2" t="s">
        <v>30</v>
      </c>
      <c r="G28" s="2" t="s">
        <v>98</v>
      </c>
      <c r="H28" s="2" t="s">
        <v>5</v>
      </c>
      <c r="I28" s="2" t="s">
        <v>99</v>
      </c>
      <c r="J28" s="4">
        <v>199000.0</v>
      </c>
      <c r="K28" s="4">
        <v>2.0</v>
      </c>
      <c r="L28" s="4">
        <v>398000.0</v>
      </c>
      <c r="M28" s="4">
        <v>398000.0</v>
      </c>
      <c r="N28" s="2" t="s">
        <v>41</v>
      </c>
      <c r="O28" s="1" t="s">
        <v>48</v>
      </c>
    </row>
    <row r="29">
      <c r="C29" s="2" t="s">
        <v>100</v>
      </c>
      <c r="D29" s="3">
        <v>45728.0</v>
      </c>
      <c r="E29" s="2" t="s">
        <v>101</v>
      </c>
      <c r="F29" s="2" t="s">
        <v>45</v>
      </c>
      <c r="G29" s="2" t="s">
        <v>102</v>
      </c>
      <c r="H29" s="2" t="s">
        <v>19</v>
      </c>
      <c r="I29" s="2" t="s">
        <v>103</v>
      </c>
      <c r="J29" s="4">
        <v>199000.0</v>
      </c>
      <c r="K29" s="4">
        <v>1.0</v>
      </c>
      <c r="L29" s="4">
        <v>199000.0</v>
      </c>
      <c r="M29" s="4">
        <v>199000.0</v>
      </c>
      <c r="N29" s="2" t="s">
        <v>41</v>
      </c>
      <c r="O29" s="1" t="s">
        <v>57</v>
      </c>
    </row>
    <row r="30">
      <c r="C30" s="2" t="s">
        <v>104</v>
      </c>
      <c r="D30" s="3">
        <v>45729.0</v>
      </c>
      <c r="E30" s="2" t="s">
        <v>105</v>
      </c>
      <c r="F30" s="2" t="s">
        <v>45</v>
      </c>
      <c r="G30" s="2" t="s">
        <v>106</v>
      </c>
      <c r="H30" s="2" t="s">
        <v>27</v>
      </c>
      <c r="I30" s="2" t="s">
        <v>107</v>
      </c>
      <c r="J30" s="4">
        <v>199000.0</v>
      </c>
      <c r="K30" s="4">
        <v>1.0</v>
      </c>
      <c r="L30" s="4">
        <v>199000.0</v>
      </c>
      <c r="M30" s="4">
        <v>199000.0</v>
      </c>
      <c r="N30" s="2" t="s">
        <v>41</v>
      </c>
      <c r="O30" s="1" t="s">
        <v>108</v>
      </c>
    </row>
    <row r="31">
      <c r="C31" s="2" t="s">
        <v>109</v>
      </c>
      <c r="D31" s="3">
        <v>45730.0</v>
      </c>
      <c r="E31" s="2" t="s">
        <v>110</v>
      </c>
      <c r="F31" s="2" t="s">
        <v>45</v>
      </c>
      <c r="G31" s="2" t="s">
        <v>111</v>
      </c>
      <c r="H31" s="2" t="s">
        <v>7</v>
      </c>
      <c r="I31" s="2" t="s">
        <v>112</v>
      </c>
      <c r="J31" s="4">
        <v>329000.0</v>
      </c>
      <c r="K31" s="4">
        <v>1.0</v>
      </c>
      <c r="L31" s="4">
        <v>329000.0</v>
      </c>
      <c r="M31" s="4">
        <v>329000.0</v>
      </c>
      <c r="N31" s="2" t="s">
        <v>113</v>
      </c>
      <c r="O31" s="1" t="s">
        <v>34</v>
      </c>
    </row>
    <row r="32">
      <c r="C32" s="2" t="s">
        <v>114</v>
      </c>
      <c r="D32" s="3">
        <v>45731.0</v>
      </c>
      <c r="E32" s="2" t="s">
        <v>115</v>
      </c>
      <c r="F32" s="2" t="s">
        <v>30</v>
      </c>
      <c r="G32" s="2" t="s">
        <v>116</v>
      </c>
      <c r="H32" s="2" t="s">
        <v>14</v>
      </c>
      <c r="I32" s="2" t="s">
        <v>117</v>
      </c>
      <c r="J32" s="4">
        <v>329000.0</v>
      </c>
      <c r="K32" s="4">
        <v>1.0</v>
      </c>
      <c r="L32" s="4">
        <v>329000.0</v>
      </c>
      <c r="M32" s="4">
        <v>329000.0</v>
      </c>
      <c r="N32" s="2" t="s">
        <v>113</v>
      </c>
      <c r="O32" s="1" t="s">
        <v>48</v>
      </c>
    </row>
    <row r="33">
      <c r="C33" s="2" t="s">
        <v>118</v>
      </c>
      <c r="D33" s="3">
        <v>45731.0</v>
      </c>
      <c r="E33" s="2" t="s">
        <v>119</v>
      </c>
      <c r="F33" s="2" t="s">
        <v>30</v>
      </c>
      <c r="G33" s="2" t="s">
        <v>120</v>
      </c>
      <c r="H33" s="2" t="s">
        <v>3</v>
      </c>
      <c r="I33" s="2" t="s">
        <v>95</v>
      </c>
      <c r="J33" s="4">
        <v>199000.0</v>
      </c>
      <c r="K33" s="4">
        <v>1.0</v>
      </c>
      <c r="L33" s="4">
        <v>199000.0</v>
      </c>
      <c r="M33" s="4">
        <v>199000.0</v>
      </c>
      <c r="N33" s="2" t="s">
        <v>41</v>
      </c>
      <c r="O33" s="1" t="s">
        <v>64</v>
      </c>
    </row>
    <row r="34">
      <c r="C34" s="2" t="s">
        <v>121</v>
      </c>
      <c r="D34" s="3">
        <v>45732.0</v>
      </c>
      <c r="E34" s="2" t="s">
        <v>122</v>
      </c>
      <c r="F34" s="2" t="s">
        <v>30</v>
      </c>
      <c r="G34" s="2" t="s">
        <v>123</v>
      </c>
      <c r="H34" s="2" t="s">
        <v>23</v>
      </c>
      <c r="I34" s="2" t="s">
        <v>124</v>
      </c>
      <c r="J34" s="4">
        <v>89000.0</v>
      </c>
      <c r="K34" s="4">
        <v>1.0</v>
      </c>
      <c r="L34" s="4">
        <v>89000.0</v>
      </c>
      <c r="M34" s="4">
        <v>267000.0</v>
      </c>
      <c r="N34" s="2" t="s">
        <v>125</v>
      </c>
      <c r="O34" s="1" t="s">
        <v>34</v>
      </c>
    </row>
    <row r="35">
      <c r="C35" s="2" t="s">
        <v>121</v>
      </c>
      <c r="D35" s="3">
        <v>45732.0</v>
      </c>
      <c r="E35" s="2" t="s">
        <v>122</v>
      </c>
      <c r="F35" s="2" t="s">
        <v>30</v>
      </c>
      <c r="G35" s="2" t="s">
        <v>123</v>
      </c>
      <c r="H35" s="2" t="s">
        <v>23</v>
      </c>
      <c r="I35" s="2" t="s">
        <v>126</v>
      </c>
      <c r="J35" s="4">
        <v>89000.0</v>
      </c>
      <c r="K35" s="4">
        <v>1.0</v>
      </c>
      <c r="L35" s="4">
        <v>89000.0</v>
      </c>
      <c r="M35" s="4">
        <v>267000.0</v>
      </c>
      <c r="N35" s="2" t="s">
        <v>125</v>
      </c>
      <c r="O35" s="1" t="s">
        <v>48</v>
      </c>
    </row>
    <row r="36">
      <c r="C36" s="2" t="s">
        <v>121</v>
      </c>
      <c r="D36" s="3">
        <v>45732.0</v>
      </c>
      <c r="E36" s="2" t="s">
        <v>122</v>
      </c>
      <c r="F36" s="2" t="s">
        <v>30</v>
      </c>
      <c r="G36" s="2" t="s">
        <v>123</v>
      </c>
      <c r="H36" s="2" t="s">
        <v>23</v>
      </c>
      <c r="I36" s="2" t="s">
        <v>127</v>
      </c>
      <c r="J36" s="4">
        <v>89000.0</v>
      </c>
      <c r="K36" s="4">
        <v>1.0</v>
      </c>
      <c r="L36" s="4">
        <v>89000.0</v>
      </c>
      <c r="M36" s="4">
        <v>267000.0</v>
      </c>
      <c r="N36" s="2" t="s">
        <v>125</v>
      </c>
      <c r="O36" s="1" t="s">
        <v>64</v>
      </c>
    </row>
    <row r="37">
      <c r="C37" s="2" t="s">
        <v>128</v>
      </c>
      <c r="D37" s="3">
        <v>45732.0</v>
      </c>
      <c r="E37" s="2" t="s">
        <v>129</v>
      </c>
      <c r="F37" s="2" t="s">
        <v>30</v>
      </c>
      <c r="G37" s="2" t="s">
        <v>130</v>
      </c>
      <c r="H37" s="2" t="s">
        <v>3</v>
      </c>
      <c r="I37" s="2" t="s">
        <v>99</v>
      </c>
      <c r="J37" s="4">
        <v>199000.0</v>
      </c>
      <c r="K37" s="4">
        <v>1.0</v>
      </c>
      <c r="L37" s="4">
        <v>199000.0</v>
      </c>
      <c r="M37" s="4">
        <v>199000.0</v>
      </c>
      <c r="N37" s="2" t="s">
        <v>41</v>
      </c>
      <c r="O37" s="1" t="s">
        <v>48</v>
      </c>
    </row>
    <row r="38">
      <c r="C38" s="2" t="s">
        <v>131</v>
      </c>
      <c r="D38" s="3">
        <v>45733.0</v>
      </c>
      <c r="E38" s="2" t="s">
        <v>132</v>
      </c>
      <c r="F38" s="2" t="s">
        <v>45</v>
      </c>
      <c r="G38" s="2" t="s">
        <v>133</v>
      </c>
      <c r="H38" s="2" t="s">
        <v>3</v>
      </c>
      <c r="I38" s="2" t="s">
        <v>103</v>
      </c>
      <c r="J38" s="4">
        <v>199000.0</v>
      </c>
      <c r="K38" s="4">
        <v>1.0</v>
      </c>
      <c r="L38" s="4">
        <v>199000.0</v>
      </c>
      <c r="M38" s="4">
        <v>199000.0</v>
      </c>
      <c r="N38" s="2" t="s">
        <v>41</v>
      </c>
      <c r="O38" s="1" t="s">
        <v>57</v>
      </c>
    </row>
    <row r="39">
      <c r="C39" s="2" t="s">
        <v>134</v>
      </c>
      <c r="D39" s="3">
        <v>45734.0</v>
      </c>
      <c r="E39" s="2" t="s">
        <v>135</v>
      </c>
      <c r="F39" s="2" t="s">
        <v>45</v>
      </c>
      <c r="G39" s="2" t="s">
        <v>136</v>
      </c>
      <c r="H39" s="2" t="s">
        <v>3</v>
      </c>
      <c r="I39" s="2" t="s">
        <v>107</v>
      </c>
      <c r="J39" s="4">
        <v>199000.0</v>
      </c>
      <c r="K39" s="4">
        <v>1.0</v>
      </c>
      <c r="L39" s="4">
        <v>199000.0</v>
      </c>
      <c r="M39" s="4">
        <v>199000.0</v>
      </c>
      <c r="N39" s="2" t="s">
        <v>41</v>
      </c>
      <c r="O39" s="1" t="s">
        <v>108</v>
      </c>
    </row>
    <row r="40">
      <c r="C40" s="2" t="s">
        <v>137</v>
      </c>
      <c r="D40" s="3">
        <v>45735.0</v>
      </c>
      <c r="E40" s="2" t="s">
        <v>138</v>
      </c>
      <c r="F40" s="2" t="s">
        <v>30</v>
      </c>
      <c r="G40" s="2" t="s">
        <v>139</v>
      </c>
      <c r="H40" s="2" t="s">
        <v>26</v>
      </c>
      <c r="I40" s="2" t="s">
        <v>140</v>
      </c>
      <c r="J40" s="4">
        <v>89000.0</v>
      </c>
      <c r="K40" s="4">
        <v>1.0</v>
      </c>
      <c r="L40" s="4">
        <v>89000.0</v>
      </c>
      <c r="M40" s="4">
        <v>89000.0</v>
      </c>
      <c r="N40" s="2" t="s">
        <v>125</v>
      </c>
      <c r="O40" s="1" t="s">
        <v>42</v>
      </c>
    </row>
    <row r="41">
      <c r="C41" s="2" t="s">
        <v>141</v>
      </c>
      <c r="D41" s="3">
        <v>45735.0</v>
      </c>
      <c r="E41" s="2" t="s">
        <v>142</v>
      </c>
      <c r="F41" s="2" t="s">
        <v>30</v>
      </c>
      <c r="G41" s="2" t="s">
        <v>143</v>
      </c>
      <c r="H41" s="2" t="s">
        <v>3</v>
      </c>
      <c r="I41" s="2" t="s">
        <v>112</v>
      </c>
      <c r="J41" s="4">
        <v>329000.0</v>
      </c>
      <c r="K41" s="4">
        <v>1.0</v>
      </c>
      <c r="L41" s="4">
        <v>329000.0</v>
      </c>
      <c r="M41" s="4">
        <v>329000.0</v>
      </c>
      <c r="N41" s="2" t="s">
        <v>113</v>
      </c>
      <c r="O41" s="1" t="s">
        <v>34</v>
      </c>
    </row>
    <row r="42">
      <c r="C42" s="2" t="s">
        <v>144</v>
      </c>
      <c r="D42" s="3">
        <v>45736.0</v>
      </c>
      <c r="E42" s="2" t="s">
        <v>145</v>
      </c>
      <c r="F42" s="2" t="s">
        <v>37</v>
      </c>
      <c r="G42" s="2" t="s">
        <v>146</v>
      </c>
      <c r="H42" s="2" t="s">
        <v>1</v>
      </c>
      <c r="I42" s="2" t="s">
        <v>147</v>
      </c>
      <c r="J42" s="4">
        <v>89000.0</v>
      </c>
      <c r="K42" s="4">
        <v>1.0</v>
      </c>
      <c r="L42" s="4">
        <v>89000.0</v>
      </c>
      <c r="M42" s="4">
        <v>89000.0</v>
      </c>
      <c r="N42" s="2" t="s">
        <v>125</v>
      </c>
      <c r="O42" s="1" t="s">
        <v>57</v>
      </c>
    </row>
    <row r="43">
      <c r="C43" s="2" t="s">
        <v>148</v>
      </c>
      <c r="D43" s="3">
        <v>45736.0</v>
      </c>
      <c r="E43" s="2" t="s">
        <v>149</v>
      </c>
      <c r="F43" s="2" t="s">
        <v>37</v>
      </c>
      <c r="G43" s="2" t="s">
        <v>150</v>
      </c>
      <c r="H43" s="2" t="s">
        <v>3</v>
      </c>
      <c r="I43" s="2" t="s">
        <v>117</v>
      </c>
      <c r="J43" s="4">
        <v>329000.0</v>
      </c>
      <c r="K43" s="4">
        <v>1.0</v>
      </c>
      <c r="L43" s="4">
        <v>329000.0</v>
      </c>
      <c r="M43" s="4">
        <v>329000.0</v>
      </c>
      <c r="N43" s="2" t="s">
        <v>113</v>
      </c>
      <c r="O43" s="1" t="s">
        <v>48</v>
      </c>
    </row>
    <row r="44">
      <c r="C44" s="2" t="s">
        <v>151</v>
      </c>
      <c r="D44" s="3">
        <v>45737.0</v>
      </c>
      <c r="E44" s="2" t="s">
        <v>152</v>
      </c>
      <c r="F44" s="2" t="s">
        <v>37</v>
      </c>
      <c r="G44" s="2" t="s">
        <v>153</v>
      </c>
      <c r="H44" s="2" t="s">
        <v>1</v>
      </c>
      <c r="I44" s="2" t="s">
        <v>154</v>
      </c>
      <c r="J44" s="4">
        <v>89000.0</v>
      </c>
      <c r="K44" s="4">
        <v>2.0</v>
      </c>
      <c r="L44" s="4">
        <v>178000.0</v>
      </c>
      <c r="M44" s="4">
        <v>178000.0</v>
      </c>
      <c r="N44" s="2" t="s">
        <v>125</v>
      </c>
      <c r="O44" s="1" t="s">
        <v>108</v>
      </c>
    </row>
    <row r="45">
      <c r="C45" s="2" t="s">
        <v>155</v>
      </c>
      <c r="D45" s="3">
        <v>45737.0</v>
      </c>
      <c r="E45" s="2" t="s">
        <v>156</v>
      </c>
      <c r="F45" s="2" t="s">
        <v>45</v>
      </c>
      <c r="G45" s="2" t="s">
        <v>150</v>
      </c>
      <c r="H45" s="2" t="s">
        <v>3</v>
      </c>
      <c r="I45" s="2" t="s">
        <v>124</v>
      </c>
      <c r="J45" s="4">
        <v>89000.0</v>
      </c>
      <c r="K45" s="4">
        <v>1.0</v>
      </c>
      <c r="L45" s="4">
        <v>89000.0</v>
      </c>
      <c r="M45" s="4">
        <v>89000.0</v>
      </c>
      <c r="N45" s="2" t="s">
        <v>125</v>
      </c>
      <c r="O45" s="1" t="s">
        <v>34</v>
      </c>
    </row>
    <row r="46">
      <c r="C46" s="2" t="s">
        <v>157</v>
      </c>
      <c r="D46" s="3">
        <v>45738.0</v>
      </c>
      <c r="E46" s="2" t="s">
        <v>158</v>
      </c>
      <c r="F46" s="2" t="s">
        <v>37</v>
      </c>
      <c r="G46" s="2" t="s">
        <v>159</v>
      </c>
      <c r="H46" s="2" t="s">
        <v>1</v>
      </c>
      <c r="I46" s="2" t="s">
        <v>160</v>
      </c>
      <c r="J46" s="4">
        <v>189000.0</v>
      </c>
      <c r="K46" s="4">
        <v>1.0</v>
      </c>
      <c r="L46" s="4">
        <v>189000.0</v>
      </c>
      <c r="M46" s="4">
        <v>189000.0</v>
      </c>
      <c r="N46" s="2" t="s">
        <v>62</v>
      </c>
      <c r="O46" s="1" t="s">
        <v>48</v>
      </c>
    </row>
    <row r="47">
      <c r="C47" s="2" t="s">
        <v>161</v>
      </c>
      <c r="D47" s="3">
        <v>45738.0</v>
      </c>
      <c r="E47" s="2" t="s">
        <v>162</v>
      </c>
      <c r="F47" s="2" t="s">
        <v>45</v>
      </c>
      <c r="G47" s="2" t="s">
        <v>163</v>
      </c>
      <c r="H47" s="2" t="s">
        <v>3</v>
      </c>
      <c r="I47" s="2" t="s">
        <v>126</v>
      </c>
      <c r="J47" s="4">
        <v>89000.0</v>
      </c>
      <c r="K47" s="4">
        <v>1.0</v>
      </c>
      <c r="L47" s="4">
        <v>89000.0</v>
      </c>
      <c r="M47" s="4">
        <v>89000.0</v>
      </c>
      <c r="N47" s="2" t="s">
        <v>125</v>
      </c>
      <c r="O47" s="1" t="s">
        <v>48</v>
      </c>
    </row>
    <row r="48">
      <c r="C48" s="2" t="s">
        <v>164</v>
      </c>
      <c r="D48" s="3">
        <v>45739.0</v>
      </c>
      <c r="E48" s="2" t="s">
        <v>165</v>
      </c>
      <c r="F48" s="2" t="s">
        <v>30</v>
      </c>
      <c r="G48" s="2" t="s">
        <v>166</v>
      </c>
      <c r="H48" s="2" t="s">
        <v>1</v>
      </c>
      <c r="I48" s="2" t="s">
        <v>167</v>
      </c>
      <c r="J48" s="4">
        <v>129000.0</v>
      </c>
      <c r="K48" s="4">
        <v>1.0</v>
      </c>
      <c r="L48" s="4">
        <v>129000.0</v>
      </c>
      <c r="M48" s="4">
        <v>129000.0</v>
      </c>
      <c r="N48" s="2" t="s">
        <v>41</v>
      </c>
      <c r="O48" s="1" t="s">
        <v>34</v>
      </c>
    </row>
    <row r="49">
      <c r="C49" s="2" t="s">
        <v>168</v>
      </c>
      <c r="D49" s="3">
        <v>45739.0</v>
      </c>
      <c r="E49" s="2" t="s">
        <v>169</v>
      </c>
      <c r="F49" s="2" t="s">
        <v>30</v>
      </c>
      <c r="G49" s="2" t="s">
        <v>170</v>
      </c>
      <c r="H49" s="2" t="s">
        <v>3</v>
      </c>
      <c r="I49" s="2" t="s">
        <v>127</v>
      </c>
      <c r="J49" s="4">
        <v>89000.0</v>
      </c>
      <c r="K49" s="4">
        <v>2.0</v>
      </c>
      <c r="L49" s="4">
        <v>178000.0</v>
      </c>
      <c r="M49" s="4">
        <v>178000.0</v>
      </c>
      <c r="N49" s="2" t="s">
        <v>125</v>
      </c>
      <c r="O49" s="1" t="s">
        <v>64</v>
      </c>
    </row>
    <row r="50">
      <c r="C50" s="2" t="s">
        <v>171</v>
      </c>
      <c r="D50" s="3">
        <v>45740.0</v>
      </c>
      <c r="E50" s="2" t="s">
        <v>172</v>
      </c>
      <c r="F50" s="2" t="s">
        <v>30</v>
      </c>
      <c r="G50" s="2" t="s">
        <v>173</v>
      </c>
      <c r="H50" s="2" t="s">
        <v>1</v>
      </c>
      <c r="I50" s="2" t="s">
        <v>174</v>
      </c>
      <c r="J50" s="4">
        <v>129000.0</v>
      </c>
      <c r="K50" s="4">
        <v>1.0</v>
      </c>
      <c r="L50" s="4">
        <v>129000.0</v>
      </c>
      <c r="M50" s="4">
        <v>129000.0</v>
      </c>
      <c r="N50" s="2" t="s">
        <v>41</v>
      </c>
      <c r="O50" s="1" t="s">
        <v>57</v>
      </c>
    </row>
    <row r="51">
      <c r="C51" s="2" t="s">
        <v>175</v>
      </c>
      <c r="D51" s="3">
        <v>45740.0</v>
      </c>
      <c r="E51" s="2" t="s">
        <v>176</v>
      </c>
      <c r="F51" s="2" t="s">
        <v>177</v>
      </c>
      <c r="G51" s="2" t="s">
        <v>178</v>
      </c>
      <c r="H51" s="2" t="s">
        <v>3</v>
      </c>
      <c r="I51" s="2" t="s">
        <v>140</v>
      </c>
      <c r="J51" s="4">
        <v>89000.0</v>
      </c>
      <c r="K51" s="4">
        <v>1.0</v>
      </c>
      <c r="L51" s="4">
        <v>89000.0</v>
      </c>
      <c r="M51" s="4">
        <v>89000.0</v>
      </c>
      <c r="N51" s="2" t="s">
        <v>125</v>
      </c>
      <c r="O51" s="1" t="s">
        <v>42</v>
      </c>
    </row>
    <row r="52">
      <c r="C52" s="2" t="s">
        <v>179</v>
      </c>
      <c r="D52" s="3">
        <v>45741.0</v>
      </c>
      <c r="E52" s="2" t="s">
        <v>180</v>
      </c>
      <c r="F52" s="2" t="s">
        <v>45</v>
      </c>
      <c r="G52" s="2" t="s">
        <v>181</v>
      </c>
      <c r="H52" s="2" t="s">
        <v>1</v>
      </c>
      <c r="I52" s="2" t="s">
        <v>182</v>
      </c>
      <c r="J52" s="4">
        <v>129000.0</v>
      </c>
      <c r="K52" s="4">
        <v>1.0</v>
      </c>
      <c r="L52" s="4">
        <v>129000.0</v>
      </c>
      <c r="M52" s="4">
        <v>129000.0</v>
      </c>
      <c r="N52" s="2" t="s">
        <v>41</v>
      </c>
      <c r="O52" s="1" t="s">
        <v>64</v>
      </c>
    </row>
    <row r="53">
      <c r="C53" s="2" t="s">
        <v>183</v>
      </c>
      <c r="D53" s="3">
        <v>45741.0</v>
      </c>
      <c r="E53" s="2" t="s">
        <v>184</v>
      </c>
      <c r="F53" s="2" t="s">
        <v>30</v>
      </c>
      <c r="G53" s="2" t="s">
        <v>185</v>
      </c>
      <c r="H53" s="2" t="s">
        <v>3</v>
      </c>
      <c r="I53" s="2" t="s">
        <v>147</v>
      </c>
      <c r="J53" s="4">
        <v>89000.0</v>
      </c>
      <c r="K53" s="4">
        <v>1.0</v>
      </c>
      <c r="L53" s="4">
        <v>89000.0</v>
      </c>
      <c r="M53" s="4">
        <v>89000.0</v>
      </c>
      <c r="N53" s="2" t="s">
        <v>125</v>
      </c>
      <c r="O53" s="1" t="s">
        <v>57</v>
      </c>
    </row>
    <row r="54">
      <c r="C54" s="2" t="s">
        <v>186</v>
      </c>
      <c r="D54" s="3">
        <v>45742.0</v>
      </c>
      <c r="E54" s="2" t="s">
        <v>187</v>
      </c>
      <c r="F54" s="2" t="s">
        <v>30</v>
      </c>
      <c r="G54" s="2" t="s">
        <v>188</v>
      </c>
      <c r="H54" s="2" t="s">
        <v>1</v>
      </c>
      <c r="I54" s="2" t="s">
        <v>189</v>
      </c>
      <c r="J54" s="4">
        <v>129000.0</v>
      </c>
      <c r="K54" s="4">
        <v>1.0</v>
      </c>
      <c r="L54" s="4">
        <v>129000.0</v>
      </c>
      <c r="M54" s="4">
        <v>304000.0</v>
      </c>
      <c r="N54" s="2" t="s">
        <v>41</v>
      </c>
      <c r="O54" s="1" t="s">
        <v>48</v>
      </c>
    </row>
    <row r="55">
      <c r="C55" s="2" t="s">
        <v>186</v>
      </c>
      <c r="D55" s="3">
        <v>45742.0</v>
      </c>
      <c r="E55" s="2" t="s">
        <v>187</v>
      </c>
      <c r="F55" s="2" t="s">
        <v>30</v>
      </c>
      <c r="G55" s="2" t="s">
        <v>188</v>
      </c>
      <c r="H55" s="2" t="s">
        <v>1</v>
      </c>
      <c r="I55" s="2" t="s">
        <v>190</v>
      </c>
      <c r="J55" s="4">
        <v>175000.0</v>
      </c>
      <c r="K55" s="4">
        <v>1.0</v>
      </c>
      <c r="L55" s="4">
        <v>175000.0</v>
      </c>
      <c r="M55" s="4">
        <v>304000.0</v>
      </c>
      <c r="N55" s="2" t="s">
        <v>33</v>
      </c>
      <c r="O55" s="1" t="s">
        <v>57</v>
      </c>
    </row>
    <row r="56">
      <c r="C56" s="2" t="s">
        <v>191</v>
      </c>
      <c r="D56" s="3">
        <v>45742.0</v>
      </c>
      <c r="E56" s="2" t="s">
        <v>184</v>
      </c>
      <c r="F56" s="2" t="s">
        <v>30</v>
      </c>
      <c r="G56" s="2" t="s">
        <v>192</v>
      </c>
      <c r="H56" s="2" t="s">
        <v>3</v>
      </c>
      <c r="I56" s="2" t="s">
        <v>154</v>
      </c>
      <c r="J56" s="4">
        <v>89000.0</v>
      </c>
      <c r="K56" s="4">
        <v>3.0</v>
      </c>
      <c r="L56" s="4">
        <v>267000.0</v>
      </c>
      <c r="M56" s="4">
        <v>496000.0</v>
      </c>
      <c r="N56" s="2" t="s">
        <v>125</v>
      </c>
      <c r="O56" s="1" t="s">
        <v>108</v>
      </c>
    </row>
    <row r="57">
      <c r="C57" s="2" t="s">
        <v>191</v>
      </c>
      <c r="D57" s="3">
        <v>45742.0</v>
      </c>
      <c r="E57" s="2" t="s">
        <v>184</v>
      </c>
      <c r="F57" s="2" t="s">
        <v>30</v>
      </c>
      <c r="G57" s="2" t="s">
        <v>192</v>
      </c>
      <c r="H57" s="2" t="s">
        <v>3</v>
      </c>
      <c r="I57" s="2" t="s">
        <v>193</v>
      </c>
      <c r="J57" s="4">
        <v>229000.0</v>
      </c>
      <c r="K57" s="4">
        <v>1.0</v>
      </c>
      <c r="L57" s="4">
        <v>229000.0</v>
      </c>
      <c r="M57" s="4">
        <v>496000.0</v>
      </c>
      <c r="N57" s="2" t="s">
        <v>41</v>
      </c>
      <c r="O57" s="1" t="s">
        <v>64</v>
      </c>
    </row>
    <row r="58">
      <c r="C58" s="2" t="s">
        <v>194</v>
      </c>
      <c r="D58" s="3">
        <v>45744.0</v>
      </c>
      <c r="E58" s="2" t="s">
        <v>195</v>
      </c>
      <c r="F58" s="2" t="s">
        <v>45</v>
      </c>
      <c r="G58" s="2" t="s">
        <v>196</v>
      </c>
      <c r="H58" s="2" t="s">
        <v>39</v>
      </c>
      <c r="I58" s="2" t="s">
        <v>197</v>
      </c>
      <c r="J58" s="4">
        <v>175000.0</v>
      </c>
      <c r="K58" s="4">
        <v>1.0</v>
      </c>
      <c r="L58" s="4">
        <v>175000.0</v>
      </c>
      <c r="M58" s="4">
        <v>175000.0</v>
      </c>
      <c r="N58" s="2" t="s">
        <v>33</v>
      </c>
      <c r="O58" s="1" t="s">
        <v>198</v>
      </c>
    </row>
    <row r="59">
      <c r="C59" s="2" t="s">
        <v>199</v>
      </c>
      <c r="D59" s="3">
        <v>45744.0</v>
      </c>
      <c r="E59" s="2" t="s">
        <v>200</v>
      </c>
      <c r="F59" s="2" t="s">
        <v>30</v>
      </c>
      <c r="G59" s="2" t="s">
        <v>201</v>
      </c>
      <c r="H59" s="2" t="s">
        <v>27</v>
      </c>
      <c r="I59" s="2" t="s">
        <v>202</v>
      </c>
      <c r="J59" s="4">
        <v>229000.0</v>
      </c>
      <c r="K59" s="4">
        <v>1.0</v>
      </c>
      <c r="L59" s="4">
        <v>229000.0</v>
      </c>
      <c r="M59" s="4">
        <v>229000.0</v>
      </c>
      <c r="N59" s="2" t="s">
        <v>41</v>
      </c>
      <c r="O59" s="1" t="s">
        <v>198</v>
      </c>
    </row>
    <row r="60">
      <c r="C60" s="2" t="s">
        <v>203</v>
      </c>
      <c r="D60" s="3">
        <v>45745.0</v>
      </c>
      <c r="E60" s="2" t="s">
        <v>204</v>
      </c>
      <c r="F60" s="2" t="s">
        <v>45</v>
      </c>
      <c r="G60" s="2" t="s">
        <v>205</v>
      </c>
      <c r="H60" s="2" t="s">
        <v>39</v>
      </c>
      <c r="I60" s="2" t="s">
        <v>206</v>
      </c>
      <c r="J60" s="4">
        <v>199000.0</v>
      </c>
      <c r="K60" s="4">
        <v>1.0</v>
      </c>
      <c r="L60" s="4">
        <v>199000.0</v>
      </c>
      <c r="M60" s="4">
        <v>199000.0</v>
      </c>
      <c r="N60" s="2" t="s">
        <v>207</v>
      </c>
      <c r="O60" s="1" t="s">
        <v>34</v>
      </c>
    </row>
    <row r="61">
      <c r="C61" s="2" t="s">
        <v>208</v>
      </c>
      <c r="D61" s="3">
        <v>45745.0</v>
      </c>
      <c r="E61" s="2" t="s">
        <v>209</v>
      </c>
      <c r="F61" s="2" t="s">
        <v>45</v>
      </c>
      <c r="G61" s="2" t="s">
        <v>210</v>
      </c>
      <c r="H61" s="2" t="s">
        <v>11</v>
      </c>
      <c r="I61" s="2" t="s">
        <v>211</v>
      </c>
      <c r="J61" s="4">
        <v>229000.0</v>
      </c>
      <c r="K61" s="4">
        <v>1.0</v>
      </c>
      <c r="L61" s="4">
        <v>229000.0</v>
      </c>
      <c r="M61" s="4">
        <v>458000.0</v>
      </c>
      <c r="N61" s="2" t="s">
        <v>41</v>
      </c>
      <c r="O61" s="1" t="s">
        <v>48</v>
      </c>
    </row>
    <row r="62">
      <c r="C62" s="2" t="s">
        <v>208</v>
      </c>
      <c r="D62" s="3">
        <v>45745.0</v>
      </c>
      <c r="E62" s="2" t="s">
        <v>209</v>
      </c>
      <c r="F62" s="2" t="s">
        <v>45</v>
      </c>
      <c r="G62" s="2" t="s">
        <v>210</v>
      </c>
      <c r="H62" s="2" t="s">
        <v>11</v>
      </c>
      <c r="I62" s="2" t="s">
        <v>212</v>
      </c>
      <c r="J62" s="4">
        <v>229000.0</v>
      </c>
      <c r="K62" s="4">
        <v>1.0</v>
      </c>
      <c r="L62" s="4">
        <v>229000.0</v>
      </c>
      <c r="M62" s="4">
        <v>458000.0</v>
      </c>
      <c r="N62" s="2" t="s">
        <v>41</v>
      </c>
      <c r="O62" s="1" t="s">
        <v>34</v>
      </c>
    </row>
    <row r="63">
      <c r="C63" s="2" t="s">
        <v>213</v>
      </c>
      <c r="D63" s="3">
        <v>45746.0</v>
      </c>
      <c r="E63" s="2" t="s">
        <v>214</v>
      </c>
      <c r="F63" s="2" t="s">
        <v>30</v>
      </c>
      <c r="G63" s="2" t="s">
        <v>215</v>
      </c>
      <c r="H63" s="2" t="s">
        <v>39</v>
      </c>
      <c r="I63" s="2" t="s">
        <v>216</v>
      </c>
      <c r="J63" s="4">
        <v>199000.0</v>
      </c>
      <c r="K63" s="4">
        <v>2.0</v>
      </c>
      <c r="L63" s="4">
        <v>398000.0</v>
      </c>
      <c r="M63" s="4">
        <v>398000.0</v>
      </c>
      <c r="N63" s="2" t="s">
        <v>207</v>
      </c>
      <c r="O63" s="1" t="s">
        <v>64</v>
      </c>
    </row>
    <row r="64">
      <c r="C64" s="2" t="s">
        <v>217</v>
      </c>
      <c r="D64" s="3">
        <v>45747.0</v>
      </c>
      <c r="E64" s="2" t="s">
        <v>218</v>
      </c>
      <c r="F64" s="2" t="s">
        <v>30</v>
      </c>
      <c r="G64" s="2" t="s">
        <v>219</v>
      </c>
      <c r="H64" s="2" t="s">
        <v>39</v>
      </c>
      <c r="I64" s="2" t="s">
        <v>220</v>
      </c>
      <c r="J64" s="4">
        <v>149000.0</v>
      </c>
      <c r="K64" s="4">
        <v>1.0</v>
      </c>
      <c r="L64" s="4">
        <v>149000.0</v>
      </c>
      <c r="M64" s="4">
        <v>149000.0</v>
      </c>
      <c r="N64" s="2" t="s">
        <v>207</v>
      </c>
      <c r="O64" s="1" t="s">
        <v>34</v>
      </c>
    </row>
    <row r="65">
      <c r="C65" s="2" t="s">
        <v>221</v>
      </c>
      <c r="D65" s="3">
        <v>45747.0</v>
      </c>
      <c r="E65" s="2" t="s">
        <v>222</v>
      </c>
      <c r="F65" s="2" t="s">
        <v>45</v>
      </c>
      <c r="G65" s="2" t="s">
        <v>223</v>
      </c>
      <c r="H65" s="2" t="s">
        <v>14</v>
      </c>
      <c r="I65" s="2" t="s">
        <v>224</v>
      </c>
      <c r="J65" s="4">
        <v>229000.0</v>
      </c>
      <c r="K65" s="4">
        <v>1.0</v>
      </c>
      <c r="L65" s="4">
        <v>229000.0</v>
      </c>
      <c r="M65" s="4">
        <v>229000.0</v>
      </c>
      <c r="N65" s="2" t="s">
        <v>41</v>
      </c>
      <c r="O65" s="1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88"/>
    <col customWidth="1" min="2" max="2" width="20.25"/>
    <col customWidth="1" min="3" max="3" width="25.25"/>
    <col customWidth="1" min="4" max="4" width="15.63"/>
    <col customWidth="1" min="5" max="5" width="20.5"/>
    <col customWidth="1" min="7" max="7" width="31.63"/>
    <col customWidth="1" min="8" max="8" width="14.0"/>
    <col customWidth="1" min="9" max="9" width="13.0"/>
    <col customWidth="1" min="10" max="11" width="24.88"/>
    <col customWidth="1" min="12" max="12" width="12.88"/>
  </cols>
  <sheetData>
    <row r="1">
      <c r="A1" s="5" t="s">
        <v>225</v>
      </c>
      <c r="B1" s="6" t="s">
        <v>226</v>
      </c>
      <c r="C1" s="6" t="s">
        <v>227</v>
      </c>
      <c r="D1" s="6" t="s">
        <v>228</v>
      </c>
      <c r="E1" s="6" t="s">
        <v>229</v>
      </c>
      <c r="F1" s="6" t="s">
        <v>230</v>
      </c>
      <c r="G1" s="6" t="s">
        <v>231</v>
      </c>
      <c r="H1" s="7" t="s">
        <v>232</v>
      </c>
      <c r="I1" s="8" t="s">
        <v>233</v>
      </c>
      <c r="J1" s="9" t="s">
        <v>234</v>
      </c>
      <c r="K1" s="6" t="s">
        <v>235</v>
      </c>
      <c r="L1" s="6" t="s">
        <v>236</v>
      </c>
      <c r="M1" s="10" t="s">
        <v>237</v>
      </c>
      <c r="N1" s="10" t="s">
        <v>238</v>
      </c>
      <c r="O1" s="10" t="s">
        <v>239</v>
      </c>
      <c r="P1" s="10" t="s">
        <v>240</v>
      </c>
      <c r="Q1" s="10" t="s">
        <v>241</v>
      </c>
      <c r="R1" s="10" t="s">
        <v>242</v>
      </c>
      <c r="S1" s="10" t="s">
        <v>243</v>
      </c>
      <c r="T1" s="10" t="s">
        <v>244</v>
      </c>
      <c r="U1" s="10" t="s">
        <v>245</v>
      </c>
      <c r="V1" s="10" t="s">
        <v>246</v>
      </c>
      <c r="W1" s="10" t="s">
        <v>247</v>
      </c>
      <c r="X1" s="10" t="s">
        <v>248</v>
      </c>
      <c r="Y1" s="10" t="s">
        <v>249</v>
      </c>
      <c r="Z1" s="10" t="s">
        <v>250</v>
      </c>
      <c r="AA1" s="11" t="s">
        <v>251</v>
      </c>
    </row>
    <row r="2">
      <c r="A2" s="12" t="s">
        <v>252</v>
      </c>
      <c r="B2" s="13">
        <v>45658.0</v>
      </c>
      <c r="C2" s="14" t="s">
        <v>253</v>
      </c>
      <c r="D2" s="14" t="s">
        <v>45</v>
      </c>
      <c r="E2" s="15" t="s">
        <v>254</v>
      </c>
      <c r="F2" s="16" t="s">
        <v>39</v>
      </c>
      <c r="G2" s="16" t="s">
        <v>160</v>
      </c>
      <c r="H2" s="17">
        <v>189000.0</v>
      </c>
      <c r="I2" s="18">
        <v>1.0</v>
      </c>
      <c r="J2" s="19">
        <v>189000.0</v>
      </c>
      <c r="K2" s="17">
        <v>189000.0</v>
      </c>
      <c r="L2" s="16" t="s">
        <v>62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1"/>
    </row>
    <row r="3">
      <c r="A3" s="12" t="s">
        <v>255</v>
      </c>
      <c r="B3" s="13">
        <v>45658.0</v>
      </c>
      <c r="C3" s="14" t="s">
        <v>256</v>
      </c>
      <c r="D3" s="14" t="s">
        <v>30</v>
      </c>
      <c r="E3" s="15" t="s">
        <v>257</v>
      </c>
      <c r="F3" s="16" t="s">
        <v>1</v>
      </c>
      <c r="G3" s="16" t="s">
        <v>117</v>
      </c>
      <c r="H3" s="17">
        <v>329000.0</v>
      </c>
      <c r="I3" s="22">
        <v>1.0</v>
      </c>
      <c r="J3" s="18">
        <v>329000.0</v>
      </c>
      <c r="K3" s="17">
        <v>329000.0</v>
      </c>
      <c r="L3" s="16" t="s">
        <v>113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4"/>
    </row>
    <row r="4">
      <c r="A4" s="12" t="s">
        <v>258</v>
      </c>
      <c r="B4" s="13">
        <v>45658.0</v>
      </c>
      <c r="C4" s="14" t="s">
        <v>259</v>
      </c>
      <c r="D4" s="14" t="s">
        <v>45</v>
      </c>
      <c r="E4" s="15" t="s">
        <v>260</v>
      </c>
      <c r="F4" s="16" t="s">
        <v>2</v>
      </c>
      <c r="G4" s="16" t="s">
        <v>84</v>
      </c>
      <c r="H4" s="17">
        <v>199000.0</v>
      </c>
      <c r="I4" s="22">
        <v>1.0</v>
      </c>
      <c r="J4" s="18">
        <v>199000.0</v>
      </c>
      <c r="K4" s="17">
        <v>199000.0</v>
      </c>
      <c r="L4" s="16" t="s">
        <v>41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1"/>
    </row>
    <row r="5">
      <c r="A5" s="12" t="s">
        <v>261</v>
      </c>
      <c r="B5" s="13">
        <v>45658.0</v>
      </c>
      <c r="C5" s="14" t="s">
        <v>262</v>
      </c>
      <c r="D5" s="14" t="s">
        <v>30</v>
      </c>
      <c r="E5" s="15" t="s">
        <v>263</v>
      </c>
      <c r="F5" s="16" t="s">
        <v>3</v>
      </c>
      <c r="G5" s="16" t="s">
        <v>220</v>
      </c>
      <c r="H5" s="17">
        <v>149000.0</v>
      </c>
      <c r="I5" s="22">
        <v>1.0</v>
      </c>
      <c r="J5" s="18">
        <v>149000.0</v>
      </c>
      <c r="K5" s="17">
        <v>149000.0</v>
      </c>
      <c r="L5" s="16" t="s">
        <v>207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4"/>
    </row>
    <row r="6">
      <c r="A6" s="12" t="s">
        <v>264</v>
      </c>
      <c r="B6" s="13">
        <v>45659.0</v>
      </c>
      <c r="C6" s="14" t="s">
        <v>265</v>
      </c>
      <c r="D6" s="14" t="s">
        <v>30</v>
      </c>
      <c r="E6" s="15" t="s">
        <v>266</v>
      </c>
      <c r="F6" s="16" t="s">
        <v>1</v>
      </c>
      <c r="G6" s="16" t="s">
        <v>167</v>
      </c>
      <c r="H6" s="17">
        <v>129000.0</v>
      </c>
      <c r="I6" s="18">
        <v>3.0</v>
      </c>
      <c r="J6" s="18">
        <v>387000.0</v>
      </c>
      <c r="K6" s="17">
        <v>387000.0</v>
      </c>
      <c r="L6" s="16" t="s">
        <v>41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1"/>
    </row>
    <row r="7">
      <c r="A7" s="12" t="s">
        <v>267</v>
      </c>
      <c r="B7" s="13">
        <v>45659.0</v>
      </c>
      <c r="C7" s="14" t="s">
        <v>268</v>
      </c>
      <c r="D7" s="14" t="s">
        <v>37</v>
      </c>
      <c r="E7" s="15" t="s">
        <v>269</v>
      </c>
      <c r="F7" s="16" t="s">
        <v>1</v>
      </c>
      <c r="G7" s="16" t="s">
        <v>124</v>
      </c>
      <c r="H7" s="17">
        <v>89000.0</v>
      </c>
      <c r="I7" s="22">
        <v>1.0</v>
      </c>
      <c r="J7" s="18">
        <v>89000.0</v>
      </c>
      <c r="K7" s="17">
        <v>178000.0</v>
      </c>
      <c r="L7" s="16" t="s">
        <v>125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4"/>
    </row>
    <row r="8">
      <c r="A8" s="12" t="s">
        <v>267</v>
      </c>
      <c r="B8" s="13">
        <v>45659.0</v>
      </c>
      <c r="C8" s="14" t="s">
        <v>268</v>
      </c>
      <c r="D8" s="14" t="s">
        <v>37</v>
      </c>
      <c r="E8" s="15" t="s">
        <v>269</v>
      </c>
      <c r="F8" s="16" t="s">
        <v>1</v>
      </c>
      <c r="G8" s="16" t="s">
        <v>126</v>
      </c>
      <c r="H8" s="17">
        <v>89000.0</v>
      </c>
      <c r="I8" s="22">
        <v>1.0</v>
      </c>
      <c r="J8" s="18">
        <v>89000.0</v>
      </c>
      <c r="K8" s="17">
        <v>178000.0</v>
      </c>
      <c r="L8" s="16" t="s">
        <v>125</v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1"/>
    </row>
    <row r="9">
      <c r="A9" s="12" t="s">
        <v>270</v>
      </c>
      <c r="B9" s="13">
        <v>45659.0</v>
      </c>
      <c r="C9" s="14" t="s">
        <v>271</v>
      </c>
      <c r="D9" s="14" t="s">
        <v>30</v>
      </c>
      <c r="E9" s="15" t="s">
        <v>272</v>
      </c>
      <c r="F9" s="16" t="s">
        <v>4</v>
      </c>
      <c r="G9" s="16" t="s">
        <v>85</v>
      </c>
      <c r="H9" s="17">
        <v>199000.0</v>
      </c>
      <c r="I9" s="22">
        <v>1.0</v>
      </c>
      <c r="J9" s="18">
        <v>199000.0</v>
      </c>
      <c r="K9" s="17">
        <v>597000.0</v>
      </c>
      <c r="L9" s="16" t="s">
        <v>41</v>
      </c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4"/>
    </row>
    <row r="10">
      <c r="A10" s="12" t="s">
        <v>270</v>
      </c>
      <c r="B10" s="13">
        <v>45659.0</v>
      </c>
      <c r="C10" s="14" t="s">
        <v>271</v>
      </c>
      <c r="D10" s="14" t="s">
        <v>30</v>
      </c>
      <c r="E10" s="15" t="s">
        <v>272</v>
      </c>
      <c r="F10" s="16" t="s">
        <v>4</v>
      </c>
      <c r="G10" s="16" t="s">
        <v>95</v>
      </c>
      <c r="H10" s="17">
        <v>199000.0</v>
      </c>
      <c r="I10" s="22">
        <v>2.0</v>
      </c>
      <c r="J10" s="18">
        <v>398000.0</v>
      </c>
      <c r="K10" s="17">
        <v>597000.0</v>
      </c>
      <c r="L10" s="16" t="s">
        <v>41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1"/>
    </row>
    <row r="11">
      <c r="A11" s="12" t="s">
        <v>273</v>
      </c>
      <c r="B11" s="13">
        <v>45659.0</v>
      </c>
      <c r="C11" s="14" t="s">
        <v>274</v>
      </c>
      <c r="D11" s="14" t="s">
        <v>30</v>
      </c>
      <c r="E11" s="15" t="s">
        <v>275</v>
      </c>
      <c r="F11" s="16" t="s">
        <v>5</v>
      </c>
      <c r="G11" s="16" t="s">
        <v>276</v>
      </c>
      <c r="H11" s="17">
        <v>149000.0</v>
      </c>
      <c r="I11" s="22">
        <v>1.0</v>
      </c>
      <c r="J11" s="18">
        <v>149000.0</v>
      </c>
      <c r="K11" s="17">
        <v>149000.0</v>
      </c>
      <c r="L11" s="16" t="s">
        <v>207</v>
      </c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4"/>
    </row>
    <row r="12">
      <c r="A12" s="12" t="s">
        <v>277</v>
      </c>
      <c r="B12" s="13">
        <v>45660.0</v>
      </c>
      <c r="C12" s="14" t="s">
        <v>278</v>
      </c>
      <c r="D12" s="14" t="s">
        <v>45</v>
      </c>
      <c r="E12" s="15" t="s">
        <v>279</v>
      </c>
      <c r="F12" s="16" t="s">
        <v>2</v>
      </c>
      <c r="G12" s="16" t="s">
        <v>174</v>
      </c>
      <c r="H12" s="17">
        <v>129000.0</v>
      </c>
      <c r="I12" s="18">
        <v>1.0</v>
      </c>
      <c r="J12" s="18">
        <v>129000.0</v>
      </c>
      <c r="K12" s="17">
        <v>129000.0</v>
      </c>
      <c r="L12" s="16" t="s">
        <v>41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1"/>
    </row>
    <row r="13">
      <c r="A13" s="12" t="s">
        <v>280</v>
      </c>
      <c r="B13" s="13">
        <v>45660.0</v>
      </c>
      <c r="C13" s="14" t="s">
        <v>281</v>
      </c>
      <c r="D13" s="14" t="s">
        <v>45</v>
      </c>
      <c r="E13" s="15" t="s">
        <v>282</v>
      </c>
      <c r="F13" s="16" t="s">
        <v>7</v>
      </c>
      <c r="G13" s="16" t="s">
        <v>283</v>
      </c>
      <c r="H13" s="17">
        <v>149000.0</v>
      </c>
      <c r="I13" s="22">
        <v>2.0</v>
      </c>
      <c r="J13" s="18">
        <v>298000.0</v>
      </c>
      <c r="K13" s="17">
        <v>876000.0</v>
      </c>
      <c r="L13" s="16" t="s">
        <v>207</v>
      </c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4"/>
    </row>
    <row r="14">
      <c r="A14" s="12" t="s">
        <v>280</v>
      </c>
      <c r="B14" s="13">
        <v>45660.0</v>
      </c>
      <c r="C14" s="14" t="s">
        <v>281</v>
      </c>
      <c r="D14" s="14" t="s">
        <v>30</v>
      </c>
      <c r="E14" s="15" t="s">
        <v>282</v>
      </c>
      <c r="F14" s="16" t="s">
        <v>7</v>
      </c>
      <c r="G14" s="16" t="s">
        <v>284</v>
      </c>
      <c r="H14" s="17">
        <v>349000.0</v>
      </c>
      <c r="I14" s="18">
        <v>1.0</v>
      </c>
      <c r="J14" s="18">
        <v>349000.0</v>
      </c>
      <c r="K14" s="17">
        <v>876000.0</v>
      </c>
      <c r="L14" s="16" t="s">
        <v>207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1"/>
    </row>
    <row r="15">
      <c r="A15" s="12" t="s">
        <v>280</v>
      </c>
      <c r="B15" s="13">
        <v>45660.0</v>
      </c>
      <c r="C15" s="14" t="s">
        <v>281</v>
      </c>
      <c r="D15" s="14" t="s">
        <v>30</v>
      </c>
      <c r="E15" s="15" t="s">
        <v>282</v>
      </c>
      <c r="F15" s="16" t="s">
        <v>7</v>
      </c>
      <c r="G15" s="16" t="s">
        <v>285</v>
      </c>
      <c r="H15" s="17">
        <v>229000.0</v>
      </c>
      <c r="I15" s="22">
        <v>1.0</v>
      </c>
      <c r="J15" s="18">
        <v>229000.0</v>
      </c>
      <c r="K15" s="17">
        <v>876000.0</v>
      </c>
      <c r="L15" s="16" t="s">
        <v>41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4"/>
    </row>
    <row r="16">
      <c r="A16" s="12" t="s">
        <v>286</v>
      </c>
      <c r="B16" s="13">
        <v>45661.0</v>
      </c>
      <c r="C16" s="14" t="s">
        <v>287</v>
      </c>
      <c r="D16" s="14" t="s">
        <v>45</v>
      </c>
      <c r="E16" s="15" t="s">
        <v>288</v>
      </c>
      <c r="F16" s="16" t="s">
        <v>8</v>
      </c>
      <c r="G16" s="16" t="s">
        <v>182</v>
      </c>
      <c r="H16" s="17">
        <v>129000.0</v>
      </c>
      <c r="I16" s="18">
        <v>1.0</v>
      </c>
      <c r="J16" s="18">
        <v>129000.0</v>
      </c>
      <c r="K16" s="17">
        <v>129000.0</v>
      </c>
      <c r="L16" s="16" t="s">
        <v>41</v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1"/>
    </row>
    <row r="17">
      <c r="A17" s="12" t="s">
        <v>289</v>
      </c>
      <c r="B17" s="13">
        <v>45661.0</v>
      </c>
      <c r="C17" s="14" t="s">
        <v>290</v>
      </c>
      <c r="D17" s="14" t="s">
        <v>30</v>
      </c>
      <c r="E17" s="15" t="s">
        <v>291</v>
      </c>
      <c r="F17" s="16" t="s">
        <v>39</v>
      </c>
      <c r="G17" s="16" t="s">
        <v>127</v>
      </c>
      <c r="H17" s="17">
        <v>89000.0</v>
      </c>
      <c r="I17" s="22">
        <v>1.0</v>
      </c>
      <c r="J17" s="18">
        <v>89000.0</v>
      </c>
      <c r="K17" s="17">
        <v>89000.0</v>
      </c>
      <c r="L17" s="16" t="s">
        <v>125</v>
      </c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4"/>
    </row>
    <row r="18">
      <c r="A18" s="12" t="s">
        <v>292</v>
      </c>
      <c r="B18" s="13">
        <v>45661.0</v>
      </c>
      <c r="C18" s="14" t="s">
        <v>293</v>
      </c>
      <c r="D18" s="14" t="s">
        <v>30</v>
      </c>
      <c r="E18" s="15" t="s">
        <v>294</v>
      </c>
      <c r="F18" s="16" t="s">
        <v>9</v>
      </c>
      <c r="G18" s="16" t="s">
        <v>99</v>
      </c>
      <c r="H18" s="17">
        <v>199000.0</v>
      </c>
      <c r="I18" s="22">
        <v>1.0</v>
      </c>
      <c r="J18" s="18">
        <v>199000.0</v>
      </c>
      <c r="K18" s="17">
        <v>199000.0</v>
      </c>
      <c r="L18" s="16" t="s">
        <v>41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1"/>
    </row>
    <row r="19">
      <c r="A19" s="12" t="s">
        <v>295</v>
      </c>
      <c r="B19" s="13">
        <v>45662.0</v>
      </c>
      <c r="C19" s="14" t="s">
        <v>296</v>
      </c>
      <c r="D19" s="14" t="s">
        <v>45</v>
      </c>
      <c r="E19" s="15" t="s">
        <v>297</v>
      </c>
      <c r="F19" s="16" t="s">
        <v>10</v>
      </c>
      <c r="G19" s="16" t="s">
        <v>189</v>
      </c>
      <c r="H19" s="17">
        <v>129000.0</v>
      </c>
      <c r="I19" s="18">
        <v>1.0</v>
      </c>
      <c r="J19" s="18">
        <v>129000.0</v>
      </c>
      <c r="K19" s="17">
        <v>129000.0</v>
      </c>
      <c r="L19" s="16" t="s">
        <v>41</v>
      </c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4"/>
    </row>
    <row r="20">
      <c r="A20" s="12" t="s">
        <v>298</v>
      </c>
      <c r="B20" s="13">
        <v>45662.0</v>
      </c>
      <c r="C20" s="14" t="s">
        <v>299</v>
      </c>
      <c r="D20" s="14" t="s">
        <v>30</v>
      </c>
      <c r="E20" s="15" t="s">
        <v>300</v>
      </c>
      <c r="F20" s="16" t="s">
        <v>11</v>
      </c>
      <c r="G20" s="16" t="s">
        <v>140</v>
      </c>
      <c r="H20" s="17">
        <v>89000.0</v>
      </c>
      <c r="I20" s="22">
        <v>1.0</v>
      </c>
      <c r="J20" s="18">
        <v>89000.0</v>
      </c>
      <c r="K20" s="17">
        <v>89000.0</v>
      </c>
      <c r="L20" s="16" t="s">
        <v>125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1"/>
    </row>
    <row r="21">
      <c r="A21" s="12" t="s">
        <v>301</v>
      </c>
      <c r="B21" s="13">
        <v>45662.0</v>
      </c>
      <c r="C21" s="14" t="s">
        <v>302</v>
      </c>
      <c r="D21" s="14" t="s">
        <v>30</v>
      </c>
      <c r="E21" s="15" t="s">
        <v>303</v>
      </c>
      <c r="F21" s="16" t="s">
        <v>8</v>
      </c>
      <c r="G21" s="16" t="s">
        <v>103</v>
      </c>
      <c r="H21" s="17">
        <v>199000.0</v>
      </c>
      <c r="I21" s="18">
        <v>1.0</v>
      </c>
      <c r="J21" s="18">
        <v>199000.0</v>
      </c>
      <c r="K21" s="17">
        <v>199000.0</v>
      </c>
      <c r="L21" s="16" t="s">
        <v>41</v>
      </c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4"/>
    </row>
    <row r="22">
      <c r="A22" s="12" t="s">
        <v>304</v>
      </c>
      <c r="B22" s="13">
        <v>45663.0</v>
      </c>
      <c r="C22" s="14" t="s">
        <v>305</v>
      </c>
      <c r="D22" s="14" t="s">
        <v>30</v>
      </c>
      <c r="E22" s="15" t="s">
        <v>306</v>
      </c>
      <c r="F22" s="16" t="s">
        <v>7</v>
      </c>
      <c r="G22" s="16" t="s">
        <v>190</v>
      </c>
      <c r="H22" s="17">
        <v>175000.0</v>
      </c>
      <c r="I22" s="22">
        <v>1.0</v>
      </c>
      <c r="J22" s="18">
        <v>175000.0</v>
      </c>
      <c r="K22" s="17">
        <v>175000.0</v>
      </c>
      <c r="L22" s="16" t="s">
        <v>33</v>
      </c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1"/>
    </row>
    <row r="23">
      <c r="A23" s="12" t="s">
        <v>307</v>
      </c>
      <c r="B23" s="13">
        <v>45663.0</v>
      </c>
      <c r="C23" s="14" t="s">
        <v>308</v>
      </c>
      <c r="D23" s="14" t="s">
        <v>30</v>
      </c>
      <c r="E23" s="15" t="s">
        <v>309</v>
      </c>
      <c r="F23" s="16" t="s">
        <v>12</v>
      </c>
      <c r="G23" s="16" t="s">
        <v>147</v>
      </c>
      <c r="H23" s="17">
        <v>89000.0</v>
      </c>
      <c r="I23" s="22">
        <v>1.0</v>
      </c>
      <c r="J23" s="18">
        <v>89000.0</v>
      </c>
      <c r="K23" s="17">
        <v>89000.0</v>
      </c>
      <c r="L23" s="16" t="s">
        <v>125</v>
      </c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4"/>
    </row>
    <row r="24">
      <c r="A24" s="12" t="s">
        <v>310</v>
      </c>
      <c r="B24" s="13">
        <v>45663.0</v>
      </c>
      <c r="C24" s="14" t="s">
        <v>311</v>
      </c>
      <c r="D24" s="14" t="s">
        <v>30</v>
      </c>
      <c r="E24" s="15" t="s">
        <v>312</v>
      </c>
      <c r="F24" s="16" t="s">
        <v>13</v>
      </c>
      <c r="G24" s="16" t="s">
        <v>160</v>
      </c>
      <c r="H24" s="17">
        <v>189000.0</v>
      </c>
      <c r="I24" s="18">
        <v>3.0</v>
      </c>
      <c r="J24" s="18">
        <v>567000.0</v>
      </c>
      <c r="K24" s="17">
        <v>567000.0</v>
      </c>
      <c r="L24" s="16" t="s">
        <v>62</v>
      </c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1"/>
    </row>
    <row r="25">
      <c r="A25" s="12" t="s">
        <v>313</v>
      </c>
      <c r="B25" s="13">
        <v>45663.0</v>
      </c>
      <c r="C25" s="14" t="s">
        <v>314</v>
      </c>
      <c r="D25" s="14" t="s">
        <v>45</v>
      </c>
      <c r="E25" s="15" t="s">
        <v>315</v>
      </c>
      <c r="F25" s="16" t="s">
        <v>14</v>
      </c>
      <c r="G25" s="16" t="s">
        <v>193</v>
      </c>
      <c r="H25" s="17">
        <v>229000.0</v>
      </c>
      <c r="I25" s="22">
        <v>1.0</v>
      </c>
      <c r="J25" s="18">
        <v>229000.0</v>
      </c>
      <c r="K25" s="17">
        <v>229000.0</v>
      </c>
      <c r="L25" s="16" t="s">
        <v>41</v>
      </c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4"/>
    </row>
    <row r="26">
      <c r="A26" s="12" t="s">
        <v>316</v>
      </c>
      <c r="B26" s="13">
        <v>45664.0</v>
      </c>
      <c r="C26" s="14" t="s">
        <v>317</v>
      </c>
      <c r="D26" s="14" t="s">
        <v>37</v>
      </c>
      <c r="E26" s="15" t="s">
        <v>318</v>
      </c>
      <c r="F26" s="16" t="s">
        <v>15</v>
      </c>
      <c r="G26" s="16" t="s">
        <v>197</v>
      </c>
      <c r="H26" s="17">
        <v>175000.0</v>
      </c>
      <c r="I26" s="22">
        <v>1.0</v>
      </c>
      <c r="J26" s="18">
        <v>175000.0</v>
      </c>
      <c r="K26" s="17">
        <v>573000.0</v>
      </c>
      <c r="L26" s="16" t="s">
        <v>33</v>
      </c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1"/>
    </row>
    <row r="27">
      <c r="A27" s="12" t="s">
        <v>316</v>
      </c>
      <c r="B27" s="13">
        <v>45664.0</v>
      </c>
      <c r="C27" s="14" t="s">
        <v>317</v>
      </c>
      <c r="D27" s="14" t="s">
        <v>37</v>
      </c>
      <c r="E27" s="15" t="s">
        <v>318</v>
      </c>
      <c r="F27" s="16" t="s">
        <v>15</v>
      </c>
      <c r="G27" s="16" t="s">
        <v>206</v>
      </c>
      <c r="H27" s="17">
        <v>199000.0</v>
      </c>
      <c r="I27" s="22">
        <v>1.0</v>
      </c>
      <c r="J27" s="18">
        <v>199000.0</v>
      </c>
      <c r="K27" s="17">
        <v>573000.0</v>
      </c>
      <c r="L27" s="16" t="s">
        <v>207</v>
      </c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4"/>
    </row>
    <row r="28">
      <c r="A28" s="12" t="s">
        <v>316</v>
      </c>
      <c r="B28" s="13">
        <v>45664.0</v>
      </c>
      <c r="C28" s="14" t="s">
        <v>317</v>
      </c>
      <c r="D28" s="14" t="s">
        <v>37</v>
      </c>
      <c r="E28" s="15" t="s">
        <v>318</v>
      </c>
      <c r="F28" s="16" t="s">
        <v>15</v>
      </c>
      <c r="G28" s="16" t="s">
        <v>216</v>
      </c>
      <c r="H28" s="17">
        <v>199000.0</v>
      </c>
      <c r="I28" s="22">
        <v>1.0</v>
      </c>
      <c r="J28" s="18">
        <v>199000.0</v>
      </c>
      <c r="K28" s="17">
        <v>573000.0</v>
      </c>
      <c r="L28" s="16" t="s">
        <v>207</v>
      </c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1"/>
    </row>
    <row r="29">
      <c r="A29" s="12" t="s">
        <v>319</v>
      </c>
      <c r="B29" s="13">
        <v>45664.0</v>
      </c>
      <c r="C29" s="14" t="s">
        <v>320</v>
      </c>
      <c r="D29" s="14" t="s">
        <v>30</v>
      </c>
      <c r="E29" s="15" t="s">
        <v>321</v>
      </c>
      <c r="F29" s="16" t="s">
        <v>1</v>
      </c>
      <c r="G29" s="16" t="s">
        <v>154</v>
      </c>
      <c r="H29" s="17">
        <v>89000.0</v>
      </c>
      <c r="I29" s="22">
        <v>1.0</v>
      </c>
      <c r="J29" s="18">
        <v>89000.0</v>
      </c>
      <c r="K29" s="17">
        <v>596000.0</v>
      </c>
      <c r="L29" s="16" t="s">
        <v>125</v>
      </c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4"/>
    </row>
    <row r="30">
      <c r="A30" s="12" t="s">
        <v>319</v>
      </c>
      <c r="B30" s="13">
        <v>45664.0</v>
      </c>
      <c r="C30" s="14" t="s">
        <v>320</v>
      </c>
      <c r="D30" s="14" t="s">
        <v>30</v>
      </c>
      <c r="E30" s="15" t="s">
        <v>321</v>
      </c>
      <c r="F30" s="16" t="s">
        <v>1</v>
      </c>
      <c r="G30" s="16" t="s">
        <v>160</v>
      </c>
      <c r="H30" s="17">
        <v>189000.0</v>
      </c>
      <c r="I30" s="22">
        <v>2.0</v>
      </c>
      <c r="J30" s="18">
        <v>378000.0</v>
      </c>
      <c r="K30" s="17">
        <v>596000.0</v>
      </c>
      <c r="L30" s="16" t="s">
        <v>62</v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1"/>
    </row>
    <row r="31">
      <c r="A31" s="12" t="s">
        <v>319</v>
      </c>
      <c r="B31" s="13">
        <v>45664.0</v>
      </c>
      <c r="C31" s="14" t="s">
        <v>320</v>
      </c>
      <c r="D31" s="14" t="s">
        <v>30</v>
      </c>
      <c r="E31" s="15" t="s">
        <v>321</v>
      </c>
      <c r="F31" s="16" t="s">
        <v>1</v>
      </c>
      <c r="G31" s="16" t="s">
        <v>167</v>
      </c>
      <c r="H31" s="17">
        <v>129000.0</v>
      </c>
      <c r="I31" s="22">
        <v>1.0</v>
      </c>
      <c r="J31" s="18">
        <v>129000.0</v>
      </c>
      <c r="K31" s="17">
        <v>596000.0</v>
      </c>
      <c r="L31" s="16" t="s">
        <v>41</v>
      </c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4"/>
    </row>
    <row r="32">
      <c r="A32" s="12" t="s">
        <v>322</v>
      </c>
      <c r="B32" s="13">
        <v>45664.0</v>
      </c>
      <c r="C32" s="14" t="s">
        <v>323</v>
      </c>
      <c r="D32" s="14" t="s">
        <v>30</v>
      </c>
      <c r="E32" s="15" t="s">
        <v>324</v>
      </c>
      <c r="F32" s="16" t="s">
        <v>16</v>
      </c>
      <c r="G32" s="16" t="s">
        <v>167</v>
      </c>
      <c r="H32" s="17">
        <v>129000.0</v>
      </c>
      <c r="I32" s="18">
        <v>1.0</v>
      </c>
      <c r="J32" s="18">
        <v>129000.0</v>
      </c>
      <c r="K32" s="17">
        <v>516000.0</v>
      </c>
      <c r="L32" s="16" t="s">
        <v>41</v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1"/>
    </row>
    <row r="33">
      <c r="A33" s="12" t="s">
        <v>322</v>
      </c>
      <c r="B33" s="13">
        <v>45664.0</v>
      </c>
      <c r="C33" s="14" t="s">
        <v>323</v>
      </c>
      <c r="D33" s="14" t="s">
        <v>30</v>
      </c>
      <c r="E33" s="15" t="s">
        <v>324</v>
      </c>
      <c r="F33" s="16" t="s">
        <v>16</v>
      </c>
      <c r="G33" s="16" t="s">
        <v>174</v>
      </c>
      <c r="H33" s="17">
        <v>129000.0</v>
      </c>
      <c r="I33" s="18">
        <v>1.0</v>
      </c>
      <c r="J33" s="18">
        <v>129000.0</v>
      </c>
      <c r="K33" s="17">
        <v>516000.0</v>
      </c>
      <c r="L33" s="16" t="s">
        <v>41</v>
      </c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4"/>
    </row>
    <row r="34">
      <c r="A34" s="12" t="s">
        <v>322</v>
      </c>
      <c r="B34" s="13">
        <v>45664.0</v>
      </c>
      <c r="C34" s="14" t="s">
        <v>323</v>
      </c>
      <c r="D34" s="14" t="s">
        <v>30</v>
      </c>
      <c r="E34" s="15" t="s">
        <v>324</v>
      </c>
      <c r="F34" s="16" t="s">
        <v>16</v>
      </c>
      <c r="G34" s="16" t="s">
        <v>182</v>
      </c>
      <c r="H34" s="17">
        <v>129000.0</v>
      </c>
      <c r="I34" s="18">
        <v>1.0</v>
      </c>
      <c r="J34" s="18">
        <v>129000.0</v>
      </c>
      <c r="K34" s="17">
        <v>516000.0</v>
      </c>
      <c r="L34" s="16" t="s">
        <v>41</v>
      </c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1"/>
    </row>
    <row r="35">
      <c r="A35" s="12" t="s">
        <v>322</v>
      </c>
      <c r="B35" s="13">
        <v>45664.0</v>
      </c>
      <c r="C35" s="14" t="s">
        <v>323</v>
      </c>
      <c r="D35" s="14" t="s">
        <v>30</v>
      </c>
      <c r="E35" s="15" t="s">
        <v>324</v>
      </c>
      <c r="F35" s="16" t="s">
        <v>16</v>
      </c>
      <c r="G35" s="16" t="s">
        <v>189</v>
      </c>
      <c r="H35" s="17">
        <v>129000.0</v>
      </c>
      <c r="I35" s="22">
        <v>1.0</v>
      </c>
      <c r="J35" s="18">
        <v>129000.0</v>
      </c>
      <c r="K35" s="17">
        <v>516000.0</v>
      </c>
      <c r="L35" s="16" t="s">
        <v>41</v>
      </c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4"/>
    </row>
    <row r="36">
      <c r="A36" s="12" t="s">
        <v>325</v>
      </c>
      <c r="B36" s="13">
        <v>45664.0</v>
      </c>
      <c r="C36" s="14" t="s">
        <v>326</v>
      </c>
      <c r="D36" s="14" t="s">
        <v>30</v>
      </c>
      <c r="E36" s="15" t="s">
        <v>327</v>
      </c>
      <c r="F36" s="16" t="s">
        <v>16</v>
      </c>
      <c r="G36" s="16" t="s">
        <v>190</v>
      </c>
      <c r="H36" s="17">
        <v>175000.0</v>
      </c>
      <c r="I36" s="22">
        <v>1.0</v>
      </c>
      <c r="J36" s="18">
        <v>175000.0</v>
      </c>
      <c r="K36" s="17">
        <v>350000.0</v>
      </c>
      <c r="L36" s="16" t="s">
        <v>33</v>
      </c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1"/>
    </row>
    <row r="37">
      <c r="A37" s="12" t="s">
        <v>325</v>
      </c>
      <c r="B37" s="13">
        <v>45664.0</v>
      </c>
      <c r="C37" s="14" t="s">
        <v>326</v>
      </c>
      <c r="D37" s="14" t="s">
        <v>30</v>
      </c>
      <c r="E37" s="15" t="s">
        <v>327</v>
      </c>
      <c r="F37" s="16" t="s">
        <v>16</v>
      </c>
      <c r="G37" s="16" t="s">
        <v>197</v>
      </c>
      <c r="H37" s="17">
        <v>175000.0</v>
      </c>
      <c r="I37" s="22">
        <v>1.0</v>
      </c>
      <c r="J37" s="18">
        <v>175000.0</v>
      </c>
      <c r="K37" s="17">
        <v>350000.0</v>
      </c>
      <c r="L37" s="16" t="s">
        <v>33</v>
      </c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4"/>
    </row>
    <row r="38">
      <c r="A38" s="12" t="s">
        <v>328</v>
      </c>
      <c r="B38" s="13">
        <v>45664.0</v>
      </c>
      <c r="C38" s="14" t="s">
        <v>329</v>
      </c>
      <c r="D38" s="14" t="s">
        <v>30</v>
      </c>
      <c r="E38" s="15" t="s">
        <v>330</v>
      </c>
      <c r="F38" s="16" t="s">
        <v>39</v>
      </c>
      <c r="G38" s="16" t="s">
        <v>202</v>
      </c>
      <c r="H38" s="17">
        <v>229000.0</v>
      </c>
      <c r="I38" s="22">
        <v>1.0</v>
      </c>
      <c r="J38" s="18">
        <v>229000.0</v>
      </c>
      <c r="K38" s="17">
        <v>687000.0</v>
      </c>
      <c r="L38" s="16" t="s">
        <v>41</v>
      </c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1"/>
    </row>
    <row r="39">
      <c r="A39" s="12" t="s">
        <v>328</v>
      </c>
      <c r="B39" s="13">
        <v>45664.0</v>
      </c>
      <c r="C39" s="14" t="s">
        <v>329</v>
      </c>
      <c r="D39" s="14" t="s">
        <v>30</v>
      </c>
      <c r="E39" s="15" t="s">
        <v>330</v>
      </c>
      <c r="F39" s="16" t="s">
        <v>39</v>
      </c>
      <c r="G39" s="16" t="s">
        <v>211</v>
      </c>
      <c r="H39" s="17">
        <v>229000.0</v>
      </c>
      <c r="I39" s="22">
        <v>1.0</v>
      </c>
      <c r="J39" s="18">
        <v>229000.0</v>
      </c>
      <c r="K39" s="17">
        <v>687000.0</v>
      </c>
      <c r="L39" s="16" t="s">
        <v>41</v>
      </c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4"/>
    </row>
    <row r="40">
      <c r="A40" s="12" t="s">
        <v>328</v>
      </c>
      <c r="B40" s="13">
        <v>45664.0</v>
      </c>
      <c r="C40" s="14" t="s">
        <v>329</v>
      </c>
      <c r="D40" s="14" t="s">
        <v>30</v>
      </c>
      <c r="E40" s="15" t="s">
        <v>330</v>
      </c>
      <c r="F40" s="16" t="s">
        <v>39</v>
      </c>
      <c r="G40" s="16" t="s">
        <v>212</v>
      </c>
      <c r="H40" s="17">
        <v>229000.0</v>
      </c>
      <c r="I40" s="22">
        <v>1.0</v>
      </c>
      <c r="J40" s="18">
        <v>229000.0</v>
      </c>
      <c r="K40" s="17">
        <v>687000.0</v>
      </c>
      <c r="L40" s="16" t="s">
        <v>41</v>
      </c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1"/>
    </row>
    <row r="41">
      <c r="A41" s="12" t="s">
        <v>331</v>
      </c>
      <c r="B41" s="13">
        <v>45667.0</v>
      </c>
      <c r="C41" s="14" t="s">
        <v>332</v>
      </c>
      <c r="D41" s="14" t="s">
        <v>37</v>
      </c>
      <c r="E41" s="15" t="s">
        <v>333</v>
      </c>
      <c r="F41" s="16" t="s">
        <v>12</v>
      </c>
      <c r="G41" s="16" t="s">
        <v>220</v>
      </c>
      <c r="H41" s="17">
        <v>149000.0</v>
      </c>
      <c r="I41" s="22">
        <v>1.0</v>
      </c>
      <c r="J41" s="18">
        <v>149000.0</v>
      </c>
      <c r="K41" s="17">
        <v>149000.0</v>
      </c>
      <c r="L41" s="16" t="s">
        <v>207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4"/>
    </row>
    <row r="42">
      <c r="A42" s="12" t="s">
        <v>334</v>
      </c>
      <c r="B42" s="13">
        <v>45667.0</v>
      </c>
      <c r="C42" s="14" t="s">
        <v>335</v>
      </c>
      <c r="D42" s="14" t="s">
        <v>30</v>
      </c>
      <c r="E42" s="15" t="s">
        <v>336</v>
      </c>
      <c r="F42" s="16" t="s">
        <v>2</v>
      </c>
      <c r="G42" s="16" t="s">
        <v>174</v>
      </c>
      <c r="H42" s="17">
        <v>129000.0</v>
      </c>
      <c r="I42" s="18">
        <v>1.0</v>
      </c>
      <c r="J42" s="18">
        <v>129000.0</v>
      </c>
      <c r="K42" s="17">
        <v>129000.0</v>
      </c>
      <c r="L42" s="16" t="s">
        <v>41</v>
      </c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1"/>
    </row>
    <row r="43">
      <c r="A43" s="12" t="s">
        <v>337</v>
      </c>
      <c r="B43" s="13">
        <v>45668.0</v>
      </c>
      <c r="C43" s="14" t="s">
        <v>338</v>
      </c>
      <c r="D43" s="14" t="s">
        <v>45</v>
      </c>
      <c r="E43" s="15" t="s">
        <v>339</v>
      </c>
      <c r="F43" s="16" t="s">
        <v>1</v>
      </c>
      <c r="G43" s="16" t="s">
        <v>276</v>
      </c>
      <c r="H43" s="17">
        <v>149000.0</v>
      </c>
      <c r="I43" s="22">
        <v>1.0</v>
      </c>
      <c r="J43" s="18">
        <v>149000.0</v>
      </c>
      <c r="K43" s="17">
        <v>149000.0</v>
      </c>
      <c r="L43" s="16" t="s">
        <v>207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4"/>
    </row>
    <row r="44">
      <c r="A44" s="12" t="s">
        <v>340</v>
      </c>
      <c r="B44" s="13">
        <v>45668.0</v>
      </c>
      <c r="C44" s="14" t="s">
        <v>341</v>
      </c>
      <c r="D44" s="14" t="s">
        <v>30</v>
      </c>
      <c r="E44" s="15" t="s">
        <v>342</v>
      </c>
      <c r="F44" s="16" t="s">
        <v>4</v>
      </c>
      <c r="G44" s="16" t="s">
        <v>182</v>
      </c>
      <c r="H44" s="17">
        <v>129000.0</v>
      </c>
      <c r="I44" s="18">
        <v>3.0</v>
      </c>
      <c r="J44" s="18">
        <v>387000.0</v>
      </c>
      <c r="K44" s="17">
        <v>387000.0</v>
      </c>
      <c r="L44" s="16" t="s">
        <v>41</v>
      </c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1"/>
    </row>
    <row r="45">
      <c r="A45" s="12" t="s">
        <v>343</v>
      </c>
      <c r="B45" s="13">
        <v>45669.0</v>
      </c>
      <c r="C45" s="14" t="s">
        <v>344</v>
      </c>
      <c r="D45" s="14" t="s">
        <v>37</v>
      </c>
      <c r="E45" s="15" t="s">
        <v>345</v>
      </c>
      <c r="F45" s="16" t="s">
        <v>17</v>
      </c>
      <c r="G45" s="16" t="s">
        <v>283</v>
      </c>
      <c r="H45" s="17">
        <v>149000.0</v>
      </c>
      <c r="I45" s="22">
        <v>1.0</v>
      </c>
      <c r="J45" s="18">
        <v>149000.0</v>
      </c>
      <c r="K45" s="17">
        <v>149000.0</v>
      </c>
      <c r="L45" s="16" t="s">
        <v>207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4"/>
    </row>
    <row r="46">
      <c r="A46" s="12" t="s">
        <v>346</v>
      </c>
      <c r="B46" s="13">
        <v>45669.0</v>
      </c>
      <c r="C46" s="14" t="s">
        <v>347</v>
      </c>
      <c r="D46" s="14" t="s">
        <v>30</v>
      </c>
      <c r="E46" s="15" t="s">
        <v>348</v>
      </c>
      <c r="F46" s="16" t="s">
        <v>18</v>
      </c>
      <c r="G46" s="16" t="s">
        <v>189</v>
      </c>
      <c r="H46" s="17">
        <v>129000.0</v>
      </c>
      <c r="I46" s="18">
        <v>1.0</v>
      </c>
      <c r="J46" s="18">
        <v>129000.0</v>
      </c>
      <c r="K46" s="17">
        <v>678000.0</v>
      </c>
      <c r="L46" s="16" t="s">
        <v>41</v>
      </c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1"/>
    </row>
    <row r="47">
      <c r="A47" s="12" t="s">
        <v>346</v>
      </c>
      <c r="B47" s="13">
        <v>45669.0</v>
      </c>
      <c r="C47" s="14" t="s">
        <v>347</v>
      </c>
      <c r="D47" s="14" t="s">
        <v>30</v>
      </c>
      <c r="E47" s="15" t="s">
        <v>348</v>
      </c>
      <c r="F47" s="16" t="s">
        <v>18</v>
      </c>
      <c r="G47" s="16" t="s">
        <v>190</v>
      </c>
      <c r="H47" s="17">
        <v>175000.0</v>
      </c>
      <c r="I47" s="18">
        <v>1.0</v>
      </c>
      <c r="J47" s="18">
        <v>175000.0</v>
      </c>
      <c r="K47" s="17">
        <v>678000.0</v>
      </c>
      <c r="L47" s="16" t="s">
        <v>33</v>
      </c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4"/>
    </row>
    <row r="48">
      <c r="A48" s="12" t="s">
        <v>346</v>
      </c>
      <c r="B48" s="13">
        <v>45669.0</v>
      </c>
      <c r="C48" s="14" t="s">
        <v>347</v>
      </c>
      <c r="D48" s="14" t="s">
        <v>30</v>
      </c>
      <c r="E48" s="15" t="s">
        <v>348</v>
      </c>
      <c r="F48" s="16" t="s">
        <v>18</v>
      </c>
      <c r="G48" s="16" t="s">
        <v>197</v>
      </c>
      <c r="H48" s="17">
        <v>175000.0</v>
      </c>
      <c r="I48" s="18">
        <v>1.0</v>
      </c>
      <c r="J48" s="18">
        <v>175000.0</v>
      </c>
      <c r="K48" s="17">
        <v>678000.0</v>
      </c>
      <c r="L48" s="16" t="s">
        <v>33</v>
      </c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1"/>
    </row>
    <row r="49">
      <c r="A49" s="12" t="s">
        <v>346</v>
      </c>
      <c r="B49" s="13">
        <v>45669.0</v>
      </c>
      <c r="C49" s="14" t="s">
        <v>347</v>
      </c>
      <c r="D49" s="14" t="s">
        <v>30</v>
      </c>
      <c r="E49" s="15" t="s">
        <v>348</v>
      </c>
      <c r="F49" s="16" t="s">
        <v>18</v>
      </c>
      <c r="G49" s="16" t="s">
        <v>206</v>
      </c>
      <c r="H49" s="17">
        <v>199000.0</v>
      </c>
      <c r="I49" s="22">
        <v>1.0</v>
      </c>
      <c r="J49" s="18">
        <v>199000.0</v>
      </c>
      <c r="K49" s="17">
        <v>678000.0</v>
      </c>
      <c r="L49" s="16" t="s">
        <v>207</v>
      </c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4"/>
    </row>
    <row r="50">
      <c r="A50" s="12" t="s">
        <v>349</v>
      </c>
      <c r="B50" s="13">
        <v>45670.0</v>
      </c>
      <c r="C50" s="14" t="s">
        <v>350</v>
      </c>
      <c r="D50" s="14" t="s">
        <v>30</v>
      </c>
      <c r="E50" s="15" t="s">
        <v>351</v>
      </c>
      <c r="F50" s="16" t="s">
        <v>10</v>
      </c>
      <c r="G50" s="16" t="s">
        <v>284</v>
      </c>
      <c r="H50" s="17">
        <v>349000.0</v>
      </c>
      <c r="I50" s="22">
        <v>2.0</v>
      </c>
      <c r="J50" s="18">
        <v>698000.0</v>
      </c>
      <c r="K50" s="17">
        <v>698000.0</v>
      </c>
      <c r="L50" s="16" t="s">
        <v>207</v>
      </c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1"/>
    </row>
    <row r="51">
      <c r="A51" s="12" t="s">
        <v>352</v>
      </c>
      <c r="B51" s="13">
        <v>45670.0</v>
      </c>
      <c r="C51" s="14" t="s">
        <v>353</v>
      </c>
      <c r="D51" s="14" t="s">
        <v>30</v>
      </c>
      <c r="E51" s="15" t="s">
        <v>354</v>
      </c>
      <c r="F51" s="16" t="s">
        <v>19</v>
      </c>
      <c r="G51" s="16" t="s">
        <v>206</v>
      </c>
      <c r="H51" s="17">
        <v>199000.0</v>
      </c>
      <c r="I51" s="22">
        <v>1.0</v>
      </c>
      <c r="J51" s="18">
        <v>199000.0</v>
      </c>
      <c r="K51" s="17">
        <v>199000.0</v>
      </c>
      <c r="L51" s="16" t="s">
        <v>207</v>
      </c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4"/>
    </row>
    <row r="52">
      <c r="A52" s="12" t="s">
        <v>355</v>
      </c>
      <c r="B52" s="13">
        <v>45671.0</v>
      </c>
      <c r="C52" s="14" t="s">
        <v>356</v>
      </c>
      <c r="D52" s="14" t="s">
        <v>45</v>
      </c>
      <c r="E52" s="15" t="s">
        <v>357</v>
      </c>
      <c r="F52" s="16" t="s">
        <v>2</v>
      </c>
      <c r="G52" s="16" t="s">
        <v>285</v>
      </c>
      <c r="H52" s="17">
        <v>229000.0</v>
      </c>
      <c r="I52" s="22">
        <v>1.0</v>
      </c>
      <c r="J52" s="18">
        <v>229000.0</v>
      </c>
      <c r="K52" s="17">
        <v>229000.0</v>
      </c>
      <c r="L52" s="16" t="s">
        <v>41</v>
      </c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1"/>
    </row>
    <row r="53">
      <c r="A53" s="12" t="s">
        <v>358</v>
      </c>
      <c r="B53" s="13">
        <v>45671.0</v>
      </c>
      <c r="C53" s="14" t="s">
        <v>359</v>
      </c>
      <c r="D53" s="14" t="s">
        <v>30</v>
      </c>
      <c r="E53" s="15" t="s">
        <v>360</v>
      </c>
      <c r="F53" s="16" t="s">
        <v>20</v>
      </c>
      <c r="G53" s="16" t="s">
        <v>216</v>
      </c>
      <c r="H53" s="17">
        <v>199000.0</v>
      </c>
      <c r="I53" s="22">
        <v>1.0</v>
      </c>
      <c r="J53" s="18">
        <v>199000.0</v>
      </c>
      <c r="K53" s="17">
        <v>795000.0</v>
      </c>
      <c r="L53" s="16" t="s">
        <v>207</v>
      </c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4"/>
    </row>
    <row r="54">
      <c r="A54" s="12" t="s">
        <v>358</v>
      </c>
      <c r="B54" s="13">
        <v>45671.0</v>
      </c>
      <c r="C54" s="14" t="s">
        <v>359</v>
      </c>
      <c r="D54" s="14" t="s">
        <v>30</v>
      </c>
      <c r="E54" s="15" t="s">
        <v>360</v>
      </c>
      <c r="F54" s="16" t="s">
        <v>20</v>
      </c>
      <c r="G54" s="16" t="s">
        <v>220</v>
      </c>
      <c r="H54" s="17">
        <v>149000.0</v>
      </c>
      <c r="I54" s="22">
        <v>1.0</v>
      </c>
      <c r="J54" s="18">
        <v>149000.0</v>
      </c>
      <c r="K54" s="17">
        <v>795000.0</v>
      </c>
      <c r="L54" s="16" t="s">
        <v>207</v>
      </c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1"/>
    </row>
    <row r="55">
      <c r="A55" s="12" t="s">
        <v>358</v>
      </c>
      <c r="B55" s="13">
        <v>45671.0</v>
      </c>
      <c r="C55" s="14" t="s">
        <v>359</v>
      </c>
      <c r="D55" s="14" t="s">
        <v>30</v>
      </c>
      <c r="E55" s="15" t="s">
        <v>360</v>
      </c>
      <c r="F55" s="16" t="s">
        <v>20</v>
      </c>
      <c r="G55" s="16" t="s">
        <v>276</v>
      </c>
      <c r="H55" s="17">
        <v>149000.0</v>
      </c>
      <c r="I55" s="22">
        <v>1.0</v>
      </c>
      <c r="J55" s="18">
        <v>149000.0</v>
      </c>
      <c r="K55" s="17">
        <v>795000.0</v>
      </c>
      <c r="L55" s="16" t="s">
        <v>207</v>
      </c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4"/>
    </row>
    <row r="56">
      <c r="A56" s="12" t="s">
        <v>358</v>
      </c>
      <c r="B56" s="13">
        <v>45671.0</v>
      </c>
      <c r="C56" s="14" t="s">
        <v>359</v>
      </c>
      <c r="D56" s="14" t="s">
        <v>30</v>
      </c>
      <c r="E56" s="15" t="s">
        <v>360</v>
      </c>
      <c r="F56" s="16" t="s">
        <v>20</v>
      </c>
      <c r="G56" s="16" t="s">
        <v>283</v>
      </c>
      <c r="H56" s="17">
        <v>149000.0</v>
      </c>
      <c r="I56" s="22">
        <v>2.0</v>
      </c>
      <c r="J56" s="18">
        <v>298000.0</v>
      </c>
      <c r="K56" s="17">
        <v>795000.0</v>
      </c>
      <c r="L56" s="16" t="s">
        <v>207</v>
      </c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1"/>
    </row>
    <row r="57">
      <c r="A57" s="12" t="s">
        <v>361</v>
      </c>
      <c r="B57" s="13">
        <v>45672.0</v>
      </c>
      <c r="C57" s="14" t="s">
        <v>362</v>
      </c>
      <c r="D57" s="14" t="s">
        <v>37</v>
      </c>
      <c r="E57" s="15" t="s">
        <v>363</v>
      </c>
      <c r="F57" s="16" t="s">
        <v>4</v>
      </c>
      <c r="G57" s="16" t="s">
        <v>193</v>
      </c>
      <c r="H57" s="17">
        <v>229000.0</v>
      </c>
      <c r="I57" s="18">
        <v>1.0</v>
      </c>
      <c r="J57" s="18">
        <v>229000.0</v>
      </c>
      <c r="K57" s="17">
        <v>229000.0</v>
      </c>
      <c r="L57" s="16" t="s">
        <v>41</v>
      </c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4"/>
    </row>
    <row r="58">
      <c r="A58" s="12" t="s">
        <v>364</v>
      </c>
      <c r="B58" s="13">
        <v>45673.0</v>
      </c>
      <c r="C58" s="14" t="s">
        <v>365</v>
      </c>
      <c r="D58" s="14" t="s">
        <v>30</v>
      </c>
      <c r="E58" s="15" t="s">
        <v>366</v>
      </c>
      <c r="F58" s="16" t="s">
        <v>18</v>
      </c>
      <c r="G58" s="16" t="s">
        <v>202</v>
      </c>
      <c r="H58" s="17">
        <v>229000.0</v>
      </c>
      <c r="I58" s="18">
        <v>3.0</v>
      </c>
      <c r="J58" s="18">
        <v>687000.0</v>
      </c>
      <c r="K58" s="17">
        <v>687000.0</v>
      </c>
      <c r="L58" s="16" t="s">
        <v>41</v>
      </c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1"/>
    </row>
    <row r="59">
      <c r="A59" s="12" t="s">
        <v>367</v>
      </c>
      <c r="B59" s="13">
        <v>45673.0</v>
      </c>
      <c r="C59" s="14" t="s">
        <v>368</v>
      </c>
      <c r="D59" s="14" t="s">
        <v>30</v>
      </c>
      <c r="E59" s="15" t="s">
        <v>369</v>
      </c>
      <c r="F59" s="16" t="s">
        <v>21</v>
      </c>
      <c r="G59" s="16" t="s">
        <v>216</v>
      </c>
      <c r="H59" s="17">
        <v>199000.0</v>
      </c>
      <c r="I59" s="22">
        <v>1.0</v>
      </c>
      <c r="J59" s="18">
        <v>199000.0</v>
      </c>
      <c r="K59" s="17">
        <v>199000.0</v>
      </c>
      <c r="L59" s="16" t="s">
        <v>207</v>
      </c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4"/>
    </row>
    <row r="60">
      <c r="A60" s="12" t="s">
        <v>370</v>
      </c>
      <c r="B60" s="13">
        <v>45674.0</v>
      </c>
      <c r="C60" s="14" t="s">
        <v>371</v>
      </c>
      <c r="D60" s="14" t="s">
        <v>45</v>
      </c>
      <c r="E60" s="15" t="s">
        <v>372</v>
      </c>
      <c r="F60" s="16" t="s">
        <v>9</v>
      </c>
      <c r="G60" s="16" t="s">
        <v>211</v>
      </c>
      <c r="H60" s="17">
        <v>229000.0</v>
      </c>
      <c r="I60" s="18">
        <v>1.0</v>
      </c>
      <c r="J60" s="18">
        <v>229000.0</v>
      </c>
      <c r="K60" s="17">
        <v>229000.0</v>
      </c>
      <c r="L60" s="16" t="s">
        <v>41</v>
      </c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1"/>
    </row>
    <row r="61">
      <c r="A61" s="12" t="s">
        <v>373</v>
      </c>
      <c r="B61" s="13">
        <v>45674.0</v>
      </c>
      <c r="C61" s="14" t="s">
        <v>374</v>
      </c>
      <c r="D61" s="14" t="s">
        <v>37</v>
      </c>
      <c r="E61" s="15" t="s">
        <v>375</v>
      </c>
      <c r="F61" s="16" t="s">
        <v>16</v>
      </c>
      <c r="G61" s="16" t="s">
        <v>220</v>
      </c>
      <c r="H61" s="17">
        <v>149000.0</v>
      </c>
      <c r="I61" s="22">
        <v>1.0</v>
      </c>
      <c r="J61" s="18">
        <v>149000.0</v>
      </c>
      <c r="K61" s="17">
        <v>149000.0</v>
      </c>
      <c r="L61" s="16" t="s">
        <v>207</v>
      </c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4"/>
    </row>
    <row r="62">
      <c r="A62" s="12" t="s">
        <v>376</v>
      </c>
      <c r="B62" s="13">
        <v>45675.0</v>
      </c>
      <c r="C62" s="14" t="s">
        <v>377</v>
      </c>
      <c r="D62" s="14" t="s">
        <v>30</v>
      </c>
      <c r="E62" s="15" t="s">
        <v>378</v>
      </c>
      <c r="F62" s="16" t="s">
        <v>8</v>
      </c>
      <c r="G62" s="16" t="s">
        <v>212</v>
      </c>
      <c r="H62" s="17">
        <v>229000.0</v>
      </c>
      <c r="I62" s="18">
        <v>1.0</v>
      </c>
      <c r="J62" s="18">
        <v>229000.0</v>
      </c>
      <c r="K62" s="17">
        <v>229000.0</v>
      </c>
      <c r="L62" s="16" t="s">
        <v>41</v>
      </c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1"/>
    </row>
    <row r="63">
      <c r="A63" s="12" t="s">
        <v>379</v>
      </c>
      <c r="B63" s="13">
        <v>45675.0</v>
      </c>
      <c r="C63" s="14" t="s">
        <v>380</v>
      </c>
      <c r="D63" s="14" t="s">
        <v>30</v>
      </c>
      <c r="E63" s="15" t="s">
        <v>381</v>
      </c>
      <c r="F63" s="16" t="s">
        <v>22</v>
      </c>
      <c r="G63" s="16" t="s">
        <v>276</v>
      </c>
      <c r="H63" s="17">
        <v>149000.0</v>
      </c>
      <c r="I63" s="22">
        <v>1.0</v>
      </c>
      <c r="J63" s="18">
        <v>149000.0</v>
      </c>
      <c r="K63" s="17">
        <v>149000.0</v>
      </c>
      <c r="L63" s="16" t="s">
        <v>207</v>
      </c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4"/>
    </row>
    <row r="64">
      <c r="A64" s="12" t="s">
        <v>382</v>
      </c>
      <c r="B64" s="13">
        <v>45675.0</v>
      </c>
      <c r="C64" s="14" t="s">
        <v>383</v>
      </c>
      <c r="D64" s="14" t="s">
        <v>45</v>
      </c>
      <c r="E64" s="15" t="s">
        <v>384</v>
      </c>
      <c r="F64" s="16" t="s">
        <v>23</v>
      </c>
      <c r="G64" s="16" t="s">
        <v>284</v>
      </c>
      <c r="H64" s="17">
        <v>349000.0</v>
      </c>
      <c r="I64" s="22">
        <v>1.0</v>
      </c>
      <c r="J64" s="18">
        <v>349000.0</v>
      </c>
      <c r="K64" s="17">
        <v>349000.0</v>
      </c>
      <c r="L64" s="16" t="s">
        <v>207</v>
      </c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1"/>
    </row>
    <row r="65">
      <c r="A65" s="12" t="s">
        <v>385</v>
      </c>
      <c r="B65" s="13">
        <v>45676.0</v>
      </c>
      <c r="C65" s="14" t="s">
        <v>386</v>
      </c>
      <c r="D65" s="14" t="s">
        <v>30</v>
      </c>
      <c r="E65" s="15" t="s">
        <v>387</v>
      </c>
      <c r="F65" s="16" t="s">
        <v>13</v>
      </c>
      <c r="G65" s="16" t="s">
        <v>224</v>
      </c>
      <c r="H65" s="17">
        <v>229000.0</v>
      </c>
      <c r="I65" s="18">
        <v>1.0</v>
      </c>
      <c r="J65" s="18">
        <v>229000.0</v>
      </c>
      <c r="K65" s="17">
        <v>229000.0</v>
      </c>
      <c r="L65" s="16" t="s">
        <v>41</v>
      </c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4"/>
    </row>
    <row r="66">
      <c r="A66" s="12" t="s">
        <v>388</v>
      </c>
      <c r="B66" s="13">
        <v>45676.0</v>
      </c>
      <c r="C66" s="14" t="s">
        <v>389</v>
      </c>
      <c r="D66" s="14" t="s">
        <v>30</v>
      </c>
      <c r="E66" s="15" t="s">
        <v>390</v>
      </c>
      <c r="F66" s="16" t="s">
        <v>24</v>
      </c>
      <c r="G66" s="16" t="s">
        <v>283</v>
      </c>
      <c r="H66" s="17">
        <v>149000.0</v>
      </c>
      <c r="I66" s="22">
        <v>1.0</v>
      </c>
      <c r="J66" s="18">
        <v>149000.0</v>
      </c>
      <c r="K66" s="17">
        <v>149000.0</v>
      </c>
      <c r="L66" s="16" t="s">
        <v>207</v>
      </c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1"/>
    </row>
    <row r="67">
      <c r="A67" s="12" t="s">
        <v>391</v>
      </c>
      <c r="B67" s="13">
        <v>45676.0</v>
      </c>
      <c r="C67" s="14" t="s">
        <v>392</v>
      </c>
      <c r="D67" s="14" t="s">
        <v>45</v>
      </c>
      <c r="E67" s="15" t="s">
        <v>393</v>
      </c>
      <c r="F67" s="16" t="s">
        <v>25</v>
      </c>
      <c r="G67" s="16" t="s">
        <v>285</v>
      </c>
      <c r="H67" s="17">
        <v>229000.0</v>
      </c>
      <c r="I67" s="22">
        <v>2.0</v>
      </c>
      <c r="J67" s="18">
        <v>458000.0</v>
      </c>
      <c r="K67" s="17">
        <v>458000.0</v>
      </c>
      <c r="L67" s="16" t="s">
        <v>41</v>
      </c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4"/>
    </row>
    <row r="68">
      <c r="A68" s="12" t="s">
        <v>394</v>
      </c>
      <c r="B68" s="13">
        <v>45677.0</v>
      </c>
      <c r="C68" s="14" t="s">
        <v>395</v>
      </c>
      <c r="D68" s="14" t="s">
        <v>30</v>
      </c>
      <c r="E68" s="15" t="s">
        <v>396</v>
      </c>
      <c r="F68" s="16" t="s">
        <v>21</v>
      </c>
      <c r="G68" s="16" t="s">
        <v>397</v>
      </c>
      <c r="H68" s="17">
        <v>179000.0</v>
      </c>
      <c r="I68" s="22">
        <v>1.0</v>
      </c>
      <c r="J68" s="18">
        <v>179000.0</v>
      </c>
      <c r="K68" s="17">
        <v>179000.0</v>
      </c>
      <c r="L68" s="16" t="s">
        <v>41</v>
      </c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1"/>
    </row>
    <row r="69">
      <c r="A69" s="12" t="s">
        <v>398</v>
      </c>
      <c r="B69" s="13">
        <v>45677.0</v>
      </c>
      <c r="C69" s="14" t="s">
        <v>399</v>
      </c>
      <c r="D69" s="14" t="s">
        <v>30</v>
      </c>
      <c r="E69" s="15" t="s">
        <v>400</v>
      </c>
      <c r="F69" s="16" t="s">
        <v>3</v>
      </c>
      <c r="G69" s="16" t="s">
        <v>284</v>
      </c>
      <c r="H69" s="17">
        <v>349000.0</v>
      </c>
      <c r="I69" s="22">
        <v>1.0</v>
      </c>
      <c r="J69" s="18">
        <v>349000.0</v>
      </c>
      <c r="K69" s="17">
        <v>349000.0</v>
      </c>
      <c r="L69" s="16" t="s">
        <v>207</v>
      </c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4"/>
    </row>
    <row r="70">
      <c r="A70" s="12" t="s">
        <v>401</v>
      </c>
      <c r="B70" s="13">
        <v>45677.0</v>
      </c>
      <c r="C70" s="14" t="s">
        <v>402</v>
      </c>
      <c r="D70" s="14" t="s">
        <v>45</v>
      </c>
      <c r="E70" s="15" t="s">
        <v>327</v>
      </c>
      <c r="F70" s="16" t="s">
        <v>26</v>
      </c>
      <c r="G70" s="16" t="s">
        <v>193</v>
      </c>
      <c r="H70" s="17">
        <v>229000.0</v>
      </c>
      <c r="I70" s="22">
        <v>1.0</v>
      </c>
      <c r="J70" s="18">
        <v>229000.0</v>
      </c>
      <c r="K70" s="17">
        <v>229000.0</v>
      </c>
      <c r="L70" s="16" t="s">
        <v>41</v>
      </c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1"/>
    </row>
    <row r="71">
      <c r="A71" s="12" t="s">
        <v>403</v>
      </c>
      <c r="B71" s="13">
        <v>45678.0</v>
      </c>
      <c r="C71" s="14" t="s">
        <v>404</v>
      </c>
      <c r="D71" s="14" t="s">
        <v>30</v>
      </c>
      <c r="E71" s="15" t="s">
        <v>405</v>
      </c>
      <c r="F71" s="16" t="s">
        <v>16</v>
      </c>
      <c r="G71" s="16" t="s">
        <v>406</v>
      </c>
      <c r="H71" s="17">
        <v>179000.0</v>
      </c>
      <c r="I71" s="22">
        <v>1.0</v>
      </c>
      <c r="J71" s="18">
        <v>179000.0</v>
      </c>
      <c r="K71" s="17">
        <v>179000.0</v>
      </c>
      <c r="L71" s="16" t="s">
        <v>41</v>
      </c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4"/>
    </row>
    <row r="72">
      <c r="A72" s="12" t="s">
        <v>407</v>
      </c>
      <c r="B72" s="13">
        <v>45678.0</v>
      </c>
      <c r="C72" s="14" t="s">
        <v>408</v>
      </c>
      <c r="D72" s="14" t="s">
        <v>30</v>
      </c>
      <c r="E72" s="15" t="s">
        <v>409</v>
      </c>
      <c r="F72" s="16" t="s">
        <v>5</v>
      </c>
      <c r="G72" s="16" t="s">
        <v>285</v>
      </c>
      <c r="H72" s="17">
        <v>229000.0</v>
      </c>
      <c r="I72" s="22">
        <v>1.0</v>
      </c>
      <c r="J72" s="18">
        <v>229000.0</v>
      </c>
      <c r="K72" s="17">
        <v>229000.0</v>
      </c>
      <c r="L72" s="16" t="s">
        <v>41</v>
      </c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1"/>
    </row>
    <row r="73">
      <c r="A73" s="12" t="s">
        <v>410</v>
      </c>
      <c r="B73" s="13">
        <v>45678.0</v>
      </c>
      <c r="C73" s="14" t="s">
        <v>411</v>
      </c>
      <c r="D73" s="14" t="s">
        <v>30</v>
      </c>
      <c r="E73" s="15" t="s">
        <v>412</v>
      </c>
      <c r="F73" s="16" t="s">
        <v>1</v>
      </c>
      <c r="G73" s="16" t="s">
        <v>202</v>
      </c>
      <c r="H73" s="17">
        <v>229000.0</v>
      </c>
      <c r="I73" s="22">
        <v>1.0</v>
      </c>
      <c r="J73" s="18">
        <v>229000.0</v>
      </c>
      <c r="K73" s="17">
        <v>916000.0</v>
      </c>
      <c r="L73" s="16" t="s">
        <v>41</v>
      </c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4"/>
    </row>
    <row r="74">
      <c r="A74" s="12" t="s">
        <v>410</v>
      </c>
      <c r="B74" s="13">
        <v>45678.0</v>
      </c>
      <c r="C74" s="14" t="s">
        <v>411</v>
      </c>
      <c r="D74" s="14" t="s">
        <v>30</v>
      </c>
      <c r="E74" s="15" t="s">
        <v>412</v>
      </c>
      <c r="F74" s="16" t="s">
        <v>1</v>
      </c>
      <c r="G74" s="16" t="s">
        <v>211</v>
      </c>
      <c r="H74" s="17">
        <v>229000.0</v>
      </c>
      <c r="I74" s="22">
        <v>1.0</v>
      </c>
      <c r="J74" s="18">
        <v>229000.0</v>
      </c>
      <c r="K74" s="17">
        <v>916000.0</v>
      </c>
      <c r="L74" s="16" t="s">
        <v>41</v>
      </c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1"/>
    </row>
    <row r="75">
      <c r="A75" s="12" t="s">
        <v>410</v>
      </c>
      <c r="B75" s="13">
        <v>45678.0</v>
      </c>
      <c r="C75" s="14" t="s">
        <v>411</v>
      </c>
      <c r="D75" s="14" t="s">
        <v>30</v>
      </c>
      <c r="E75" s="15" t="s">
        <v>412</v>
      </c>
      <c r="F75" s="16" t="s">
        <v>1</v>
      </c>
      <c r="G75" s="16" t="s">
        <v>212</v>
      </c>
      <c r="H75" s="17">
        <v>229000.0</v>
      </c>
      <c r="I75" s="22">
        <v>1.0</v>
      </c>
      <c r="J75" s="18">
        <v>229000.0</v>
      </c>
      <c r="K75" s="17">
        <v>916000.0</v>
      </c>
      <c r="L75" s="16" t="s">
        <v>41</v>
      </c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4"/>
    </row>
    <row r="76">
      <c r="A76" s="12" t="s">
        <v>410</v>
      </c>
      <c r="B76" s="13">
        <v>45678.0</v>
      </c>
      <c r="C76" s="14" t="s">
        <v>411</v>
      </c>
      <c r="D76" s="14" t="s">
        <v>30</v>
      </c>
      <c r="E76" s="15" t="s">
        <v>412</v>
      </c>
      <c r="F76" s="16" t="s">
        <v>1</v>
      </c>
      <c r="G76" s="16" t="s">
        <v>224</v>
      </c>
      <c r="H76" s="17">
        <v>229000.0</v>
      </c>
      <c r="I76" s="22">
        <v>1.0</v>
      </c>
      <c r="J76" s="18">
        <v>229000.0</v>
      </c>
      <c r="K76" s="17">
        <v>916000.0</v>
      </c>
      <c r="L76" s="16" t="s">
        <v>41</v>
      </c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1"/>
    </row>
    <row r="77">
      <c r="A77" s="12" t="s">
        <v>413</v>
      </c>
      <c r="B77" s="13">
        <v>45679.0</v>
      </c>
      <c r="C77" s="14" t="s">
        <v>414</v>
      </c>
      <c r="D77" s="14" t="s">
        <v>30</v>
      </c>
      <c r="E77" s="15" t="s">
        <v>415</v>
      </c>
      <c r="F77" s="16" t="s">
        <v>22</v>
      </c>
      <c r="G77" s="16" t="s">
        <v>40</v>
      </c>
      <c r="H77" s="17">
        <v>179000.0</v>
      </c>
      <c r="I77" s="22">
        <v>1.0</v>
      </c>
      <c r="J77" s="18">
        <v>179000.0</v>
      </c>
      <c r="K77" s="17">
        <v>179000.0</v>
      </c>
      <c r="L77" s="16" t="s">
        <v>41</v>
      </c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4"/>
    </row>
    <row r="78">
      <c r="A78" s="12" t="s">
        <v>416</v>
      </c>
      <c r="B78" s="13">
        <v>45679.0</v>
      </c>
      <c r="C78" s="14" t="s">
        <v>417</v>
      </c>
      <c r="D78" s="14" t="s">
        <v>30</v>
      </c>
      <c r="E78" s="15" t="s">
        <v>418</v>
      </c>
      <c r="F78" s="16" t="s">
        <v>27</v>
      </c>
      <c r="G78" s="16" t="s">
        <v>193</v>
      </c>
      <c r="H78" s="17">
        <v>229000.0</v>
      </c>
      <c r="I78" s="22">
        <v>2.0</v>
      </c>
      <c r="J78" s="18">
        <v>458000.0</v>
      </c>
      <c r="K78" s="17">
        <v>1145000.0</v>
      </c>
      <c r="L78" s="16" t="s">
        <v>41</v>
      </c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1"/>
    </row>
    <row r="79">
      <c r="A79" s="12" t="s">
        <v>416</v>
      </c>
      <c r="B79" s="13">
        <v>45679.0</v>
      </c>
      <c r="C79" s="14" t="s">
        <v>417</v>
      </c>
      <c r="D79" s="14" t="s">
        <v>30</v>
      </c>
      <c r="E79" s="15" t="s">
        <v>418</v>
      </c>
      <c r="F79" s="16" t="s">
        <v>27</v>
      </c>
      <c r="G79" s="16" t="s">
        <v>202</v>
      </c>
      <c r="H79" s="17">
        <v>229000.0</v>
      </c>
      <c r="I79" s="22">
        <v>1.0</v>
      </c>
      <c r="J79" s="18">
        <v>229000.0</v>
      </c>
      <c r="K79" s="17">
        <v>1145000.0</v>
      </c>
      <c r="L79" s="16" t="s">
        <v>41</v>
      </c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4"/>
    </row>
    <row r="80">
      <c r="A80" s="12" t="s">
        <v>416</v>
      </c>
      <c r="B80" s="13">
        <v>45679.0</v>
      </c>
      <c r="C80" s="14" t="s">
        <v>417</v>
      </c>
      <c r="D80" s="14" t="s">
        <v>30</v>
      </c>
      <c r="E80" s="15" t="s">
        <v>418</v>
      </c>
      <c r="F80" s="16" t="s">
        <v>27</v>
      </c>
      <c r="G80" s="16" t="s">
        <v>211</v>
      </c>
      <c r="H80" s="17">
        <v>229000.0</v>
      </c>
      <c r="I80" s="22">
        <v>2.0</v>
      </c>
      <c r="J80" s="18">
        <v>458000.0</v>
      </c>
      <c r="K80" s="17">
        <v>1145000.0</v>
      </c>
      <c r="L80" s="16" t="s">
        <v>41</v>
      </c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1"/>
    </row>
    <row r="81">
      <c r="A81" s="12" t="s">
        <v>419</v>
      </c>
      <c r="B81" s="13">
        <v>45680.0</v>
      </c>
      <c r="C81" s="14" t="s">
        <v>420</v>
      </c>
      <c r="D81" s="14" t="s">
        <v>30</v>
      </c>
      <c r="E81" s="15" t="s">
        <v>421</v>
      </c>
      <c r="F81" s="16" t="s">
        <v>24</v>
      </c>
      <c r="G81" s="16" t="s">
        <v>52</v>
      </c>
      <c r="H81" s="17">
        <v>179000.0</v>
      </c>
      <c r="I81" s="22">
        <v>1.0</v>
      </c>
      <c r="J81" s="18">
        <v>179000.0</v>
      </c>
      <c r="K81" s="17">
        <v>686000.0</v>
      </c>
      <c r="L81" s="16" t="s">
        <v>41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4"/>
    </row>
    <row r="82">
      <c r="A82" s="12" t="s">
        <v>419</v>
      </c>
      <c r="B82" s="13">
        <v>45680.0</v>
      </c>
      <c r="C82" s="14" t="s">
        <v>420</v>
      </c>
      <c r="D82" s="14" t="s">
        <v>30</v>
      </c>
      <c r="E82" s="15" t="s">
        <v>421</v>
      </c>
      <c r="F82" s="16" t="s">
        <v>24</v>
      </c>
      <c r="G82" s="16" t="s">
        <v>422</v>
      </c>
      <c r="H82" s="17">
        <v>179000.0</v>
      </c>
      <c r="I82" s="22">
        <v>1.0</v>
      </c>
      <c r="J82" s="18">
        <v>179000.0</v>
      </c>
      <c r="K82" s="17">
        <v>686000.0</v>
      </c>
      <c r="L82" s="16" t="s">
        <v>41</v>
      </c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1"/>
    </row>
    <row r="83">
      <c r="A83" s="12" t="s">
        <v>419</v>
      </c>
      <c r="B83" s="13">
        <v>45680.0</v>
      </c>
      <c r="C83" s="14" t="s">
        <v>420</v>
      </c>
      <c r="D83" s="14" t="s">
        <v>30</v>
      </c>
      <c r="E83" s="15" t="s">
        <v>421</v>
      </c>
      <c r="F83" s="16" t="s">
        <v>24</v>
      </c>
      <c r="G83" s="16" t="s">
        <v>70</v>
      </c>
      <c r="H83" s="17">
        <v>179000.0</v>
      </c>
      <c r="I83" s="22">
        <v>1.0</v>
      </c>
      <c r="J83" s="18">
        <v>179000.0</v>
      </c>
      <c r="K83" s="17">
        <v>686000.0</v>
      </c>
      <c r="L83" s="16" t="s">
        <v>41</v>
      </c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4"/>
    </row>
    <row r="84">
      <c r="A84" s="12" t="s">
        <v>419</v>
      </c>
      <c r="B84" s="13">
        <v>45680.0</v>
      </c>
      <c r="C84" s="14" t="s">
        <v>420</v>
      </c>
      <c r="D84" s="14" t="s">
        <v>30</v>
      </c>
      <c r="E84" s="15" t="s">
        <v>421</v>
      </c>
      <c r="F84" s="16" t="s">
        <v>24</v>
      </c>
      <c r="G84" s="16" t="s">
        <v>74</v>
      </c>
      <c r="H84" s="17">
        <v>149000.0</v>
      </c>
      <c r="I84" s="22">
        <v>1.0</v>
      </c>
      <c r="J84" s="18">
        <v>149000.0</v>
      </c>
      <c r="K84" s="17">
        <v>686000.0</v>
      </c>
      <c r="L84" s="16" t="s">
        <v>33</v>
      </c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1"/>
    </row>
    <row r="85">
      <c r="A85" s="12" t="s">
        <v>423</v>
      </c>
      <c r="B85" s="13">
        <v>45682.0</v>
      </c>
      <c r="C85" s="14" t="s">
        <v>424</v>
      </c>
      <c r="D85" s="14" t="s">
        <v>30</v>
      </c>
      <c r="E85" s="15" t="s">
        <v>425</v>
      </c>
      <c r="F85" s="16" t="s">
        <v>14</v>
      </c>
      <c r="G85" s="16" t="s">
        <v>212</v>
      </c>
      <c r="H85" s="17">
        <v>229000.0</v>
      </c>
      <c r="I85" s="22">
        <v>1.0</v>
      </c>
      <c r="J85" s="18">
        <v>229000.0</v>
      </c>
      <c r="K85" s="17">
        <v>229000.0</v>
      </c>
      <c r="L85" s="16" t="s">
        <v>41</v>
      </c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4"/>
    </row>
    <row r="86">
      <c r="A86" s="12" t="s">
        <v>426</v>
      </c>
      <c r="B86" s="13">
        <v>45682.0</v>
      </c>
      <c r="C86" s="14" t="s">
        <v>427</v>
      </c>
      <c r="D86" s="14" t="s">
        <v>30</v>
      </c>
      <c r="E86" s="15" t="s">
        <v>428</v>
      </c>
      <c r="F86" s="16" t="s">
        <v>19</v>
      </c>
      <c r="G86" s="16" t="s">
        <v>397</v>
      </c>
      <c r="H86" s="17">
        <v>179000.0</v>
      </c>
      <c r="I86" s="22">
        <v>1.0</v>
      </c>
      <c r="J86" s="18">
        <v>179000.0</v>
      </c>
      <c r="K86" s="17">
        <v>179000.0</v>
      </c>
      <c r="L86" s="16" t="s">
        <v>41</v>
      </c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1"/>
    </row>
    <row r="87">
      <c r="A87" s="12" t="s">
        <v>429</v>
      </c>
      <c r="B87" s="13">
        <v>45683.0</v>
      </c>
      <c r="C87" s="14" t="s">
        <v>430</v>
      </c>
      <c r="D87" s="14" t="s">
        <v>30</v>
      </c>
      <c r="E87" s="15" t="s">
        <v>431</v>
      </c>
      <c r="F87" s="16" t="s">
        <v>20</v>
      </c>
      <c r="G87" s="16" t="s">
        <v>224</v>
      </c>
      <c r="H87" s="17">
        <v>229000.0</v>
      </c>
      <c r="I87" s="22">
        <v>1.0</v>
      </c>
      <c r="J87" s="18">
        <v>229000.0</v>
      </c>
      <c r="K87" s="17">
        <v>229000.0</v>
      </c>
      <c r="L87" s="16" t="s">
        <v>41</v>
      </c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4"/>
    </row>
    <row r="88">
      <c r="A88" s="12" t="s">
        <v>432</v>
      </c>
      <c r="B88" s="13">
        <v>45683.0</v>
      </c>
      <c r="C88" s="14" t="s">
        <v>433</v>
      </c>
      <c r="D88" s="14" t="s">
        <v>30</v>
      </c>
      <c r="E88" s="15" t="s">
        <v>434</v>
      </c>
      <c r="F88" s="16" t="s">
        <v>19</v>
      </c>
      <c r="G88" s="16" t="s">
        <v>406</v>
      </c>
      <c r="H88" s="17">
        <v>179000.0</v>
      </c>
      <c r="I88" s="22">
        <v>1.0</v>
      </c>
      <c r="J88" s="18">
        <v>179000.0</v>
      </c>
      <c r="K88" s="17">
        <v>179000.0</v>
      </c>
      <c r="L88" s="16" t="s">
        <v>41</v>
      </c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1"/>
    </row>
    <row r="89">
      <c r="A89" s="12" t="s">
        <v>435</v>
      </c>
      <c r="B89" s="13">
        <v>45684.0</v>
      </c>
      <c r="C89" s="14" t="s">
        <v>436</v>
      </c>
      <c r="D89" s="14" t="s">
        <v>30</v>
      </c>
      <c r="E89" s="15" t="s">
        <v>437</v>
      </c>
      <c r="F89" s="16" t="s">
        <v>27</v>
      </c>
      <c r="G89" s="16" t="s">
        <v>32</v>
      </c>
      <c r="H89" s="17">
        <v>149000.0</v>
      </c>
      <c r="I89" s="22">
        <v>2.0</v>
      </c>
      <c r="J89" s="18">
        <v>298000.0</v>
      </c>
      <c r="K89" s="17">
        <v>298000.0</v>
      </c>
      <c r="L89" s="16" t="s">
        <v>33</v>
      </c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4"/>
    </row>
    <row r="90">
      <c r="A90" s="12" t="s">
        <v>438</v>
      </c>
      <c r="B90" s="13">
        <v>45684.0</v>
      </c>
      <c r="C90" s="14" t="s">
        <v>439</v>
      </c>
      <c r="D90" s="14" t="s">
        <v>37</v>
      </c>
      <c r="E90" s="15" t="s">
        <v>440</v>
      </c>
      <c r="F90" s="16" t="s">
        <v>23</v>
      </c>
      <c r="G90" s="16" t="s">
        <v>397</v>
      </c>
      <c r="H90" s="17">
        <v>179000.0</v>
      </c>
      <c r="I90" s="22">
        <v>1.0</v>
      </c>
      <c r="J90" s="18">
        <v>179000.0</v>
      </c>
      <c r="K90" s="17">
        <v>179000.0</v>
      </c>
      <c r="L90" s="16" t="s">
        <v>41</v>
      </c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1"/>
    </row>
    <row r="91">
      <c r="A91" s="12" t="s">
        <v>441</v>
      </c>
      <c r="B91" s="13">
        <v>45684.0</v>
      </c>
      <c r="C91" s="14" t="s">
        <v>433</v>
      </c>
      <c r="D91" s="14" t="s">
        <v>30</v>
      </c>
      <c r="E91" s="15" t="s">
        <v>434</v>
      </c>
      <c r="F91" s="16" t="s">
        <v>19</v>
      </c>
      <c r="G91" s="16" t="s">
        <v>40</v>
      </c>
      <c r="H91" s="17">
        <v>179000.0</v>
      </c>
      <c r="I91" s="22">
        <v>1.0</v>
      </c>
      <c r="J91" s="18">
        <v>179000.0</v>
      </c>
      <c r="K91" s="17">
        <v>358000.0</v>
      </c>
      <c r="L91" s="16" t="s">
        <v>41</v>
      </c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4"/>
    </row>
    <row r="92">
      <c r="A92" s="12" t="s">
        <v>441</v>
      </c>
      <c r="B92" s="13">
        <v>45684.0</v>
      </c>
      <c r="C92" s="14" t="s">
        <v>433</v>
      </c>
      <c r="D92" s="14" t="s">
        <v>30</v>
      </c>
      <c r="E92" s="15" t="s">
        <v>434</v>
      </c>
      <c r="F92" s="16" t="s">
        <v>19</v>
      </c>
      <c r="G92" s="16" t="s">
        <v>52</v>
      </c>
      <c r="H92" s="17">
        <v>179000.0</v>
      </c>
      <c r="I92" s="22">
        <v>1.0</v>
      </c>
      <c r="J92" s="18">
        <v>179000.0</v>
      </c>
      <c r="K92" s="17">
        <v>358000.0</v>
      </c>
      <c r="L92" s="16" t="s">
        <v>41</v>
      </c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1"/>
    </row>
    <row r="93">
      <c r="A93" s="12" t="s">
        <v>442</v>
      </c>
      <c r="B93" s="13">
        <v>45685.0</v>
      </c>
      <c r="C93" s="14" t="s">
        <v>443</v>
      </c>
      <c r="D93" s="14" t="s">
        <v>30</v>
      </c>
      <c r="E93" s="15" t="s">
        <v>444</v>
      </c>
      <c r="F93" s="16" t="s">
        <v>7</v>
      </c>
      <c r="G93" s="16" t="s">
        <v>47</v>
      </c>
      <c r="H93" s="17">
        <v>149000.0</v>
      </c>
      <c r="I93" s="22">
        <v>1.0</v>
      </c>
      <c r="J93" s="18">
        <v>149000.0</v>
      </c>
      <c r="K93" s="17">
        <v>696000.0</v>
      </c>
      <c r="L93" s="16" t="s">
        <v>33</v>
      </c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4"/>
    </row>
    <row r="94">
      <c r="A94" s="12" t="s">
        <v>442</v>
      </c>
      <c r="B94" s="13">
        <v>45685.0</v>
      </c>
      <c r="C94" s="14" t="s">
        <v>443</v>
      </c>
      <c r="D94" s="14" t="s">
        <v>30</v>
      </c>
      <c r="E94" s="15" t="s">
        <v>444</v>
      </c>
      <c r="F94" s="16" t="s">
        <v>7</v>
      </c>
      <c r="G94" s="16" t="s">
        <v>56</v>
      </c>
      <c r="H94" s="17">
        <v>149000.0</v>
      </c>
      <c r="I94" s="22">
        <v>2.0</v>
      </c>
      <c r="J94" s="18">
        <v>298000.0</v>
      </c>
      <c r="K94" s="17">
        <v>696000.0</v>
      </c>
      <c r="L94" s="16" t="s">
        <v>33</v>
      </c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1"/>
    </row>
    <row r="95">
      <c r="A95" s="12" t="s">
        <v>442</v>
      </c>
      <c r="B95" s="13">
        <v>45685.0</v>
      </c>
      <c r="C95" s="14" t="s">
        <v>443</v>
      </c>
      <c r="D95" s="14" t="s">
        <v>30</v>
      </c>
      <c r="E95" s="15" t="s">
        <v>444</v>
      </c>
      <c r="F95" s="16" t="s">
        <v>7</v>
      </c>
      <c r="G95" s="16" t="s">
        <v>61</v>
      </c>
      <c r="H95" s="17">
        <v>249000.0</v>
      </c>
      <c r="I95" s="22">
        <v>1.0</v>
      </c>
      <c r="J95" s="18">
        <v>249000.0</v>
      </c>
      <c r="K95" s="17">
        <v>696000.0</v>
      </c>
      <c r="L95" s="16" t="s">
        <v>62</v>
      </c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4"/>
    </row>
    <row r="96">
      <c r="A96" s="12" t="s">
        <v>445</v>
      </c>
      <c r="B96" s="13">
        <v>45685.0</v>
      </c>
      <c r="C96" s="14" t="s">
        <v>446</v>
      </c>
      <c r="D96" s="14" t="s">
        <v>45</v>
      </c>
      <c r="E96" s="15" t="s">
        <v>447</v>
      </c>
      <c r="F96" s="16" t="s">
        <v>25</v>
      </c>
      <c r="G96" s="16" t="s">
        <v>406</v>
      </c>
      <c r="H96" s="17">
        <v>179000.0</v>
      </c>
      <c r="I96" s="22">
        <v>1.0</v>
      </c>
      <c r="J96" s="18">
        <v>179000.0</v>
      </c>
      <c r="K96" s="17">
        <v>179000.0</v>
      </c>
      <c r="L96" s="16" t="s">
        <v>41</v>
      </c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1"/>
    </row>
    <row r="97">
      <c r="A97" s="12" t="s">
        <v>448</v>
      </c>
      <c r="B97" s="13">
        <v>45686.0</v>
      </c>
      <c r="C97" s="14" t="s">
        <v>449</v>
      </c>
      <c r="D97" s="14" t="s">
        <v>177</v>
      </c>
      <c r="E97" s="15" t="s">
        <v>450</v>
      </c>
      <c r="F97" s="16" t="s">
        <v>1</v>
      </c>
      <c r="G97" s="16" t="s">
        <v>40</v>
      </c>
      <c r="H97" s="17">
        <v>179000.0</v>
      </c>
      <c r="I97" s="22">
        <v>1.0</v>
      </c>
      <c r="J97" s="18">
        <v>179000.0</v>
      </c>
      <c r="K97" s="17">
        <v>358000.0</v>
      </c>
      <c r="L97" s="16" t="s">
        <v>41</v>
      </c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4"/>
    </row>
    <row r="98">
      <c r="A98" s="12" t="s">
        <v>448</v>
      </c>
      <c r="B98" s="13">
        <v>45686.0</v>
      </c>
      <c r="C98" s="14" t="s">
        <v>449</v>
      </c>
      <c r="D98" s="14" t="s">
        <v>177</v>
      </c>
      <c r="E98" s="15" t="s">
        <v>450</v>
      </c>
      <c r="F98" s="16" t="s">
        <v>1</v>
      </c>
      <c r="G98" s="16" t="s">
        <v>52</v>
      </c>
      <c r="H98" s="17">
        <v>179000.0</v>
      </c>
      <c r="I98" s="22">
        <v>1.0</v>
      </c>
      <c r="J98" s="18">
        <v>179000.0</v>
      </c>
      <c r="K98" s="17">
        <v>358000.0</v>
      </c>
      <c r="L98" s="16" t="s">
        <v>41</v>
      </c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1"/>
    </row>
    <row r="99">
      <c r="A99" s="12" t="s">
        <v>451</v>
      </c>
      <c r="B99" s="13">
        <v>45686.0</v>
      </c>
      <c r="C99" s="14" t="s">
        <v>452</v>
      </c>
      <c r="D99" s="14" t="s">
        <v>30</v>
      </c>
      <c r="E99" s="15" t="s">
        <v>453</v>
      </c>
      <c r="F99" s="16" t="s">
        <v>3</v>
      </c>
      <c r="G99" s="16" t="s">
        <v>422</v>
      </c>
      <c r="H99" s="17">
        <v>179000.0</v>
      </c>
      <c r="I99" s="22">
        <v>2.0</v>
      </c>
      <c r="J99" s="18">
        <v>358000.0</v>
      </c>
      <c r="K99" s="17">
        <v>358000.0</v>
      </c>
      <c r="L99" s="16" t="s">
        <v>41</v>
      </c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4"/>
    </row>
    <row r="100">
      <c r="A100" s="12" t="s">
        <v>454</v>
      </c>
      <c r="B100" s="13">
        <v>45687.0</v>
      </c>
      <c r="C100" s="14" t="s">
        <v>455</v>
      </c>
      <c r="D100" s="14" t="s">
        <v>30</v>
      </c>
      <c r="E100" s="15" t="s">
        <v>456</v>
      </c>
      <c r="F100" s="16" t="s">
        <v>3</v>
      </c>
      <c r="G100" s="16" t="s">
        <v>70</v>
      </c>
      <c r="H100" s="17">
        <v>179000.0</v>
      </c>
      <c r="I100" s="18">
        <v>1.0</v>
      </c>
      <c r="J100" s="18">
        <v>179000.0</v>
      </c>
      <c r="K100" s="17">
        <v>179000.0</v>
      </c>
      <c r="L100" s="16" t="s">
        <v>41</v>
      </c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1"/>
    </row>
    <row r="101">
      <c r="A101" s="12" t="s">
        <v>457</v>
      </c>
      <c r="B101" s="13">
        <v>45688.0</v>
      </c>
      <c r="C101" s="14" t="s">
        <v>458</v>
      </c>
      <c r="D101" s="14" t="s">
        <v>30</v>
      </c>
      <c r="E101" s="15" t="s">
        <v>459</v>
      </c>
      <c r="F101" s="16" t="s">
        <v>23</v>
      </c>
      <c r="G101" s="16" t="s">
        <v>63</v>
      </c>
      <c r="H101" s="17">
        <v>249000.0</v>
      </c>
      <c r="I101" s="22">
        <v>1.0</v>
      </c>
      <c r="J101" s="18">
        <v>249000.0</v>
      </c>
      <c r="K101" s="17">
        <v>249000.0</v>
      </c>
      <c r="L101" s="16" t="s">
        <v>62</v>
      </c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4"/>
    </row>
    <row r="102">
      <c r="A102" s="12" t="s">
        <v>460</v>
      </c>
      <c r="B102" s="13">
        <v>45688.0</v>
      </c>
      <c r="C102" s="14" t="s">
        <v>461</v>
      </c>
      <c r="D102" s="14" t="s">
        <v>30</v>
      </c>
      <c r="E102" s="15" t="s">
        <v>462</v>
      </c>
      <c r="F102" s="16" t="s">
        <v>1</v>
      </c>
      <c r="G102" s="16" t="s">
        <v>422</v>
      </c>
      <c r="H102" s="17">
        <v>179000.0</v>
      </c>
      <c r="I102" s="22">
        <v>1.0</v>
      </c>
      <c r="J102" s="18">
        <v>179000.0</v>
      </c>
      <c r="K102" s="17">
        <v>179000.0</v>
      </c>
      <c r="L102" s="16" t="s">
        <v>41</v>
      </c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1"/>
    </row>
    <row r="103">
      <c r="A103" s="12" t="s">
        <v>463</v>
      </c>
      <c r="B103" s="13">
        <v>45688.0</v>
      </c>
      <c r="C103" s="14" t="s">
        <v>464</v>
      </c>
      <c r="D103" s="14" t="s">
        <v>45</v>
      </c>
      <c r="E103" s="15" t="s">
        <v>465</v>
      </c>
      <c r="F103" s="16" t="s">
        <v>3</v>
      </c>
      <c r="G103" s="16" t="s">
        <v>74</v>
      </c>
      <c r="H103" s="17">
        <v>149000.0</v>
      </c>
      <c r="I103" s="22">
        <v>1.0</v>
      </c>
      <c r="J103" s="18">
        <v>149000.0</v>
      </c>
      <c r="K103" s="17">
        <v>298000.0</v>
      </c>
      <c r="L103" s="16" t="s">
        <v>33</v>
      </c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4"/>
    </row>
    <row r="104">
      <c r="A104" s="12" t="s">
        <v>463</v>
      </c>
      <c r="B104" s="13">
        <v>45688.0</v>
      </c>
      <c r="C104" s="14" t="s">
        <v>464</v>
      </c>
      <c r="D104" s="14" t="s">
        <v>45</v>
      </c>
      <c r="E104" s="15" t="s">
        <v>465</v>
      </c>
      <c r="F104" s="16" t="s">
        <v>3</v>
      </c>
      <c r="G104" s="16" t="s">
        <v>32</v>
      </c>
      <c r="H104" s="17">
        <v>149000.0</v>
      </c>
      <c r="I104" s="22">
        <v>1.0</v>
      </c>
      <c r="J104" s="18">
        <v>149000.0</v>
      </c>
      <c r="K104" s="17">
        <v>298000.0</v>
      </c>
      <c r="L104" s="16" t="s">
        <v>33</v>
      </c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1"/>
    </row>
    <row r="105">
      <c r="A105" s="12" t="s">
        <v>466</v>
      </c>
      <c r="B105" s="13">
        <v>45689.0</v>
      </c>
      <c r="C105" s="14" t="s">
        <v>467</v>
      </c>
      <c r="D105" s="14" t="s">
        <v>30</v>
      </c>
      <c r="E105" s="15" t="s">
        <v>468</v>
      </c>
      <c r="F105" s="16" t="s">
        <v>25</v>
      </c>
      <c r="G105" s="16" t="s">
        <v>65</v>
      </c>
      <c r="H105" s="17">
        <v>249000.0</v>
      </c>
      <c r="I105" s="22">
        <v>1.0</v>
      </c>
      <c r="J105" s="18">
        <v>249000.0</v>
      </c>
      <c r="K105" s="17">
        <v>249000.0</v>
      </c>
      <c r="L105" s="16" t="s">
        <v>62</v>
      </c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4"/>
    </row>
    <row r="106">
      <c r="A106" s="12" t="s">
        <v>469</v>
      </c>
      <c r="B106" s="13">
        <v>45689.0</v>
      </c>
      <c r="C106" s="14" t="s">
        <v>470</v>
      </c>
      <c r="D106" s="14" t="s">
        <v>45</v>
      </c>
      <c r="E106" s="15" t="s">
        <v>471</v>
      </c>
      <c r="F106" s="16" t="s">
        <v>1</v>
      </c>
      <c r="G106" s="16" t="s">
        <v>70</v>
      </c>
      <c r="H106" s="17">
        <v>179000.0</v>
      </c>
      <c r="I106" s="22">
        <v>1.0</v>
      </c>
      <c r="J106" s="18">
        <v>179000.0</v>
      </c>
      <c r="K106" s="17">
        <v>328000.0</v>
      </c>
      <c r="L106" s="16" t="s">
        <v>41</v>
      </c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1"/>
    </row>
    <row r="107">
      <c r="A107" s="12" t="s">
        <v>469</v>
      </c>
      <c r="B107" s="13">
        <v>45689.0</v>
      </c>
      <c r="C107" s="14" t="s">
        <v>470</v>
      </c>
      <c r="D107" s="14" t="s">
        <v>45</v>
      </c>
      <c r="E107" s="15" t="s">
        <v>471</v>
      </c>
      <c r="F107" s="16" t="s">
        <v>1</v>
      </c>
      <c r="G107" s="16" t="s">
        <v>74</v>
      </c>
      <c r="H107" s="17">
        <v>149000.0</v>
      </c>
      <c r="I107" s="22">
        <v>1.0</v>
      </c>
      <c r="J107" s="18">
        <v>149000.0</v>
      </c>
      <c r="K107" s="17">
        <v>328000.0</v>
      </c>
      <c r="L107" s="16" t="s">
        <v>33</v>
      </c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4"/>
    </row>
    <row r="108">
      <c r="A108" s="12" t="s">
        <v>472</v>
      </c>
      <c r="B108" s="13">
        <v>45689.0</v>
      </c>
      <c r="C108" s="14" t="s">
        <v>473</v>
      </c>
      <c r="D108" s="14" t="s">
        <v>45</v>
      </c>
      <c r="E108" s="15" t="s">
        <v>474</v>
      </c>
      <c r="F108" s="16" t="s">
        <v>3</v>
      </c>
      <c r="G108" s="16" t="s">
        <v>406</v>
      </c>
      <c r="H108" s="17">
        <v>179000.0</v>
      </c>
      <c r="I108" s="22">
        <v>1.0</v>
      </c>
      <c r="J108" s="18">
        <v>179000.0</v>
      </c>
      <c r="K108" s="17">
        <v>179000.0</v>
      </c>
      <c r="L108" s="16" t="s">
        <v>41</v>
      </c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1"/>
    </row>
    <row r="109">
      <c r="A109" s="12" t="s">
        <v>475</v>
      </c>
      <c r="B109" s="13">
        <v>45690.0</v>
      </c>
      <c r="C109" s="14" t="s">
        <v>476</v>
      </c>
      <c r="D109" s="14" t="s">
        <v>45</v>
      </c>
      <c r="E109" s="15" t="s">
        <v>477</v>
      </c>
      <c r="F109" s="16" t="s">
        <v>26</v>
      </c>
      <c r="G109" s="16" t="s">
        <v>81</v>
      </c>
      <c r="H109" s="17">
        <v>249000.0</v>
      </c>
      <c r="I109" s="22">
        <v>1.0</v>
      </c>
      <c r="J109" s="18">
        <v>249000.0</v>
      </c>
      <c r="K109" s="17">
        <v>249000.0</v>
      </c>
      <c r="L109" s="16" t="s">
        <v>62</v>
      </c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4"/>
    </row>
    <row r="110">
      <c r="A110" s="12" t="s">
        <v>478</v>
      </c>
      <c r="B110" s="13">
        <v>45690.0</v>
      </c>
      <c r="C110" s="14" t="s">
        <v>479</v>
      </c>
      <c r="D110" s="14" t="s">
        <v>30</v>
      </c>
      <c r="E110" s="15" t="s">
        <v>480</v>
      </c>
      <c r="F110" s="16" t="s">
        <v>3</v>
      </c>
      <c r="G110" s="16" t="s">
        <v>47</v>
      </c>
      <c r="H110" s="17">
        <v>149000.0</v>
      </c>
      <c r="I110" s="22">
        <v>1.0</v>
      </c>
      <c r="J110" s="18">
        <v>149000.0</v>
      </c>
      <c r="K110" s="17">
        <v>1742000.0</v>
      </c>
      <c r="L110" s="16" t="s">
        <v>33</v>
      </c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1"/>
    </row>
    <row r="111">
      <c r="A111" s="12" t="s">
        <v>478</v>
      </c>
      <c r="B111" s="13">
        <v>45690.0</v>
      </c>
      <c r="C111" s="14" t="s">
        <v>479</v>
      </c>
      <c r="D111" s="14" t="s">
        <v>30</v>
      </c>
      <c r="E111" s="15" t="s">
        <v>480</v>
      </c>
      <c r="F111" s="16" t="s">
        <v>3</v>
      </c>
      <c r="G111" s="16" t="s">
        <v>56</v>
      </c>
      <c r="H111" s="17">
        <v>149000.0</v>
      </c>
      <c r="I111" s="22">
        <v>1.0</v>
      </c>
      <c r="J111" s="18">
        <v>149000.0</v>
      </c>
      <c r="K111" s="17">
        <v>1742000.0</v>
      </c>
      <c r="L111" s="16" t="s">
        <v>33</v>
      </c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4"/>
    </row>
    <row r="112">
      <c r="A112" s="12" t="s">
        <v>478</v>
      </c>
      <c r="B112" s="13">
        <v>45690.0</v>
      </c>
      <c r="C112" s="14" t="s">
        <v>479</v>
      </c>
      <c r="D112" s="14" t="s">
        <v>30</v>
      </c>
      <c r="E112" s="15" t="s">
        <v>480</v>
      </c>
      <c r="F112" s="16" t="s">
        <v>3</v>
      </c>
      <c r="G112" s="16" t="s">
        <v>61</v>
      </c>
      <c r="H112" s="17">
        <v>249000.0</v>
      </c>
      <c r="I112" s="22">
        <v>1.0</v>
      </c>
      <c r="J112" s="18">
        <v>249000.0</v>
      </c>
      <c r="K112" s="17">
        <v>1742000.0</v>
      </c>
      <c r="L112" s="16" t="s">
        <v>62</v>
      </c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1"/>
    </row>
    <row r="113">
      <c r="A113" s="12" t="s">
        <v>478</v>
      </c>
      <c r="B113" s="13">
        <v>45690.0</v>
      </c>
      <c r="C113" s="14" t="s">
        <v>479</v>
      </c>
      <c r="D113" s="14" t="s">
        <v>30</v>
      </c>
      <c r="E113" s="15" t="s">
        <v>480</v>
      </c>
      <c r="F113" s="16" t="s">
        <v>3</v>
      </c>
      <c r="G113" s="16" t="s">
        <v>63</v>
      </c>
      <c r="H113" s="17">
        <v>249000.0</v>
      </c>
      <c r="I113" s="22">
        <v>1.0</v>
      </c>
      <c r="J113" s="18">
        <v>249000.0</v>
      </c>
      <c r="K113" s="17">
        <v>1742000.0</v>
      </c>
      <c r="L113" s="16" t="s">
        <v>62</v>
      </c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4"/>
    </row>
    <row r="114">
      <c r="A114" s="12" t="s">
        <v>478</v>
      </c>
      <c r="B114" s="13">
        <v>45690.0</v>
      </c>
      <c r="C114" s="14" t="s">
        <v>479</v>
      </c>
      <c r="D114" s="14" t="s">
        <v>30</v>
      </c>
      <c r="E114" s="15" t="s">
        <v>480</v>
      </c>
      <c r="F114" s="16" t="s">
        <v>3</v>
      </c>
      <c r="G114" s="16" t="s">
        <v>65</v>
      </c>
      <c r="H114" s="17">
        <v>249000.0</v>
      </c>
      <c r="I114" s="22">
        <v>1.0</v>
      </c>
      <c r="J114" s="18">
        <v>249000.0</v>
      </c>
      <c r="K114" s="17">
        <v>1742000.0</v>
      </c>
      <c r="L114" s="16" t="s">
        <v>62</v>
      </c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1"/>
    </row>
    <row r="115">
      <c r="A115" s="12" t="s">
        <v>478</v>
      </c>
      <c r="B115" s="13">
        <v>45690.0</v>
      </c>
      <c r="C115" s="14" t="s">
        <v>479</v>
      </c>
      <c r="D115" s="14" t="s">
        <v>30</v>
      </c>
      <c r="E115" s="15" t="s">
        <v>480</v>
      </c>
      <c r="F115" s="16" t="s">
        <v>3</v>
      </c>
      <c r="G115" s="16" t="s">
        <v>81</v>
      </c>
      <c r="H115" s="17">
        <v>249000.0</v>
      </c>
      <c r="I115" s="22">
        <v>2.0</v>
      </c>
      <c r="J115" s="18">
        <v>498000.0</v>
      </c>
      <c r="K115" s="17">
        <v>1742000.0</v>
      </c>
      <c r="L115" s="16" t="s">
        <v>62</v>
      </c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4"/>
    </row>
    <row r="116">
      <c r="A116" s="12" t="s">
        <v>478</v>
      </c>
      <c r="B116" s="13">
        <v>45690.0</v>
      </c>
      <c r="C116" s="14" t="s">
        <v>479</v>
      </c>
      <c r="D116" s="14" t="s">
        <v>30</v>
      </c>
      <c r="E116" s="15" t="s">
        <v>480</v>
      </c>
      <c r="F116" s="16" t="s">
        <v>3</v>
      </c>
      <c r="G116" s="16" t="s">
        <v>84</v>
      </c>
      <c r="H116" s="17">
        <v>199000.0</v>
      </c>
      <c r="I116" s="22">
        <v>1.0</v>
      </c>
      <c r="J116" s="18">
        <v>199000.0</v>
      </c>
      <c r="K116" s="17">
        <v>1742000.0</v>
      </c>
      <c r="L116" s="16" t="s">
        <v>41</v>
      </c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1"/>
    </row>
    <row r="117">
      <c r="A117" s="12" t="s">
        <v>481</v>
      </c>
      <c r="B117" s="13">
        <v>45690.0</v>
      </c>
      <c r="C117" s="14" t="s">
        <v>482</v>
      </c>
      <c r="D117" s="14" t="s">
        <v>30</v>
      </c>
      <c r="E117" s="15" t="s">
        <v>483</v>
      </c>
      <c r="F117" s="16" t="s">
        <v>5</v>
      </c>
      <c r="G117" s="16" t="s">
        <v>40</v>
      </c>
      <c r="H117" s="17">
        <v>179000.0</v>
      </c>
      <c r="I117" s="22">
        <v>1.0</v>
      </c>
      <c r="J117" s="18">
        <v>179000.0</v>
      </c>
      <c r="K117" s="17">
        <v>179000.0</v>
      </c>
      <c r="L117" s="16" t="s">
        <v>41</v>
      </c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4"/>
    </row>
    <row r="118">
      <c r="A118" s="12" t="s">
        <v>484</v>
      </c>
      <c r="B118" s="13">
        <v>45691.0</v>
      </c>
      <c r="C118" s="14" t="s">
        <v>485</v>
      </c>
      <c r="D118" s="14" t="s">
        <v>45</v>
      </c>
      <c r="E118" s="15" t="s">
        <v>486</v>
      </c>
      <c r="F118" s="16" t="s">
        <v>1</v>
      </c>
      <c r="G118" s="16" t="s">
        <v>84</v>
      </c>
      <c r="H118" s="17">
        <v>199000.0</v>
      </c>
      <c r="I118" s="22">
        <v>1.0</v>
      </c>
      <c r="J118" s="18">
        <v>199000.0</v>
      </c>
      <c r="K118" s="17">
        <v>199000.0</v>
      </c>
      <c r="L118" s="16" t="s">
        <v>41</v>
      </c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1"/>
    </row>
    <row r="119">
      <c r="A119" s="12" t="s">
        <v>487</v>
      </c>
      <c r="B119" s="13">
        <v>45691.0</v>
      </c>
      <c r="C119" s="14" t="s">
        <v>488</v>
      </c>
      <c r="D119" s="14" t="s">
        <v>45</v>
      </c>
      <c r="E119" s="15" t="s">
        <v>489</v>
      </c>
      <c r="F119" s="16" t="s">
        <v>15</v>
      </c>
      <c r="G119" s="16" t="s">
        <v>32</v>
      </c>
      <c r="H119" s="17">
        <v>149000.0</v>
      </c>
      <c r="I119" s="22">
        <v>2.0</v>
      </c>
      <c r="J119" s="18">
        <v>298000.0</v>
      </c>
      <c r="K119" s="17">
        <v>298000.0</v>
      </c>
      <c r="L119" s="16" t="s">
        <v>33</v>
      </c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4"/>
    </row>
    <row r="120">
      <c r="A120" s="12" t="s">
        <v>490</v>
      </c>
      <c r="B120" s="13">
        <v>45691.0</v>
      </c>
      <c r="C120" s="14" t="s">
        <v>491</v>
      </c>
      <c r="D120" s="14" t="s">
        <v>30</v>
      </c>
      <c r="E120" s="15" t="s">
        <v>492</v>
      </c>
      <c r="F120" s="16" t="s">
        <v>19</v>
      </c>
      <c r="G120" s="16" t="s">
        <v>52</v>
      </c>
      <c r="H120" s="17">
        <v>179000.0</v>
      </c>
      <c r="I120" s="22">
        <v>1.0</v>
      </c>
      <c r="J120" s="18">
        <v>179000.0</v>
      </c>
      <c r="K120" s="17">
        <v>179000.0</v>
      </c>
      <c r="L120" s="16" t="s">
        <v>41</v>
      </c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1"/>
    </row>
    <row r="121">
      <c r="A121" s="12" t="s">
        <v>493</v>
      </c>
      <c r="B121" s="13">
        <v>45692.0</v>
      </c>
      <c r="C121" s="14" t="s">
        <v>494</v>
      </c>
      <c r="D121" s="14" t="s">
        <v>45</v>
      </c>
      <c r="E121" s="15" t="s">
        <v>495</v>
      </c>
      <c r="F121" s="16" t="s">
        <v>1</v>
      </c>
      <c r="G121" s="16" t="s">
        <v>85</v>
      </c>
      <c r="H121" s="17">
        <v>199000.0</v>
      </c>
      <c r="I121" s="22">
        <v>1.0</v>
      </c>
      <c r="J121" s="18">
        <v>199000.0</v>
      </c>
      <c r="K121" s="17">
        <v>398000.0</v>
      </c>
      <c r="L121" s="16" t="s">
        <v>41</v>
      </c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4"/>
    </row>
    <row r="122">
      <c r="A122" s="12" t="s">
        <v>493</v>
      </c>
      <c r="B122" s="13">
        <v>45692.0</v>
      </c>
      <c r="C122" s="14" t="s">
        <v>494</v>
      </c>
      <c r="D122" s="14" t="s">
        <v>45</v>
      </c>
      <c r="E122" s="15" t="s">
        <v>495</v>
      </c>
      <c r="F122" s="16" t="s">
        <v>1</v>
      </c>
      <c r="G122" s="16" t="s">
        <v>95</v>
      </c>
      <c r="H122" s="17">
        <v>199000.0</v>
      </c>
      <c r="I122" s="22">
        <v>1.0</v>
      </c>
      <c r="J122" s="18">
        <v>199000.0</v>
      </c>
      <c r="K122" s="17">
        <v>398000.0</v>
      </c>
      <c r="L122" s="16" t="s">
        <v>41</v>
      </c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1"/>
    </row>
    <row r="123">
      <c r="A123" s="12" t="s">
        <v>496</v>
      </c>
      <c r="B123" s="13">
        <v>45692.0</v>
      </c>
      <c r="C123" s="14" t="s">
        <v>497</v>
      </c>
      <c r="D123" s="14" t="s">
        <v>30</v>
      </c>
      <c r="E123" s="15" t="s">
        <v>498</v>
      </c>
      <c r="F123" s="16" t="s">
        <v>39</v>
      </c>
      <c r="G123" s="16" t="s">
        <v>47</v>
      </c>
      <c r="H123" s="17">
        <v>149000.0</v>
      </c>
      <c r="I123" s="18">
        <v>1.0</v>
      </c>
      <c r="J123" s="18">
        <v>149000.0</v>
      </c>
      <c r="K123" s="17">
        <v>149000.0</v>
      </c>
      <c r="L123" s="16" t="s">
        <v>33</v>
      </c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4"/>
    </row>
    <row r="124">
      <c r="A124" s="12" t="s">
        <v>499</v>
      </c>
      <c r="B124" s="13">
        <v>45692.0</v>
      </c>
      <c r="C124" s="14" t="s">
        <v>500</v>
      </c>
      <c r="D124" s="14" t="s">
        <v>30</v>
      </c>
      <c r="E124" s="15" t="s">
        <v>201</v>
      </c>
      <c r="F124" s="16" t="s">
        <v>27</v>
      </c>
      <c r="G124" s="16" t="s">
        <v>422</v>
      </c>
      <c r="H124" s="17">
        <v>179000.0</v>
      </c>
      <c r="I124" s="22">
        <v>1.0</v>
      </c>
      <c r="J124" s="18">
        <v>179000.0</v>
      </c>
      <c r="K124" s="17">
        <v>179000.0</v>
      </c>
      <c r="L124" s="16" t="s">
        <v>41</v>
      </c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1"/>
    </row>
    <row r="125">
      <c r="A125" s="12" t="s">
        <v>501</v>
      </c>
      <c r="B125" s="13">
        <v>45693.0</v>
      </c>
      <c r="C125" s="14" t="s">
        <v>502</v>
      </c>
      <c r="D125" s="14" t="s">
        <v>30</v>
      </c>
      <c r="E125" s="15" t="s">
        <v>503</v>
      </c>
      <c r="F125" s="16" t="s">
        <v>11</v>
      </c>
      <c r="G125" s="16" t="s">
        <v>56</v>
      </c>
      <c r="H125" s="17">
        <v>149000.0</v>
      </c>
      <c r="I125" s="22">
        <v>1.0</v>
      </c>
      <c r="J125" s="18">
        <v>149000.0</v>
      </c>
      <c r="K125" s="17">
        <v>149000.0</v>
      </c>
      <c r="L125" s="16" t="s">
        <v>33</v>
      </c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4"/>
    </row>
    <row r="126">
      <c r="A126" s="12" t="s">
        <v>504</v>
      </c>
      <c r="B126" s="13">
        <v>45693.0</v>
      </c>
      <c r="C126" s="14" t="s">
        <v>505</v>
      </c>
      <c r="D126" s="14" t="s">
        <v>45</v>
      </c>
      <c r="E126" s="15" t="s">
        <v>506</v>
      </c>
      <c r="F126" s="16" t="s">
        <v>7</v>
      </c>
      <c r="G126" s="16" t="s">
        <v>70</v>
      </c>
      <c r="H126" s="17">
        <v>179000.0</v>
      </c>
      <c r="I126" s="22">
        <v>2.0</v>
      </c>
      <c r="J126" s="18">
        <v>358000.0</v>
      </c>
      <c r="K126" s="17">
        <v>358000.0</v>
      </c>
      <c r="L126" s="16" t="s">
        <v>41</v>
      </c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1"/>
    </row>
    <row r="127">
      <c r="A127" s="12" t="s">
        <v>507</v>
      </c>
      <c r="B127" s="13">
        <v>45694.0</v>
      </c>
      <c r="C127" s="14" t="s">
        <v>508</v>
      </c>
      <c r="D127" s="14" t="s">
        <v>45</v>
      </c>
      <c r="E127" s="15" t="s">
        <v>509</v>
      </c>
      <c r="F127" s="16" t="s">
        <v>1</v>
      </c>
      <c r="G127" s="16" t="s">
        <v>99</v>
      </c>
      <c r="H127" s="17">
        <v>199000.0</v>
      </c>
      <c r="I127" s="22">
        <v>1.0</v>
      </c>
      <c r="J127" s="18">
        <v>199000.0</v>
      </c>
      <c r="K127" s="17">
        <v>199000.0</v>
      </c>
      <c r="L127" s="16" t="s">
        <v>41</v>
      </c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4"/>
    </row>
    <row r="128">
      <c r="A128" s="12" t="s">
        <v>510</v>
      </c>
      <c r="B128" s="13">
        <v>45694.0</v>
      </c>
      <c r="C128" s="14" t="s">
        <v>511</v>
      </c>
      <c r="D128" s="14" t="s">
        <v>45</v>
      </c>
      <c r="E128" s="15" t="s">
        <v>512</v>
      </c>
      <c r="F128" s="16" t="s">
        <v>12</v>
      </c>
      <c r="G128" s="16" t="s">
        <v>61</v>
      </c>
      <c r="H128" s="17">
        <v>249000.0</v>
      </c>
      <c r="I128" s="22">
        <v>1.0</v>
      </c>
      <c r="J128" s="18">
        <v>249000.0</v>
      </c>
      <c r="K128" s="17">
        <v>249000.0</v>
      </c>
      <c r="L128" s="16" t="s">
        <v>62</v>
      </c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1"/>
    </row>
    <row r="129">
      <c r="A129" s="12" t="s">
        <v>513</v>
      </c>
      <c r="B129" s="13">
        <v>45694.0</v>
      </c>
      <c r="C129" s="14" t="s">
        <v>514</v>
      </c>
      <c r="D129" s="14" t="s">
        <v>45</v>
      </c>
      <c r="E129" s="15" t="s">
        <v>515</v>
      </c>
      <c r="F129" s="16" t="s">
        <v>12</v>
      </c>
      <c r="G129" s="16" t="s">
        <v>74</v>
      </c>
      <c r="H129" s="17">
        <v>149000.0</v>
      </c>
      <c r="I129" s="22">
        <v>1.0</v>
      </c>
      <c r="J129" s="18">
        <v>149000.0</v>
      </c>
      <c r="K129" s="17">
        <v>149000.0</v>
      </c>
      <c r="L129" s="16" t="s">
        <v>33</v>
      </c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4"/>
    </row>
    <row r="130">
      <c r="A130" s="12" t="s">
        <v>516</v>
      </c>
      <c r="B130" s="13">
        <v>45695.0</v>
      </c>
      <c r="C130" s="14" t="s">
        <v>517</v>
      </c>
      <c r="D130" s="14" t="s">
        <v>30</v>
      </c>
      <c r="E130" s="15" t="s">
        <v>518</v>
      </c>
      <c r="F130" s="16" t="s">
        <v>1</v>
      </c>
      <c r="G130" s="16" t="s">
        <v>103</v>
      </c>
      <c r="H130" s="17">
        <v>199000.0</v>
      </c>
      <c r="I130" s="22">
        <v>1.0</v>
      </c>
      <c r="J130" s="18">
        <v>199000.0</v>
      </c>
      <c r="K130" s="17">
        <v>597000.0</v>
      </c>
      <c r="L130" s="16" t="s">
        <v>41</v>
      </c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1"/>
    </row>
    <row r="131">
      <c r="A131" s="12" t="s">
        <v>516</v>
      </c>
      <c r="B131" s="13">
        <v>45695.0</v>
      </c>
      <c r="C131" s="14" t="s">
        <v>517</v>
      </c>
      <c r="D131" s="14" t="s">
        <v>30</v>
      </c>
      <c r="E131" s="15" t="s">
        <v>518</v>
      </c>
      <c r="F131" s="16" t="s">
        <v>1</v>
      </c>
      <c r="G131" s="16" t="s">
        <v>107</v>
      </c>
      <c r="H131" s="17">
        <v>199000.0</v>
      </c>
      <c r="I131" s="22">
        <v>2.0</v>
      </c>
      <c r="J131" s="18">
        <v>398000.0</v>
      </c>
      <c r="K131" s="17">
        <v>597000.0</v>
      </c>
      <c r="L131" s="16" t="s">
        <v>41</v>
      </c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4"/>
    </row>
    <row r="132">
      <c r="A132" s="12" t="s">
        <v>519</v>
      </c>
      <c r="B132" s="13">
        <v>45695.0</v>
      </c>
      <c r="C132" s="14" t="s">
        <v>520</v>
      </c>
      <c r="D132" s="14" t="s">
        <v>30</v>
      </c>
      <c r="E132" s="15" t="s">
        <v>521</v>
      </c>
      <c r="F132" s="16" t="s">
        <v>1</v>
      </c>
      <c r="G132" s="16" t="s">
        <v>63</v>
      </c>
      <c r="H132" s="17">
        <v>249000.0</v>
      </c>
      <c r="I132" s="22">
        <v>1.0</v>
      </c>
      <c r="J132" s="18">
        <v>249000.0</v>
      </c>
      <c r="K132" s="17">
        <v>249000.0</v>
      </c>
      <c r="L132" s="16" t="s">
        <v>62</v>
      </c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1"/>
    </row>
    <row r="133">
      <c r="A133" s="12" t="s">
        <v>522</v>
      </c>
      <c r="B133" s="13">
        <v>45695.0</v>
      </c>
      <c r="C133" s="14" t="s">
        <v>523</v>
      </c>
      <c r="D133" s="14" t="s">
        <v>45</v>
      </c>
      <c r="E133" s="15" t="s">
        <v>524</v>
      </c>
      <c r="F133" s="16" t="s">
        <v>3</v>
      </c>
      <c r="G133" s="16" t="s">
        <v>32</v>
      </c>
      <c r="H133" s="17">
        <v>149000.0</v>
      </c>
      <c r="I133" s="22">
        <v>2.0</v>
      </c>
      <c r="J133" s="18">
        <v>298000.0</v>
      </c>
      <c r="K133" s="17">
        <v>298000.0</v>
      </c>
      <c r="L133" s="16" t="s">
        <v>33</v>
      </c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4"/>
    </row>
    <row r="134">
      <c r="A134" s="12" t="s">
        <v>525</v>
      </c>
      <c r="B134" s="13">
        <v>45696.0</v>
      </c>
      <c r="C134" s="14" t="s">
        <v>526</v>
      </c>
      <c r="D134" s="14" t="s">
        <v>30</v>
      </c>
      <c r="E134" s="15" t="s">
        <v>527</v>
      </c>
      <c r="F134" s="16" t="s">
        <v>17</v>
      </c>
      <c r="G134" s="16" t="s">
        <v>65</v>
      </c>
      <c r="H134" s="17">
        <v>249000.0</v>
      </c>
      <c r="I134" s="22">
        <v>1.0</v>
      </c>
      <c r="J134" s="18">
        <v>249000.0</v>
      </c>
      <c r="K134" s="17">
        <v>249000.0</v>
      </c>
      <c r="L134" s="16" t="s">
        <v>62</v>
      </c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1"/>
    </row>
    <row r="135">
      <c r="A135" s="12" t="s">
        <v>528</v>
      </c>
      <c r="B135" s="13">
        <v>45696.0</v>
      </c>
      <c r="C135" s="14" t="s">
        <v>529</v>
      </c>
      <c r="D135" s="14" t="s">
        <v>37</v>
      </c>
      <c r="E135" s="15" t="s">
        <v>530</v>
      </c>
      <c r="F135" s="16" t="s">
        <v>5</v>
      </c>
      <c r="G135" s="16" t="s">
        <v>47</v>
      </c>
      <c r="H135" s="17">
        <v>149000.0</v>
      </c>
      <c r="I135" s="22">
        <v>1.0</v>
      </c>
      <c r="J135" s="18">
        <v>149000.0</v>
      </c>
      <c r="K135" s="17">
        <v>149000.0</v>
      </c>
      <c r="L135" s="16" t="s">
        <v>33</v>
      </c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4"/>
    </row>
    <row r="136">
      <c r="A136" s="12" t="s">
        <v>531</v>
      </c>
      <c r="B136" s="13">
        <v>45697.0</v>
      </c>
      <c r="C136" s="14" t="s">
        <v>532</v>
      </c>
      <c r="D136" s="14" t="s">
        <v>45</v>
      </c>
      <c r="E136" s="15" t="s">
        <v>533</v>
      </c>
      <c r="F136" s="16" t="s">
        <v>1</v>
      </c>
      <c r="G136" s="16" t="s">
        <v>112</v>
      </c>
      <c r="H136" s="17">
        <v>329000.0</v>
      </c>
      <c r="I136" s="18">
        <v>1.0</v>
      </c>
      <c r="J136" s="18">
        <v>329000.0</v>
      </c>
      <c r="K136" s="17">
        <v>329000.0</v>
      </c>
      <c r="L136" s="16" t="s">
        <v>113</v>
      </c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1"/>
    </row>
    <row r="137">
      <c r="A137" s="12" t="s">
        <v>534</v>
      </c>
      <c r="B137" s="13">
        <v>45697.0</v>
      </c>
      <c r="C137" s="14" t="s">
        <v>535</v>
      </c>
      <c r="D137" s="14" t="s">
        <v>30</v>
      </c>
      <c r="E137" s="15" t="s">
        <v>536</v>
      </c>
      <c r="F137" s="16" t="s">
        <v>10</v>
      </c>
      <c r="G137" s="16" t="s">
        <v>81</v>
      </c>
      <c r="H137" s="17">
        <v>249000.0</v>
      </c>
      <c r="I137" s="22">
        <v>1.0</v>
      </c>
      <c r="J137" s="18">
        <v>249000.0</v>
      </c>
      <c r="K137" s="17">
        <v>249000.0</v>
      </c>
      <c r="L137" s="16" t="s">
        <v>62</v>
      </c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4"/>
    </row>
    <row r="138">
      <c r="A138" s="12" t="s">
        <v>537</v>
      </c>
      <c r="B138" s="13">
        <v>45697.0</v>
      </c>
      <c r="C138" s="14" t="s">
        <v>538</v>
      </c>
      <c r="D138" s="14" t="s">
        <v>30</v>
      </c>
      <c r="E138" s="15" t="s">
        <v>539</v>
      </c>
      <c r="F138" s="16" t="s">
        <v>1</v>
      </c>
      <c r="G138" s="16" t="s">
        <v>85</v>
      </c>
      <c r="H138" s="17">
        <v>199000.0</v>
      </c>
      <c r="I138" s="18">
        <v>1.0</v>
      </c>
      <c r="J138" s="18">
        <v>199000.0</v>
      </c>
      <c r="K138" s="17">
        <v>199000.0</v>
      </c>
      <c r="L138" s="16" t="s">
        <v>41</v>
      </c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1"/>
    </row>
    <row r="139">
      <c r="A139" s="12" t="s">
        <v>540</v>
      </c>
      <c r="B139" s="13">
        <v>45697.0</v>
      </c>
      <c r="C139" s="14" t="s">
        <v>541</v>
      </c>
      <c r="D139" s="14" t="s">
        <v>177</v>
      </c>
      <c r="E139" s="15" t="s">
        <v>542</v>
      </c>
      <c r="F139" s="16" t="s">
        <v>19</v>
      </c>
      <c r="G139" s="16" t="s">
        <v>56</v>
      </c>
      <c r="H139" s="17">
        <v>149000.0</v>
      </c>
      <c r="I139" s="22">
        <v>1.0</v>
      </c>
      <c r="J139" s="18">
        <v>149000.0</v>
      </c>
      <c r="K139" s="17">
        <v>149000.0</v>
      </c>
      <c r="L139" s="16" t="s">
        <v>33</v>
      </c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4"/>
    </row>
    <row r="140">
      <c r="A140" s="12" t="s">
        <v>543</v>
      </c>
      <c r="B140" s="13">
        <v>45698.0</v>
      </c>
      <c r="C140" s="14" t="s">
        <v>544</v>
      </c>
      <c r="D140" s="14" t="s">
        <v>45</v>
      </c>
      <c r="E140" s="15" t="s">
        <v>545</v>
      </c>
      <c r="F140" s="16" t="s">
        <v>1</v>
      </c>
      <c r="G140" s="16" t="s">
        <v>95</v>
      </c>
      <c r="H140" s="17">
        <v>199000.0</v>
      </c>
      <c r="I140" s="18">
        <v>3.0</v>
      </c>
      <c r="J140" s="18">
        <v>597000.0</v>
      </c>
      <c r="K140" s="17">
        <v>597000.0</v>
      </c>
      <c r="L140" s="16" t="s">
        <v>41</v>
      </c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1"/>
    </row>
    <row r="141">
      <c r="A141" s="12" t="s">
        <v>546</v>
      </c>
      <c r="B141" s="13">
        <v>45698.0</v>
      </c>
      <c r="C141" s="14" t="s">
        <v>547</v>
      </c>
      <c r="D141" s="14" t="s">
        <v>177</v>
      </c>
      <c r="E141" s="15" t="s">
        <v>548</v>
      </c>
      <c r="F141" s="16" t="s">
        <v>5</v>
      </c>
      <c r="G141" s="16" t="s">
        <v>61</v>
      </c>
      <c r="H141" s="17">
        <v>249000.0</v>
      </c>
      <c r="I141" s="22">
        <v>1.0</v>
      </c>
      <c r="J141" s="18">
        <v>249000.0</v>
      </c>
      <c r="K141" s="17">
        <v>249000.0</v>
      </c>
      <c r="L141" s="16" t="s">
        <v>62</v>
      </c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4"/>
    </row>
    <row r="142">
      <c r="A142" s="12" t="s">
        <v>549</v>
      </c>
      <c r="B142" s="13">
        <v>45699.0</v>
      </c>
      <c r="C142" s="14" t="s">
        <v>550</v>
      </c>
      <c r="D142" s="14" t="s">
        <v>45</v>
      </c>
      <c r="E142" s="15" t="s">
        <v>551</v>
      </c>
      <c r="F142" s="16" t="s">
        <v>1</v>
      </c>
      <c r="G142" s="16" t="s">
        <v>99</v>
      </c>
      <c r="H142" s="17">
        <v>199000.0</v>
      </c>
      <c r="I142" s="18">
        <v>1.0</v>
      </c>
      <c r="J142" s="18">
        <v>199000.0</v>
      </c>
      <c r="K142" s="17">
        <v>199000.0</v>
      </c>
      <c r="L142" s="16" t="s">
        <v>41</v>
      </c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1"/>
    </row>
    <row r="143">
      <c r="A143" s="12" t="s">
        <v>552</v>
      </c>
      <c r="B143" s="13">
        <v>45699.0</v>
      </c>
      <c r="C143" s="14" t="s">
        <v>553</v>
      </c>
      <c r="D143" s="14" t="s">
        <v>30</v>
      </c>
      <c r="E143" s="15" t="s">
        <v>554</v>
      </c>
      <c r="F143" s="16" t="s">
        <v>19</v>
      </c>
      <c r="G143" s="16" t="s">
        <v>126</v>
      </c>
      <c r="H143" s="17">
        <v>89000.0</v>
      </c>
      <c r="I143" s="22">
        <v>1.0</v>
      </c>
      <c r="J143" s="18">
        <v>89000.0</v>
      </c>
      <c r="K143" s="17">
        <v>89000.0</v>
      </c>
      <c r="L143" s="16" t="s">
        <v>125</v>
      </c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4"/>
    </row>
    <row r="144">
      <c r="A144" s="12" t="s">
        <v>555</v>
      </c>
      <c r="B144" s="13">
        <v>45700.0</v>
      </c>
      <c r="C144" s="14" t="s">
        <v>556</v>
      </c>
      <c r="D144" s="14" t="s">
        <v>45</v>
      </c>
      <c r="E144" s="15" t="s">
        <v>557</v>
      </c>
      <c r="F144" s="16" t="s">
        <v>13</v>
      </c>
      <c r="G144" s="16" t="s">
        <v>103</v>
      </c>
      <c r="H144" s="17">
        <v>199000.0</v>
      </c>
      <c r="I144" s="18">
        <v>1.0</v>
      </c>
      <c r="J144" s="18">
        <v>199000.0</v>
      </c>
      <c r="K144" s="17">
        <v>199000.0</v>
      </c>
      <c r="L144" s="16" t="s">
        <v>41</v>
      </c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1"/>
    </row>
    <row r="145">
      <c r="A145" s="12" t="s">
        <v>558</v>
      </c>
      <c r="B145" s="13">
        <v>45700.0</v>
      </c>
      <c r="C145" s="14" t="s">
        <v>559</v>
      </c>
      <c r="D145" s="14" t="s">
        <v>45</v>
      </c>
      <c r="E145" s="15" t="s">
        <v>560</v>
      </c>
      <c r="F145" s="16" t="s">
        <v>39</v>
      </c>
      <c r="G145" s="16" t="s">
        <v>127</v>
      </c>
      <c r="H145" s="17">
        <v>89000.0</v>
      </c>
      <c r="I145" s="22">
        <v>1.0</v>
      </c>
      <c r="J145" s="18">
        <v>89000.0</v>
      </c>
      <c r="K145" s="17">
        <v>178000.0</v>
      </c>
      <c r="L145" s="16" t="s">
        <v>125</v>
      </c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4"/>
    </row>
    <row r="146">
      <c r="A146" s="12" t="s">
        <v>558</v>
      </c>
      <c r="B146" s="13">
        <v>45700.0</v>
      </c>
      <c r="C146" s="14" t="s">
        <v>559</v>
      </c>
      <c r="D146" s="14" t="s">
        <v>45</v>
      </c>
      <c r="E146" s="15" t="s">
        <v>560</v>
      </c>
      <c r="F146" s="16" t="s">
        <v>39</v>
      </c>
      <c r="G146" s="16" t="s">
        <v>140</v>
      </c>
      <c r="H146" s="17">
        <v>89000.0</v>
      </c>
      <c r="I146" s="22">
        <v>1.0</v>
      </c>
      <c r="J146" s="18">
        <v>89000.0</v>
      </c>
      <c r="K146" s="17">
        <v>178000.0</v>
      </c>
      <c r="L146" s="16" t="s">
        <v>125</v>
      </c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1"/>
    </row>
    <row r="147">
      <c r="A147" s="12" t="s">
        <v>561</v>
      </c>
      <c r="B147" s="13">
        <v>45701.0</v>
      </c>
      <c r="C147" s="14" t="s">
        <v>562</v>
      </c>
      <c r="D147" s="14" t="s">
        <v>30</v>
      </c>
      <c r="E147" s="15" t="s">
        <v>563</v>
      </c>
      <c r="F147" s="16" t="s">
        <v>21</v>
      </c>
      <c r="G147" s="16" t="s">
        <v>107</v>
      </c>
      <c r="H147" s="17">
        <v>199000.0</v>
      </c>
      <c r="I147" s="18">
        <v>1.0</v>
      </c>
      <c r="J147" s="18">
        <v>199000.0</v>
      </c>
      <c r="K147" s="17">
        <v>199000.0</v>
      </c>
      <c r="L147" s="16" t="s">
        <v>41</v>
      </c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4"/>
    </row>
    <row r="148">
      <c r="A148" s="12" t="s">
        <v>564</v>
      </c>
      <c r="B148" s="13">
        <v>45702.0</v>
      </c>
      <c r="C148" s="14" t="s">
        <v>565</v>
      </c>
      <c r="D148" s="14" t="s">
        <v>30</v>
      </c>
      <c r="E148" s="15" t="s">
        <v>566</v>
      </c>
      <c r="F148" s="16" t="s">
        <v>16</v>
      </c>
      <c r="G148" s="16" t="s">
        <v>112</v>
      </c>
      <c r="H148" s="17">
        <v>329000.0</v>
      </c>
      <c r="I148" s="22">
        <v>1.0</v>
      </c>
      <c r="J148" s="18">
        <v>329000.0</v>
      </c>
      <c r="K148" s="17">
        <v>658000.0</v>
      </c>
      <c r="L148" s="16" t="s">
        <v>113</v>
      </c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1"/>
    </row>
    <row r="149">
      <c r="A149" s="12" t="s">
        <v>564</v>
      </c>
      <c r="B149" s="13">
        <v>45702.0</v>
      </c>
      <c r="C149" s="14" t="s">
        <v>565</v>
      </c>
      <c r="D149" s="14" t="s">
        <v>30</v>
      </c>
      <c r="E149" s="15" t="s">
        <v>566</v>
      </c>
      <c r="F149" s="16" t="s">
        <v>16</v>
      </c>
      <c r="G149" s="16" t="s">
        <v>117</v>
      </c>
      <c r="H149" s="17">
        <v>329000.0</v>
      </c>
      <c r="I149" s="22">
        <v>1.0</v>
      </c>
      <c r="J149" s="18">
        <v>329000.0</v>
      </c>
      <c r="K149" s="17">
        <v>658000.0</v>
      </c>
      <c r="L149" s="16" t="s">
        <v>113</v>
      </c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4"/>
    </row>
    <row r="150">
      <c r="A150" s="12" t="s">
        <v>567</v>
      </c>
      <c r="B150" s="13">
        <v>45702.0</v>
      </c>
      <c r="C150" s="14" t="s">
        <v>568</v>
      </c>
      <c r="D150" s="14" t="s">
        <v>45</v>
      </c>
      <c r="E150" s="15" t="s">
        <v>569</v>
      </c>
      <c r="F150" s="16" t="s">
        <v>5</v>
      </c>
      <c r="G150" s="16" t="s">
        <v>147</v>
      </c>
      <c r="H150" s="17">
        <v>89000.0</v>
      </c>
      <c r="I150" s="22">
        <v>1.0</v>
      </c>
      <c r="J150" s="18">
        <v>89000.0</v>
      </c>
      <c r="K150" s="17">
        <v>89000.0</v>
      </c>
      <c r="L150" s="16" t="s">
        <v>125</v>
      </c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1"/>
    </row>
    <row r="151">
      <c r="A151" s="12" t="s">
        <v>570</v>
      </c>
      <c r="B151" s="13">
        <v>45703.0</v>
      </c>
      <c r="C151" s="14" t="s">
        <v>571</v>
      </c>
      <c r="D151" s="14" t="s">
        <v>45</v>
      </c>
      <c r="E151" s="15" t="s">
        <v>572</v>
      </c>
      <c r="F151" s="16" t="s">
        <v>19</v>
      </c>
      <c r="G151" s="16" t="s">
        <v>154</v>
      </c>
      <c r="H151" s="17">
        <v>89000.0</v>
      </c>
      <c r="I151" s="22">
        <v>1.0</v>
      </c>
      <c r="J151" s="18">
        <v>89000.0</v>
      </c>
      <c r="K151" s="17">
        <v>89000.0</v>
      </c>
      <c r="L151" s="16" t="s">
        <v>125</v>
      </c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4"/>
    </row>
    <row r="152">
      <c r="A152" s="12" t="s">
        <v>573</v>
      </c>
      <c r="B152" s="13">
        <v>45704.0</v>
      </c>
      <c r="C152" s="14" t="s">
        <v>574</v>
      </c>
      <c r="D152" s="14" t="s">
        <v>45</v>
      </c>
      <c r="E152" s="15" t="s">
        <v>575</v>
      </c>
      <c r="F152" s="16" t="s">
        <v>24</v>
      </c>
      <c r="G152" s="16" t="s">
        <v>124</v>
      </c>
      <c r="H152" s="17">
        <v>89000.0</v>
      </c>
      <c r="I152" s="22">
        <v>1.0</v>
      </c>
      <c r="J152" s="18">
        <v>89000.0</v>
      </c>
      <c r="K152" s="17">
        <v>89000.0</v>
      </c>
      <c r="L152" s="16" t="s">
        <v>125</v>
      </c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1"/>
    </row>
    <row r="153">
      <c r="A153" s="12" t="s">
        <v>576</v>
      </c>
      <c r="B153" s="13">
        <v>45704.0</v>
      </c>
      <c r="C153" s="14" t="s">
        <v>577</v>
      </c>
      <c r="D153" s="14" t="s">
        <v>45</v>
      </c>
      <c r="E153" s="15" t="s">
        <v>578</v>
      </c>
      <c r="F153" s="16" t="s">
        <v>5</v>
      </c>
      <c r="G153" s="16" t="s">
        <v>160</v>
      </c>
      <c r="H153" s="17">
        <v>189000.0</v>
      </c>
      <c r="I153" s="22">
        <v>1.0</v>
      </c>
      <c r="J153" s="18">
        <v>189000.0</v>
      </c>
      <c r="K153" s="17">
        <v>189000.0</v>
      </c>
      <c r="L153" s="16" t="s">
        <v>62</v>
      </c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4"/>
    </row>
    <row r="154">
      <c r="A154" s="12" t="s">
        <v>579</v>
      </c>
      <c r="B154" s="13">
        <v>45705.0</v>
      </c>
      <c r="C154" s="14" t="s">
        <v>580</v>
      </c>
      <c r="D154" s="14" t="s">
        <v>37</v>
      </c>
      <c r="E154" s="15" t="s">
        <v>581</v>
      </c>
      <c r="F154" s="16" t="s">
        <v>3</v>
      </c>
      <c r="G154" s="16" t="s">
        <v>126</v>
      </c>
      <c r="H154" s="17">
        <v>89000.0</v>
      </c>
      <c r="I154" s="22">
        <v>1.0</v>
      </c>
      <c r="J154" s="18">
        <v>89000.0</v>
      </c>
      <c r="K154" s="17">
        <v>89000.0</v>
      </c>
      <c r="L154" s="16" t="s">
        <v>125</v>
      </c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1"/>
    </row>
    <row r="155">
      <c r="A155" s="12" t="s">
        <v>582</v>
      </c>
      <c r="B155" s="13">
        <v>45705.0</v>
      </c>
      <c r="C155" s="14" t="s">
        <v>583</v>
      </c>
      <c r="D155" s="14" t="s">
        <v>37</v>
      </c>
      <c r="E155" s="15" t="s">
        <v>584</v>
      </c>
      <c r="F155" s="16" t="s">
        <v>19</v>
      </c>
      <c r="G155" s="16" t="s">
        <v>167</v>
      </c>
      <c r="H155" s="17">
        <v>129000.0</v>
      </c>
      <c r="I155" s="22">
        <v>2.0</v>
      </c>
      <c r="J155" s="18">
        <v>258000.0</v>
      </c>
      <c r="K155" s="17">
        <v>258000.0</v>
      </c>
      <c r="L155" s="16" t="s">
        <v>41</v>
      </c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4"/>
    </row>
    <row r="156">
      <c r="A156" s="12" t="s">
        <v>585</v>
      </c>
      <c r="B156" s="13">
        <v>45706.0</v>
      </c>
      <c r="C156" s="14" t="s">
        <v>586</v>
      </c>
      <c r="D156" s="14" t="s">
        <v>30</v>
      </c>
      <c r="E156" s="15" t="s">
        <v>587</v>
      </c>
      <c r="F156" s="16" t="s">
        <v>5</v>
      </c>
      <c r="G156" s="16" t="s">
        <v>127</v>
      </c>
      <c r="H156" s="17">
        <v>89000.0</v>
      </c>
      <c r="I156" s="22">
        <v>1.0</v>
      </c>
      <c r="J156" s="18">
        <v>89000.0</v>
      </c>
      <c r="K156" s="17">
        <v>89000.0</v>
      </c>
      <c r="L156" s="16" t="s">
        <v>125</v>
      </c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1"/>
    </row>
    <row r="157">
      <c r="A157" s="12" t="s">
        <v>588</v>
      </c>
      <c r="B157" s="13">
        <v>45706.0</v>
      </c>
      <c r="C157" s="14" t="s">
        <v>589</v>
      </c>
      <c r="D157" s="14" t="s">
        <v>37</v>
      </c>
      <c r="E157" s="15" t="s">
        <v>474</v>
      </c>
      <c r="F157" s="16" t="s">
        <v>5</v>
      </c>
      <c r="G157" s="16" t="s">
        <v>174</v>
      </c>
      <c r="H157" s="17">
        <v>129000.0</v>
      </c>
      <c r="I157" s="22">
        <v>1.0</v>
      </c>
      <c r="J157" s="18">
        <v>129000.0</v>
      </c>
      <c r="K157" s="17">
        <v>129000.0</v>
      </c>
      <c r="L157" s="16" t="s">
        <v>41</v>
      </c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4"/>
    </row>
    <row r="158">
      <c r="A158" s="12" t="s">
        <v>590</v>
      </c>
      <c r="B158" s="13">
        <v>45707.0</v>
      </c>
      <c r="C158" s="14" t="s">
        <v>591</v>
      </c>
      <c r="D158" s="14" t="s">
        <v>30</v>
      </c>
      <c r="E158" s="15" t="s">
        <v>592</v>
      </c>
      <c r="F158" s="16" t="s">
        <v>19</v>
      </c>
      <c r="G158" s="16" t="s">
        <v>140</v>
      </c>
      <c r="H158" s="17">
        <v>89000.0</v>
      </c>
      <c r="I158" s="22">
        <v>1.0</v>
      </c>
      <c r="J158" s="18">
        <v>89000.0</v>
      </c>
      <c r="K158" s="17">
        <v>356000.0</v>
      </c>
      <c r="L158" s="16" t="s">
        <v>125</v>
      </c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1"/>
    </row>
    <row r="159">
      <c r="A159" s="12" t="s">
        <v>590</v>
      </c>
      <c r="B159" s="13">
        <v>45707.0</v>
      </c>
      <c r="C159" s="14" t="s">
        <v>591</v>
      </c>
      <c r="D159" s="14" t="s">
        <v>30</v>
      </c>
      <c r="E159" s="15" t="s">
        <v>592</v>
      </c>
      <c r="F159" s="16" t="s">
        <v>19</v>
      </c>
      <c r="G159" s="16" t="s">
        <v>147</v>
      </c>
      <c r="H159" s="17">
        <v>89000.0</v>
      </c>
      <c r="I159" s="22">
        <v>1.0</v>
      </c>
      <c r="J159" s="18">
        <v>89000.0</v>
      </c>
      <c r="K159" s="17">
        <v>356000.0</v>
      </c>
      <c r="L159" s="16" t="s">
        <v>125</v>
      </c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4"/>
    </row>
    <row r="160">
      <c r="A160" s="12" t="s">
        <v>590</v>
      </c>
      <c r="B160" s="13">
        <v>45707.0</v>
      </c>
      <c r="C160" s="14" t="s">
        <v>591</v>
      </c>
      <c r="D160" s="14" t="s">
        <v>30</v>
      </c>
      <c r="E160" s="15" t="s">
        <v>592</v>
      </c>
      <c r="F160" s="16" t="s">
        <v>19</v>
      </c>
      <c r="G160" s="16" t="s">
        <v>154</v>
      </c>
      <c r="H160" s="17">
        <v>89000.0</v>
      </c>
      <c r="I160" s="22">
        <v>2.0</v>
      </c>
      <c r="J160" s="18">
        <v>178000.0</v>
      </c>
      <c r="K160" s="17">
        <v>356000.0</v>
      </c>
      <c r="L160" s="16" t="s">
        <v>125</v>
      </c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1"/>
    </row>
    <row r="161">
      <c r="A161" s="12" t="s">
        <v>593</v>
      </c>
      <c r="B161" s="13">
        <v>45707.0</v>
      </c>
      <c r="C161" s="14" t="s">
        <v>594</v>
      </c>
      <c r="D161" s="14" t="s">
        <v>30</v>
      </c>
      <c r="E161" s="15" t="s">
        <v>595</v>
      </c>
      <c r="F161" s="16" t="s">
        <v>39</v>
      </c>
      <c r="G161" s="16" t="s">
        <v>283</v>
      </c>
      <c r="H161" s="17">
        <v>149000.0</v>
      </c>
      <c r="I161" s="18">
        <v>3.0</v>
      </c>
      <c r="J161" s="18">
        <v>447000.0</v>
      </c>
      <c r="K161" s="17">
        <v>447000.0</v>
      </c>
      <c r="L161" s="16" t="s">
        <v>207</v>
      </c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4"/>
    </row>
    <row r="162">
      <c r="A162" s="12" t="s">
        <v>596</v>
      </c>
      <c r="B162" s="13">
        <v>45707.0</v>
      </c>
      <c r="C162" s="14" t="s">
        <v>597</v>
      </c>
      <c r="D162" s="14" t="s">
        <v>45</v>
      </c>
      <c r="E162" s="15" t="s">
        <v>598</v>
      </c>
      <c r="F162" s="16" t="s">
        <v>18</v>
      </c>
      <c r="G162" s="16" t="s">
        <v>182</v>
      </c>
      <c r="H162" s="17">
        <v>129000.0</v>
      </c>
      <c r="I162" s="22">
        <v>3.0</v>
      </c>
      <c r="J162" s="18">
        <v>387000.0</v>
      </c>
      <c r="K162" s="17">
        <v>387000.0</v>
      </c>
      <c r="L162" s="16" t="s">
        <v>41</v>
      </c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1"/>
    </row>
    <row r="163">
      <c r="A163" s="12" t="s">
        <v>599</v>
      </c>
      <c r="B163" s="13">
        <v>45708.0</v>
      </c>
      <c r="C163" s="14" t="s">
        <v>600</v>
      </c>
      <c r="D163" s="14" t="s">
        <v>30</v>
      </c>
      <c r="E163" s="15" t="s">
        <v>601</v>
      </c>
      <c r="F163" s="16" t="s">
        <v>39</v>
      </c>
      <c r="G163" s="16" t="s">
        <v>284</v>
      </c>
      <c r="H163" s="17">
        <v>349000.0</v>
      </c>
      <c r="I163" s="18">
        <v>1.0</v>
      </c>
      <c r="J163" s="18">
        <v>349000.0</v>
      </c>
      <c r="K163" s="17">
        <v>349000.0</v>
      </c>
      <c r="L163" s="16" t="s">
        <v>207</v>
      </c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4"/>
    </row>
    <row r="164">
      <c r="A164" s="12" t="s">
        <v>602</v>
      </c>
      <c r="B164" s="13">
        <v>45709.0</v>
      </c>
      <c r="C164" s="14" t="s">
        <v>603</v>
      </c>
      <c r="D164" s="14" t="s">
        <v>30</v>
      </c>
      <c r="E164" s="15" t="s">
        <v>604</v>
      </c>
      <c r="F164" s="16" t="s">
        <v>15</v>
      </c>
      <c r="G164" s="16" t="s">
        <v>224</v>
      </c>
      <c r="H164" s="17">
        <v>229000.0</v>
      </c>
      <c r="I164" s="22">
        <v>1.0</v>
      </c>
      <c r="J164" s="18">
        <v>229000.0</v>
      </c>
      <c r="K164" s="17">
        <v>229000.0</v>
      </c>
      <c r="L164" s="16" t="s">
        <v>41</v>
      </c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1"/>
    </row>
    <row r="165">
      <c r="A165" s="12" t="s">
        <v>605</v>
      </c>
      <c r="B165" s="13">
        <v>45709.0</v>
      </c>
      <c r="C165" s="14" t="s">
        <v>606</v>
      </c>
      <c r="D165" s="14" t="s">
        <v>45</v>
      </c>
      <c r="E165" s="15" t="s">
        <v>607</v>
      </c>
      <c r="F165" s="16" t="s">
        <v>39</v>
      </c>
      <c r="G165" s="16" t="s">
        <v>285</v>
      </c>
      <c r="H165" s="17">
        <v>229000.0</v>
      </c>
      <c r="I165" s="18">
        <v>1.0</v>
      </c>
      <c r="J165" s="18">
        <v>229000.0</v>
      </c>
      <c r="K165" s="17">
        <v>916000.0</v>
      </c>
      <c r="L165" s="16" t="s">
        <v>41</v>
      </c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4"/>
    </row>
    <row r="166">
      <c r="A166" s="12" t="s">
        <v>605</v>
      </c>
      <c r="B166" s="13">
        <v>45709.0</v>
      </c>
      <c r="C166" s="14" t="s">
        <v>606</v>
      </c>
      <c r="D166" s="14" t="s">
        <v>45</v>
      </c>
      <c r="E166" s="15" t="s">
        <v>607</v>
      </c>
      <c r="F166" s="16" t="s">
        <v>39</v>
      </c>
      <c r="G166" s="16" t="s">
        <v>193</v>
      </c>
      <c r="H166" s="17">
        <v>229000.0</v>
      </c>
      <c r="I166" s="18">
        <v>1.0</v>
      </c>
      <c r="J166" s="18">
        <v>229000.0</v>
      </c>
      <c r="K166" s="17">
        <v>916000.0</v>
      </c>
      <c r="L166" s="16" t="s">
        <v>41</v>
      </c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1"/>
    </row>
    <row r="167">
      <c r="A167" s="12" t="s">
        <v>605</v>
      </c>
      <c r="B167" s="13">
        <v>45709.0</v>
      </c>
      <c r="C167" s="14" t="s">
        <v>606</v>
      </c>
      <c r="D167" s="14" t="s">
        <v>45</v>
      </c>
      <c r="E167" s="15" t="s">
        <v>607</v>
      </c>
      <c r="F167" s="16" t="s">
        <v>39</v>
      </c>
      <c r="G167" s="16" t="s">
        <v>202</v>
      </c>
      <c r="H167" s="17">
        <v>229000.0</v>
      </c>
      <c r="I167" s="22">
        <v>1.0</v>
      </c>
      <c r="J167" s="18">
        <v>229000.0</v>
      </c>
      <c r="K167" s="17">
        <v>916000.0</v>
      </c>
      <c r="L167" s="16" t="s">
        <v>41</v>
      </c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4"/>
    </row>
    <row r="168">
      <c r="A168" s="12" t="s">
        <v>605</v>
      </c>
      <c r="B168" s="13">
        <v>45709.0</v>
      </c>
      <c r="C168" s="14" t="s">
        <v>606</v>
      </c>
      <c r="D168" s="14" t="s">
        <v>45</v>
      </c>
      <c r="E168" s="15" t="s">
        <v>607</v>
      </c>
      <c r="F168" s="16" t="s">
        <v>39</v>
      </c>
      <c r="G168" s="16" t="s">
        <v>211</v>
      </c>
      <c r="H168" s="17">
        <v>229000.0</v>
      </c>
      <c r="I168" s="22">
        <v>1.0</v>
      </c>
      <c r="J168" s="18">
        <v>229000.0</v>
      </c>
      <c r="K168" s="17">
        <v>916000.0</v>
      </c>
      <c r="L168" s="16" t="s">
        <v>41</v>
      </c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1"/>
    </row>
    <row r="169">
      <c r="A169" s="12" t="s">
        <v>608</v>
      </c>
      <c r="B169" s="13">
        <v>45710.0</v>
      </c>
      <c r="C169" s="14" t="s">
        <v>609</v>
      </c>
      <c r="D169" s="14" t="s">
        <v>30</v>
      </c>
      <c r="E169" s="15" t="s">
        <v>610</v>
      </c>
      <c r="F169" s="16" t="s">
        <v>14</v>
      </c>
      <c r="G169" s="16" t="s">
        <v>160</v>
      </c>
      <c r="H169" s="17">
        <v>189000.0</v>
      </c>
      <c r="I169" s="22">
        <v>1.0</v>
      </c>
      <c r="J169" s="18">
        <v>189000.0</v>
      </c>
      <c r="K169" s="17">
        <v>189000.0</v>
      </c>
      <c r="L169" s="16" t="s">
        <v>62</v>
      </c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4"/>
    </row>
    <row r="170">
      <c r="A170" s="12" t="s">
        <v>611</v>
      </c>
      <c r="B170" s="13">
        <v>45710.0</v>
      </c>
      <c r="C170" s="14" t="s">
        <v>612</v>
      </c>
      <c r="D170" s="14" t="s">
        <v>177</v>
      </c>
      <c r="E170" s="15" t="s">
        <v>613</v>
      </c>
      <c r="F170" s="16" t="s">
        <v>39</v>
      </c>
      <c r="G170" s="16" t="s">
        <v>397</v>
      </c>
      <c r="H170" s="17">
        <v>179000.0</v>
      </c>
      <c r="I170" s="22">
        <v>1.0</v>
      </c>
      <c r="J170" s="18">
        <v>179000.0</v>
      </c>
      <c r="K170" s="17">
        <v>179000.0</v>
      </c>
      <c r="L170" s="16" t="s">
        <v>41</v>
      </c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1"/>
    </row>
    <row r="171">
      <c r="A171" s="12" t="s">
        <v>614</v>
      </c>
      <c r="B171" s="13">
        <v>45711.0</v>
      </c>
      <c r="C171" s="14" t="s">
        <v>615</v>
      </c>
      <c r="D171" s="14" t="s">
        <v>30</v>
      </c>
      <c r="E171" s="15" t="s">
        <v>616</v>
      </c>
      <c r="F171" s="16" t="s">
        <v>20</v>
      </c>
      <c r="G171" s="16" t="s">
        <v>167</v>
      </c>
      <c r="H171" s="17">
        <v>129000.0</v>
      </c>
      <c r="I171" s="22">
        <v>2.0</v>
      </c>
      <c r="J171" s="18">
        <v>258000.0</v>
      </c>
      <c r="K171" s="17">
        <v>258000.0</v>
      </c>
      <c r="L171" s="16" t="s">
        <v>41</v>
      </c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4"/>
    </row>
    <row r="172">
      <c r="A172" s="12" t="s">
        <v>617</v>
      </c>
      <c r="B172" s="13">
        <v>45711.0</v>
      </c>
      <c r="C172" s="14" t="s">
        <v>618</v>
      </c>
      <c r="D172" s="14" t="s">
        <v>30</v>
      </c>
      <c r="E172" s="15" t="s">
        <v>94</v>
      </c>
      <c r="F172" s="16" t="s">
        <v>3</v>
      </c>
      <c r="G172" s="16" t="s">
        <v>406</v>
      </c>
      <c r="H172" s="17">
        <v>179000.0</v>
      </c>
      <c r="I172" s="22">
        <v>2.0</v>
      </c>
      <c r="J172" s="18">
        <v>358000.0</v>
      </c>
      <c r="K172" s="17">
        <v>358000.0</v>
      </c>
      <c r="L172" s="16" t="s">
        <v>41</v>
      </c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1"/>
    </row>
    <row r="173">
      <c r="A173" s="12" t="s">
        <v>619</v>
      </c>
      <c r="B173" s="13">
        <v>45712.0</v>
      </c>
      <c r="C173" s="14" t="s">
        <v>620</v>
      </c>
      <c r="D173" s="14" t="s">
        <v>30</v>
      </c>
      <c r="E173" s="15" t="s">
        <v>621</v>
      </c>
      <c r="F173" s="16" t="s">
        <v>23</v>
      </c>
      <c r="G173" s="16" t="s">
        <v>174</v>
      </c>
      <c r="H173" s="17">
        <v>129000.0</v>
      </c>
      <c r="I173" s="22">
        <v>1.0</v>
      </c>
      <c r="J173" s="18">
        <v>129000.0</v>
      </c>
      <c r="K173" s="17">
        <v>129000.0</v>
      </c>
      <c r="L173" s="16" t="s">
        <v>41</v>
      </c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4"/>
    </row>
    <row r="174">
      <c r="A174" s="12" t="s">
        <v>622</v>
      </c>
      <c r="B174" s="13">
        <v>45712.0</v>
      </c>
      <c r="C174" s="14" t="s">
        <v>623</v>
      </c>
      <c r="D174" s="14" t="s">
        <v>30</v>
      </c>
      <c r="E174" s="15" t="s">
        <v>624</v>
      </c>
      <c r="F174" s="16" t="s">
        <v>12</v>
      </c>
      <c r="G174" s="16" t="s">
        <v>40</v>
      </c>
      <c r="H174" s="17">
        <v>179000.0</v>
      </c>
      <c r="I174" s="22">
        <v>1.0</v>
      </c>
      <c r="J174" s="18">
        <v>179000.0</v>
      </c>
      <c r="K174" s="17">
        <v>179000.0</v>
      </c>
      <c r="L174" s="16" t="s">
        <v>41</v>
      </c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1"/>
    </row>
    <row r="175">
      <c r="A175" s="12" t="s">
        <v>625</v>
      </c>
      <c r="B175" s="13">
        <v>45713.0</v>
      </c>
      <c r="C175" s="14" t="s">
        <v>626</v>
      </c>
      <c r="D175" s="14" t="s">
        <v>30</v>
      </c>
      <c r="E175" s="15" t="s">
        <v>627</v>
      </c>
      <c r="F175" s="16" t="s">
        <v>25</v>
      </c>
      <c r="G175" s="16" t="s">
        <v>182</v>
      </c>
      <c r="H175" s="17">
        <v>129000.0</v>
      </c>
      <c r="I175" s="22">
        <v>1.0</v>
      </c>
      <c r="J175" s="18">
        <v>129000.0</v>
      </c>
      <c r="K175" s="17">
        <v>129000.0</v>
      </c>
      <c r="L175" s="16" t="s">
        <v>41</v>
      </c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4"/>
    </row>
    <row r="176">
      <c r="A176" s="12" t="s">
        <v>628</v>
      </c>
      <c r="B176" s="13">
        <v>45713.0</v>
      </c>
      <c r="C176" s="14" t="s">
        <v>629</v>
      </c>
      <c r="D176" s="14" t="s">
        <v>30</v>
      </c>
      <c r="E176" s="15" t="s">
        <v>630</v>
      </c>
      <c r="F176" s="16" t="s">
        <v>1</v>
      </c>
      <c r="G176" s="16" t="s">
        <v>52</v>
      </c>
      <c r="H176" s="17">
        <v>179000.0</v>
      </c>
      <c r="I176" s="18">
        <v>1.0</v>
      </c>
      <c r="J176" s="18">
        <v>179000.0</v>
      </c>
      <c r="K176" s="17">
        <v>179000.0</v>
      </c>
      <c r="L176" s="16" t="s">
        <v>41</v>
      </c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1"/>
    </row>
    <row r="177">
      <c r="A177" s="12" t="s">
        <v>631</v>
      </c>
      <c r="B177" s="13">
        <v>45713.0</v>
      </c>
      <c r="C177" s="14" t="s">
        <v>632</v>
      </c>
      <c r="D177" s="14" t="s">
        <v>37</v>
      </c>
      <c r="E177" s="15" t="s">
        <v>633</v>
      </c>
      <c r="F177" s="16" t="s">
        <v>10</v>
      </c>
      <c r="G177" s="16" t="s">
        <v>212</v>
      </c>
      <c r="H177" s="17">
        <v>229000.0</v>
      </c>
      <c r="I177" s="22">
        <v>1.0</v>
      </c>
      <c r="J177" s="18">
        <v>229000.0</v>
      </c>
      <c r="K177" s="17">
        <v>229000.0</v>
      </c>
      <c r="L177" s="16" t="s">
        <v>41</v>
      </c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4"/>
    </row>
    <row r="178">
      <c r="A178" s="12" t="s">
        <v>634</v>
      </c>
      <c r="B178" s="13">
        <v>45714.0</v>
      </c>
      <c r="C178" s="14" t="s">
        <v>635</v>
      </c>
      <c r="D178" s="14" t="s">
        <v>30</v>
      </c>
      <c r="E178" s="15" t="s">
        <v>636</v>
      </c>
      <c r="F178" s="16" t="s">
        <v>13</v>
      </c>
      <c r="G178" s="16" t="s">
        <v>189</v>
      </c>
      <c r="H178" s="17">
        <v>129000.0</v>
      </c>
      <c r="I178" s="22">
        <v>1.0</v>
      </c>
      <c r="J178" s="18">
        <v>129000.0</v>
      </c>
      <c r="K178" s="17">
        <v>877000.0</v>
      </c>
      <c r="L178" s="16" t="s">
        <v>41</v>
      </c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1"/>
    </row>
    <row r="179">
      <c r="A179" s="12" t="s">
        <v>634</v>
      </c>
      <c r="B179" s="13">
        <v>45714.0</v>
      </c>
      <c r="C179" s="14" t="s">
        <v>635</v>
      </c>
      <c r="D179" s="14" t="s">
        <v>30</v>
      </c>
      <c r="E179" s="15" t="s">
        <v>636</v>
      </c>
      <c r="F179" s="16" t="s">
        <v>13</v>
      </c>
      <c r="G179" s="16" t="s">
        <v>190</v>
      </c>
      <c r="H179" s="17">
        <v>175000.0</v>
      </c>
      <c r="I179" s="22">
        <v>1.0</v>
      </c>
      <c r="J179" s="18">
        <v>175000.0</v>
      </c>
      <c r="K179" s="17">
        <v>877000.0</v>
      </c>
      <c r="L179" s="16" t="s">
        <v>33</v>
      </c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4"/>
    </row>
    <row r="180">
      <c r="A180" s="12" t="s">
        <v>634</v>
      </c>
      <c r="B180" s="13">
        <v>45714.0</v>
      </c>
      <c r="C180" s="14" t="s">
        <v>635</v>
      </c>
      <c r="D180" s="14" t="s">
        <v>30</v>
      </c>
      <c r="E180" s="15" t="s">
        <v>636</v>
      </c>
      <c r="F180" s="16" t="s">
        <v>13</v>
      </c>
      <c r="G180" s="16" t="s">
        <v>197</v>
      </c>
      <c r="H180" s="17">
        <v>175000.0</v>
      </c>
      <c r="I180" s="22">
        <v>1.0</v>
      </c>
      <c r="J180" s="18">
        <v>175000.0</v>
      </c>
      <c r="K180" s="17">
        <v>877000.0</v>
      </c>
      <c r="L180" s="16" t="s">
        <v>33</v>
      </c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1"/>
    </row>
    <row r="181">
      <c r="A181" s="12" t="s">
        <v>634</v>
      </c>
      <c r="B181" s="13">
        <v>45714.0</v>
      </c>
      <c r="C181" s="14" t="s">
        <v>635</v>
      </c>
      <c r="D181" s="14" t="s">
        <v>30</v>
      </c>
      <c r="E181" s="15" t="s">
        <v>636</v>
      </c>
      <c r="F181" s="16" t="s">
        <v>13</v>
      </c>
      <c r="G181" s="16" t="s">
        <v>206</v>
      </c>
      <c r="H181" s="17">
        <v>199000.0</v>
      </c>
      <c r="I181" s="22">
        <v>1.0</v>
      </c>
      <c r="J181" s="18">
        <v>199000.0</v>
      </c>
      <c r="K181" s="17">
        <v>877000.0</v>
      </c>
      <c r="L181" s="16" t="s">
        <v>207</v>
      </c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4"/>
    </row>
    <row r="182">
      <c r="A182" s="12" t="s">
        <v>634</v>
      </c>
      <c r="B182" s="13">
        <v>45714.0</v>
      </c>
      <c r="C182" s="14" t="s">
        <v>635</v>
      </c>
      <c r="D182" s="14" t="s">
        <v>30</v>
      </c>
      <c r="E182" s="15" t="s">
        <v>636</v>
      </c>
      <c r="F182" s="16" t="s">
        <v>13</v>
      </c>
      <c r="G182" s="16" t="s">
        <v>216</v>
      </c>
      <c r="H182" s="17">
        <v>199000.0</v>
      </c>
      <c r="I182" s="22">
        <v>1.0</v>
      </c>
      <c r="J182" s="18">
        <v>199000.0</v>
      </c>
      <c r="K182" s="17">
        <v>877000.0</v>
      </c>
      <c r="L182" s="16" t="s">
        <v>207</v>
      </c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1"/>
    </row>
    <row r="183">
      <c r="A183" s="12" t="s">
        <v>637</v>
      </c>
      <c r="B183" s="13">
        <v>45714.0</v>
      </c>
      <c r="C183" s="14" t="s">
        <v>638</v>
      </c>
      <c r="D183" s="14" t="s">
        <v>37</v>
      </c>
      <c r="E183" s="15" t="s">
        <v>639</v>
      </c>
      <c r="F183" s="16" t="s">
        <v>17</v>
      </c>
      <c r="G183" s="16" t="s">
        <v>422</v>
      </c>
      <c r="H183" s="17">
        <v>179000.0</v>
      </c>
      <c r="I183" s="18">
        <v>3.0</v>
      </c>
      <c r="J183" s="18">
        <v>537000.0</v>
      </c>
      <c r="K183" s="17">
        <v>537000.0</v>
      </c>
      <c r="L183" s="16" t="s">
        <v>41</v>
      </c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4"/>
    </row>
    <row r="184">
      <c r="A184" s="12" t="s">
        <v>640</v>
      </c>
      <c r="B184" s="13">
        <v>45714.0</v>
      </c>
      <c r="C184" s="14" t="s">
        <v>641</v>
      </c>
      <c r="D184" s="14" t="s">
        <v>37</v>
      </c>
      <c r="E184" s="15" t="s">
        <v>642</v>
      </c>
      <c r="F184" s="16" t="s">
        <v>10</v>
      </c>
      <c r="G184" s="16" t="s">
        <v>224</v>
      </c>
      <c r="H184" s="17">
        <v>229000.0</v>
      </c>
      <c r="I184" s="22">
        <v>1.0</v>
      </c>
      <c r="J184" s="18">
        <v>229000.0</v>
      </c>
      <c r="K184" s="17">
        <v>229000.0</v>
      </c>
      <c r="L184" s="16" t="s">
        <v>41</v>
      </c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1"/>
    </row>
    <row r="185">
      <c r="A185" s="12" t="s">
        <v>643</v>
      </c>
      <c r="B185" s="13">
        <v>45715.0</v>
      </c>
      <c r="C185" s="14" t="s">
        <v>644</v>
      </c>
      <c r="D185" s="14" t="s">
        <v>37</v>
      </c>
      <c r="E185" s="15" t="s">
        <v>645</v>
      </c>
      <c r="F185" s="16" t="s">
        <v>10</v>
      </c>
      <c r="G185" s="16" t="s">
        <v>70</v>
      </c>
      <c r="H185" s="17">
        <v>179000.0</v>
      </c>
      <c r="I185" s="18">
        <v>1.0</v>
      </c>
      <c r="J185" s="18">
        <v>179000.0</v>
      </c>
      <c r="K185" s="17">
        <v>179000.0</v>
      </c>
      <c r="L185" s="16" t="s">
        <v>41</v>
      </c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4"/>
    </row>
    <row r="186">
      <c r="A186" s="12" t="s">
        <v>646</v>
      </c>
      <c r="B186" s="13">
        <v>45715.0</v>
      </c>
      <c r="C186" s="14" t="s">
        <v>647</v>
      </c>
      <c r="D186" s="14" t="s">
        <v>45</v>
      </c>
      <c r="E186" s="15" t="s">
        <v>648</v>
      </c>
      <c r="F186" s="16" t="s">
        <v>12</v>
      </c>
      <c r="G186" s="16" t="s">
        <v>397</v>
      </c>
      <c r="H186" s="17">
        <v>179000.0</v>
      </c>
      <c r="I186" s="22">
        <v>1.0</v>
      </c>
      <c r="J186" s="18">
        <v>179000.0</v>
      </c>
      <c r="K186" s="17">
        <v>179000.0</v>
      </c>
      <c r="L186" s="16" t="s">
        <v>41</v>
      </c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1"/>
    </row>
    <row r="187">
      <c r="A187" s="12" t="s">
        <v>649</v>
      </c>
      <c r="B187" s="13">
        <v>45716.0</v>
      </c>
      <c r="C187" s="14" t="s">
        <v>650</v>
      </c>
      <c r="D187" s="14" t="s">
        <v>45</v>
      </c>
      <c r="E187" s="15" t="s">
        <v>651</v>
      </c>
      <c r="F187" s="16" t="s">
        <v>2</v>
      </c>
      <c r="G187" s="16" t="s">
        <v>74</v>
      </c>
      <c r="H187" s="17">
        <v>149000.0</v>
      </c>
      <c r="I187" s="18">
        <v>1.0</v>
      </c>
      <c r="J187" s="18">
        <v>149000.0</v>
      </c>
      <c r="K187" s="17">
        <v>149000.0</v>
      </c>
      <c r="L187" s="16" t="s">
        <v>33</v>
      </c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4"/>
    </row>
    <row r="188">
      <c r="A188" s="12" t="s">
        <v>652</v>
      </c>
      <c r="B188" s="13">
        <v>45716.0</v>
      </c>
      <c r="C188" s="14" t="s">
        <v>653</v>
      </c>
      <c r="D188" s="14" t="s">
        <v>45</v>
      </c>
      <c r="E188" s="15" t="s">
        <v>648</v>
      </c>
      <c r="F188" s="16" t="s">
        <v>12</v>
      </c>
      <c r="G188" s="16" t="s">
        <v>406</v>
      </c>
      <c r="H188" s="17">
        <v>179000.0</v>
      </c>
      <c r="I188" s="22">
        <v>1.0</v>
      </c>
      <c r="J188" s="18">
        <v>179000.0</v>
      </c>
      <c r="K188" s="17">
        <v>179000.0</v>
      </c>
      <c r="L188" s="16" t="s">
        <v>41</v>
      </c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1"/>
    </row>
    <row r="189">
      <c r="A189" s="25" t="s">
        <v>28</v>
      </c>
      <c r="B189" s="26">
        <v>45717.0</v>
      </c>
      <c r="C189" s="27" t="s">
        <v>29</v>
      </c>
      <c r="D189" s="27" t="s">
        <v>30</v>
      </c>
      <c r="E189" s="27" t="s">
        <v>31</v>
      </c>
      <c r="F189" s="27" t="s">
        <v>4</v>
      </c>
      <c r="G189" s="27" t="s">
        <v>32</v>
      </c>
      <c r="H189" s="28">
        <v>149000.0</v>
      </c>
      <c r="I189" s="28">
        <v>1.0</v>
      </c>
      <c r="J189" s="28">
        <v>149000.0</v>
      </c>
      <c r="K189" s="28">
        <v>149000.0</v>
      </c>
      <c r="L189" s="27" t="s">
        <v>33</v>
      </c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30"/>
    </row>
    <row r="190">
      <c r="A190" s="31" t="s">
        <v>35</v>
      </c>
      <c r="B190" s="32">
        <v>45717.0</v>
      </c>
      <c r="C190" s="33" t="s">
        <v>36</v>
      </c>
      <c r="D190" s="33" t="s">
        <v>37</v>
      </c>
      <c r="E190" s="33" t="s">
        <v>38</v>
      </c>
      <c r="F190" s="33" t="s">
        <v>39</v>
      </c>
      <c r="G190" s="33" t="s">
        <v>40</v>
      </c>
      <c r="H190" s="34">
        <v>179000.0</v>
      </c>
      <c r="I190" s="34">
        <v>1.0</v>
      </c>
      <c r="J190" s="34">
        <v>179000.0</v>
      </c>
      <c r="K190" s="34">
        <v>179000.0</v>
      </c>
      <c r="L190" s="33" t="s">
        <v>41</v>
      </c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6"/>
    </row>
    <row r="191">
      <c r="A191" s="25" t="s">
        <v>43</v>
      </c>
      <c r="B191" s="26">
        <v>45718.0</v>
      </c>
      <c r="C191" s="27" t="s">
        <v>44</v>
      </c>
      <c r="D191" s="27" t="s">
        <v>45</v>
      </c>
      <c r="E191" s="27" t="s">
        <v>46</v>
      </c>
      <c r="F191" s="27" t="s">
        <v>18</v>
      </c>
      <c r="G191" s="27" t="s">
        <v>47</v>
      </c>
      <c r="H191" s="28">
        <v>149000.0</v>
      </c>
      <c r="I191" s="28">
        <v>1.0</v>
      </c>
      <c r="J191" s="28">
        <v>149000.0</v>
      </c>
      <c r="K191" s="28">
        <v>149000.0</v>
      </c>
      <c r="L191" s="27" t="s">
        <v>33</v>
      </c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30"/>
    </row>
    <row r="192">
      <c r="A192" s="31" t="s">
        <v>49</v>
      </c>
      <c r="B192" s="32">
        <v>45718.0</v>
      </c>
      <c r="C192" s="33" t="s">
        <v>50</v>
      </c>
      <c r="D192" s="33" t="s">
        <v>45</v>
      </c>
      <c r="E192" s="33" t="s">
        <v>51</v>
      </c>
      <c r="F192" s="33" t="s">
        <v>11</v>
      </c>
      <c r="G192" s="33" t="s">
        <v>52</v>
      </c>
      <c r="H192" s="34">
        <v>179000.0</v>
      </c>
      <c r="I192" s="34">
        <v>2.0</v>
      </c>
      <c r="J192" s="34">
        <v>358000.0</v>
      </c>
      <c r="K192" s="34">
        <v>358000.0</v>
      </c>
      <c r="L192" s="33" t="s">
        <v>41</v>
      </c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6"/>
    </row>
    <row r="193">
      <c r="A193" s="25" t="s">
        <v>53</v>
      </c>
      <c r="B193" s="26">
        <v>45719.0</v>
      </c>
      <c r="C193" s="27" t="s">
        <v>54</v>
      </c>
      <c r="D193" s="27" t="s">
        <v>30</v>
      </c>
      <c r="E193" s="27" t="s">
        <v>55</v>
      </c>
      <c r="F193" s="27" t="s">
        <v>9</v>
      </c>
      <c r="G193" s="27" t="s">
        <v>56</v>
      </c>
      <c r="H193" s="28">
        <v>149000.0</v>
      </c>
      <c r="I193" s="28">
        <v>1.0</v>
      </c>
      <c r="J193" s="28">
        <v>149000.0</v>
      </c>
      <c r="K193" s="28">
        <v>149000.0</v>
      </c>
      <c r="L193" s="27" t="s">
        <v>33</v>
      </c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30"/>
    </row>
    <row r="194">
      <c r="A194" s="31" t="s">
        <v>58</v>
      </c>
      <c r="B194" s="32">
        <v>45720.0</v>
      </c>
      <c r="C194" s="33" t="s">
        <v>59</v>
      </c>
      <c r="D194" s="33" t="s">
        <v>37</v>
      </c>
      <c r="E194" s="33" t="s">
        <v>60</v>
      </c>
      <c r="F194" s="33" t="s">
        <v>8</v>
      </c>
      <c r="G194" s="33" t="s">
        <v>61</v>
      </c>
      <c r="H194" s="34">
        <v>249000.0</v>
      </c>
      <c r="I194" s="34">
        <v>1.0</v>
      </c>
      <c r="J194" s="34">
        <v>249000.0</v>
      </c>
      <c r="K194" s="34">
        <v>747000.0</v>
      </c>
      <c r="L194" s="33" t="s">
        <v>62</v>
      </c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6"/>
    </row>
    <row r="195">
      <c r="A195" s="25" t="s">
        <v>58</v>
      </c>
      <c r="B195" s="26">
        <v>45720.0</v>
      </c>
      <c r="C195" s="27" t="s">
        <v>59</v>
      </c>
      <c r="D195" s="27" t="s">
        <v>37</v>
      </c>
      <c r="E195" s="27" t="s">
        <v>60</v>
      </c>
      <c r="F195" s="27" t="s">
        <v>8</v>
      </c>
      <c r="G195" s="27" t="s">
        <v>63</v>
      </c>
      <c r="H195" s="28">
        <v>249000.0</v>
      </c>
      <c r="I195" s="28">
        <v>1.0</v>
      </c>
      <c r="J195" s="28">
        <v>249000.0</v>
      </c>
      <c r="K195" s="28">
        <v>747000.0</v>
      </c>
      <c r="L195" s="27" t="s">
        <v>62</v>
      </c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30"/>
    </row>
    <row r="196">
      <c r="A196" s="31" t="s">
        <v>58</v>
      </c>
      <c r="B196" s="32">
        <v>45720.0</v>
      </c>
      <c r="C196" s="33" t="s">
        <v>59</v>
      </c>
      <c r="D196" s="33" t="s">
        <v>37</v>
      </c>
      <c r="E196" s="33" t="s">
        <v>60</v>
      </c>
      <c r="F196" s="33" t="s">
        <v>8</v>
      </c>
      <c r="G196" s="33" t="s">
        <v>65</v>
      </c>
      <c r="H196" s="34">
        <v>249000.0</v>
      </c>
      <c r="I196" s="34">
        <v>1.0</v>
      </c>
      <c r="J196" s="34">
        <v>249000.0</v>
      </c>
      <c r="K196" s="34">
        <v>747000.0</v>
      </c>
      <c r="L196" s="33" t="s">
        <v>62</v>
      </c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6"/>
    </row>
    <row r="197">
      <c r="A197" s="25" t="s">
        <v>67</v>
      </c>
      <c r="B197" s="26">
        <v>45720.0</v>
      </c>
      <c r="C197" s="27" t="s">
        <v>68</v>
      </c>
      <c r="D197" s="27" t="s">
        <v>45</v>
      </c>
      <c r="E197" s="27" t="s">
        <v>69</v>
      </c>
      <c r="F197" s="27" t="s">
        <v>7</v>
      </c>
      <c r="G197" s="27" t="s">
        <v>70</v>
      </c>
      <c r="H197" s="28">
        <v>179000.0</v>
      </c>
      <c r="I197" s="28">
        <v>2.0</v>
      </c>
      <c r="J197" s="28">
        <v>358000.0</v>
      </c>
      <c r="K197" s="28">
        <v>358000.0</v>
      </c>
      <c r="L197" s="27" t="s">
        <v>41</v>
      </c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30"/>
    </row>
    <row r="198">
      <c r="A198" s="31" t="s">
        <v>71</v>
      </c>
      <c r="B198" s="32">
        <v>45721.0</v>
      </c>
      <c r="C198" s="33" t="s">
        <v>72</v>
      </c>
      <c r="D198" s="33" t="s">
        <v>45</v>
      </c>
      <c r="E198" s="33" t="s">
        <v>73</v>
      </c>
      <c r="F198" s="33" t="s">
        <v>2</v>
      </c>
      <c r="G198" s="33" t="s">
        <v>74</v>
      </c>
      <c r="H198" s="34">
        <v>149000.0</v>
      </c>
      <c r="I198" s="34">
        <v>1.0</v>
      </c>
      <c r="J198" s="34">
        <v>149000.0</v>
      </c>
      <c r="K198" s="34">
        <v>149000.0</v>
      </c>
      <c r="L198" s="33" t="s">
        <v>33</v>
      </c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6"/>
    </row>
    <row r="199">
      <c r="A199" s="25" t="s">
        <v>75</v>
      </c>
      <c r="B199" s="26">
        <v>45722.0</v>
      </c>
      <c r="C199" s="27" t="s">
        <v>76</v>
      </c>
      <c r="D199" s="27" t="s">
        <v>45</v>
      </c>
      <c r="E199" s="27" t="s">
        <v>77</v>
      </c>
      <c r="F199" s="27" t="s">
        <v>9</v>
      </c>
      <c r="G199" s="27" t="s">
        <v>32</v>
      </c>
      <c r="H199" s="28">
        <v>149000.0</v>
      </c>
      <c r="I199" s="28">
        <v>1.0</v>
      </c>
      <c r="J199" s="28">
        <v>149000.0</v>
      </c>
      <c r="K199" s="28">
        <v>149000.0</v>
      </c>
      <c r="L199" s="27" t="s">
        <v>33</v>
      </c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30"/>
    </row>
    <row r="200">
      <c r="A200" s="31" t="s">
        <v>78</v>
      </c>
      <c r="B200" s="32">
        <v>45723.0</v>
      </c>
      <c r="C200" s="33" t="s">
        <v>79</v>
      </c>
      <c r="D200" s="33" t="s">
        <v>45</v>
      </c>
      <c r="E200" s="33" t="s">
        <v>80</v>
      </c>
      <c r="F200" s="33" t="s">
        <v>16</v>
      </c>
      <c r="G200" s="33" t="s">
        <v>81</v>
      </c>
      <c r="H200" s="34">
        <v>249000.0</v>
      </c>
      <c r="I200" s="34">
        <v>1.0</v>
      </c>
      <c r="J200" s="34">
        <v>249000.0</v>
      </c>
      <c r="K200" s="34">
        <v>249000.0</v>
      </c>
      <c r="L200" s="33" t="s">
        <v>62</v>
      </c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6"/>
    </row>
    <row r="201">
      <c r="A201" s="25" t="s">
        <v>82</v>
      </c>
      <c r="B201" s="26">
        <v>45723.0</v>
      </c>
      <c r="C201" s="27" t="s">
        <v>76</v>
      </c>
      <c r="D201" s="27" t="s">
        <v>45</v>
      </c>
      <c r="E201" s="27" t="s">
        <v>83</v>
      </c>
      <c r="F201" s="27" t="s">
        <v>12</v>
      </c>
      <c r="G201" s="27" t="s">
        <v>47</v>
      </c>
      <c r="H201" s="28">
        <v>149000.0</v>
      </c>
      <c r="I201" s="28">
        <v>1.0</v>
      </c>
      <c r="J201" s="28">
        <v>149000.0</v>
      </c>
      <c r="K201" s="28">
        <v>1891000.0</v>
      </c>
      <c r="L201" s="27" t="s">
        <v>33</v>
      </c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30"/>
    </row>
    <row r="202">
      <c r="A202" s="31" t="s">
        <v>82</v>
      </c>
      <c r="B202" s="32">
        <v>45723.0</v>
      </c>
      <c r="C202" s="33" t="s">
        <v>76</v>
      </c>
      <c r="D202" s="33" t="s">
        <v>45</v>
      </c>
      <c r="E202" s="33" t="s">
        <v>83</v>
      </c>
      <c r="F202" s="33" t="s">
        <v>12</v>
      </c>
      <c r="G202" s="33" t="s">
        <v>56</v>
      </c>
      <c r="H202" s="34">
        <v>149000.0</v>
      </c>
      <c r="I202" s="34">
        <v>1.0</v>
      </c>
      <c r="J202" s="34">
        <v>149000.0</v>
      </c>
      <c r="K202" s="34">
        <v>1891000.0</v>
      </c>
      <c r="L202" s="33" t="s">
        <v>33</v>
      </c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6"/>
    </row>
    <row r="203">
      <c r="A203" s="25" t="s">
        <v>82</v>
      </c>
      <c r="B203" s="26">
        <v>45723.0</v>
      </c>
      <c r="C203" s="27" t="s">
        <v>76</v>
      </c>
      <c r="D203" s="27" t="s">
        <v>45</v>
      </c>
      <c r="E203" s="27" t="s">
        <v>83</v>
      </c>
      <c r="F203" s="27" t="s">
        <v>12</v>
      </c>
      <c r="G203" s="27" t="s">
        <v>61</v>
      </c>
      <c r="H203" s="28">
        <v>249000.0</v>
      </c>
      <c r="I203" s="28">
        <v>1.0</v>
      </c>
      <c r="J203" s="28">
        <v>249000.0</v>
      </c>
      <c r="K203" s="28">
        <v>1891000.0</v>
      </c>
      <c r="L203" s="27" t="s">
        <v>62</v>
      </c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30"/>
    </row>
    <row r="204">
      <c r="A204" s="31" t="s">
        <v>82</v>
      </c>
      <c r="B204" s="32">
        <v>45723.0</v>
      </c>
      <c r="C204" s="33" t="s">
        <v>76</v>
      </c>
      <c r="D204" s="33" t="s">
        <v>45</v>
      </c>
      <c r="E204" s="33" t="s">
        <v>83</v>
      </c>
      <c r="F204" s="33" t="s">
        <v>12</v>
      </c>
      <c r="G204" s="33" t="s">
        <v>63</v>
      </c>
      <c r="H204" s="34">
        <v>249000.0</v>
      </c>
      <c r="I204" s="34">
        <v>1.0</v>
      </c>
      <c r="J204" s="34">
        <v>249000.0</v>
      </c>
      <c r="K204" s="34">
        <v>1891000.0</v>
      </c>
      <c r="L204" s="33" t="s">
        <v>62</v>
      </c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6"/>
    </row>
    <row r="205">
      <c r="A205" s="25" t="s">
        <v>82</v>
      </c>
      <c r="B205" s="26">
        <v>45723.0</v>
      </c>
      <c r="C205" s="27" t="s">
        <v>76</v>
      </c>
      <c r="D205" s="27" t="s">
        <v>45</v>
      </c>
      <c r="E205" s="27" t="s">
        <v>83</v>
      </c>
      <c r="F205" s="27" t="s">
        <v>12</v>
      </c>
      <c r="G205" s="27" t="s">
        <v>65</v>
      </c>
      <c r="H205" s="28">
        <v>249000.0</v>
      </c>
      <c r="I205" s="28">
        <v>1.0</v>
      </c>
      <c r="J205" s="28">
        <v>249000.0</v>
      </c>
      <c r="K205" s="28">
        <v>1891000.0</v>
      </c>
      <c r="L205" s="27" t="s">
        <v>62</v>
      </c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30"/>
    </row>
    <row r="206">
      <c r="A206" s="31" t="s">
        <v>82</v>
      </c>
      <c r="B206" s="32">
        <v>45723.0</v>
      </c>
      <c r="C206" s="33" t="s">
        <v>76</v>
      </c>
      <c r="D206" s="33" t="s">
        <v>45</v>
      </c>
      <c r="E206" s="33" t="s">
        <v>83</v>
      </c>
      <c r="F206" s="33" t="s">
        <v>12</v>
      </c>
      <c r="G206" s="33" t="s">
        <v>81</v>
      </c>
      <c r="H206" s="34">
        <v>249000.0</v>
      </c>
      <c r="I206" s="34">
        <v>1.0</v>
      </c>
      <c r="J206" s="34">
        <v>249000.0</v>
      </c>
      <c r="K206" s="34">
        <v>1891000.0</v>
      </c>
      <c r="L206" s="33" t="s">
        <v>62</v>
      </c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6"/>
    </row>
    <row r="207">
      <c r="A207" s="25" t="s">
        <v>82</v>
      </c>
      <c r="B207" s="26">
        <v>45723.0</v>
      </c>
      <c r="C207" s="27" t="s">
        <v>76</v>
      </c>
      <c r="D207" s="27" t="s">
        <v>45</v>
      </c>
      <c r="E207" s="27" t="s">
        <v>83</v>
      </c>
      <c r="F207" s="27" t="s">
        <v>12</v>
      </c>
      <c r="G207" s="27" t="s">
        <v>84</v>
      </c>
      <c r="H207" s="28">
        <v>199000.0</v>
      </c>
      <c r="I207" s="28">
        <v>1.0</v>
      </c>
      <c r="J207" s="28">
        <v>199000.0</v>
      </c>
      <c r="K207" s="28">
        <v>1891000.0</v>
      </c>
      <c r="L207" s="27" t="s">
        <v>41</v>
      </c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30"/>
    </row>
    <row r="208">
      <c r="A208" s="31" t="s">
        <v>82</v>
      </c>
      <c r="B208" s="32">
        <v>45723.0</v>
      </c>
      <c r="C208" s="33" t="s">
        <v>76</v>
      </c>
      <c r="D208" s="33" t="s">
        <v>45</v>
      </c>
      <c r="E208" s="33" t="s">
        <v>83</v>
      </c>
      <c r="F208" s="33" t="s">
        <v>12</v>
      </c>
      <c r="G208" s="33" t="s">
        <v>85</v>
      </c>
      <c r="H208" s="34">
        <v>199000.0</v>
      </c>
      <c r="I208" s="34">
        <v>2.0</v>
      </c>
      <c r="J208" s="34">
        <v>398000.0</v>
      </c>
      <c r="K208" s="34">
        <v>1891000.0</v>
      </c>
      <c r="L208" s="33" t="s">
        <v>41</v>
      </c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6"/>
    </row>
    <row r="209">
      <c r="A209" s="25" t="s">
        <v>86</v>
      </c>
      <c r="B209" s="26">
        <v>45724.0</v>
      </c>
      <c r="C209" s="27" t="s">
        <v>87</v>
      </c>
      <c r="D209" s="27" t="s">
        <v>30</v>
      </c>
      <c r="E209" s="27" t="s">
        <v>88</v>
      </c>
      <c r="F209" s="27" t="s">
        <v>22</v>
      </c>
      <c r="G209" s="27" t="s">
        <v>84</v>
      </c>
      <c r="H209" s="28">
        <v>199000.0</v>
      </c>
      <c r="I209" s="28">
        <v>1.0</v>
      </c>
      <c r="J209" s="28">
        <v>199000.0</v>
      </c>
      <c r="K209" s="28">
        <v>199000.0</v>
      </c>
      <c r="L209" s="27" t="s">
        <v>41</v>
      </c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30"/>
    </row>
    <row r="210">
      <c r="A210" s="31" t="s">
        <v>89</v>
      </c>
      <c r="B210" s="32">
        <v>45725.0</v>
      </c>
      <c r="C210" s="33" t="s">
        <v>90</v>
      </c>
      <c r="D210" s="33" t="s">
        <v>30</v>
      </c>
      <c r="E210" s="33" t="s">
        <v>91</v>
      </c>
      <c r="F210" s="33" t="s">
        <v>24</v>
      </c>
      <c r="G210" s="33" t="s">
        <v>85</v>
      </c>
      <c r="H210" s="34">
        <v>199000.0</v>
      </c>
      <c r="I210" s="34">
        <v>2.0</v>
      </c>
      <c r="J210" s="34">
        <v>398000.0</v>
      </c>
      <c r="K210" s="34">
        <v>398000.0</v>
      </c>
      <c r="L210" s="33" t="s">
        <v>41</v>
      </c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6"/>
    </row>
    <row r="211">
      <c r="A211" s="25" t="s">
        <v>92</v>
      </c>
      <c r="B211" s="26">
        <v>45726.0</v>
      </c>
      <c r="C211" s="27" t="s">
        <v>93</v>
      </c>
      <c r="D211" s="27" t="s">
        <v>30</v>
      </c>
      <c r="E211" s="27" t="s">
        <v>94</v>
      </c>
      <c r="F211" s="27" t="s">
        <v>3</v>
      </c>
      <c r="G211" s="27" t="s">
        <v>95</v>
      </c>
      <c r="H211" s="28">
        <v>199000.0</v>
      </c>
      <c r="I211" s="28">
        <v>1.0</v>
      </c>
      <c r="J211" s="28">
        <v>199000.0</v>
      </c>
      <c r="K211" s="28">
        <v>199000.0</v>
      </c>
      <c r="L211" s="27" t="s">
        <v>41</v>
      </c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30"/>
    </row>
    <row r="212">
      <c r="A212" s="31" t="s">
        <v>96</v>
      </c>
      <c r="B212" s="32">
        <v>45727.0</v>
      </c>
      <c r="C212" s="33" t="s">
        <v>97</v>
      </c>
      <c r="D212" s="33" t="s">
        <v>30</v>
      </c>
      <c r="E212" s="33" t="s">
        <v>98</v>
      </c>
      <c r="F212" s="33" t="s">
        <v>5</v>
      </c>
      <c r="G212" s="33" t="s">
        <v>99</v>
      </c>
      <c r="H212" s="34">
        <v>199000.0</v>
      </c>
      <c r="I212" s="34">
        <v>2.0</v>
      </c>
      <c r="J212" s="34">
        <v>398000.0</v>
      </c>
      <c r="K212" s="34">
        <v>398000.0</v>
      </c>
      <c r="L212" s="33" t="s">
        <v>41</v>
      </c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6"/>
    </row>
    <row r="213">
      <c r="A213" s="25" t="s">
        <v>100</v>
      </c>
      <c r="B213" s="26">
        <v>45728.0</v>
      </c>
      <c r="C213" s="27" t="s">
        <v>101</v>
      </c>
      <c r="D213" s="27" t="s">
        <v>45</v>
      </c>
      <c r="E213" s="27" t="s">
        <v>102</v>
      </c>
      <c r="F213" s="27" t="s">
        <v>19</v>
      </c>
      <c r="G213" s="27" t="s">
        <v>103</v>
      </c>
      <c r="H213" s="28">
        <v>199000.0</v>
      </c>
      <c r="I213" s="28">
        <v>1.0</v>
      </c>
      <c r="J213" s="28">
        <v>199000.0</v>
      </c>
      <c r="K213" s="28">
        <v>199000.0</v>
      </c>
      <c r="L213" s="27" t="s">
        <v>41</v>
      </c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30"/>
    </row>
    <row r="214">
      <c r="A214" s="31" t="s">
        <v>104</v>
      </c>
      <c r="B214" s="32">
        <v>45729.0</v>
      </c>
      <c r="C214" s="33" t="s">
        <v>105</v>
      </c>
      <c r="D214" s="33" t="s">
        <v>45</v>
      </c>
      <c r="E214" s="33" t="s">
        <v>106</v>
      </c>
      <c r="F214" s="33" t="s">
        <v>27</v>
      </c>
      <c r="G214" s="33" t="s">
        <v>107</v>
      </c>
      <c r="H214" s="34">
        <v>199000.0</v>
      </c>
      <c r="I214" s="34">
        <v>1.0</v>
      </c>
      <c r="J214" s="34">
        <v>199000.0</v>
      </c>
      <c r="K214" s="34">
        <v>199000.0</v>
      </c>
      <c r="L214" s="33" t="s">
        <v>41</v>
      </c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6"/>
    </row>
    <row r="215">
      <c r="A215" s="25" t="s">
        <v>109</v>
      </c>
      <c r="B215" s="26">
        <v>45730.0</v>
      </c>
      <c r="C215" s="27" t="s">
        <v>110</v>
      </c>
      <c r="D215" s="27" t="s">
        <v>45</v>
      </c>
      <c r="E215" s="27" t="s">
        <v>111</v>
      </c>
      <c r="F215" s="27" t="s">
        <v>7</v>
      </c>
      <c r="G215" s="27" t="s">
        <v>112</v>
      </c>
      <c r="H215" s="28">
        <v>329000.0</v>
      </c>
      <c r="I215" s="28">
        <v>1.0</v>
      </c>
      <c r="J215" s="28">
        <v>329000.0</v>
      </c>
      <c r="K215" s="28">
        <v>329000.0</v>
      </c>
      <c r="L215" s="27" t="s">
        <v>113</v>
      </c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30"/>
    </row>
    <row r="216">
      <c r="A216" s="31" t="s">
        <v>114</v>
      </c>
      <c r="B216" s="32">
        <v>45731.0</v>
      </c>
      <c r="C216" s="33" t="s">
        <v>115</v>
      </c>
      <c r="D216" s="33" t="s">
        <v>30</v>
      </c>
      <c r="E216" s="33" t="s">
        <v>116</v>
      </c>
      <c r="F216" s="33" t="s">
        <v>14</v>
      </c>
      <c r="G216" s="33" t="s">
        <v>117</v>
      </c>
      <c r="H216" s="34">
        <v>329000.0</v>
      </c>
      <c r="I216" s="34">
        <v>1.0</v>
      </c>
      <c r="J216" s="34">
        <v>329000.0</v>
      </c>
      <c r="K216" s="34">
        <v>329000.0</v>
      </c>
      <c r="L216" s="33" t="s">
        <v>113</v>
      </c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6"/>
    </row>
    <row r="217">
      <c r="A217" s="25" t="s">
        <v>118</v>
      </c>
      <c r="B217" s="26">
        <v>45731.0</v>
      </c>
      <c r="C217" s="27" t="s">
        <v>119</v>
      </c>
      <c r="D217" s="27" t="s">
        <v>30</v>
      </c>
      <c r="E217" s="27" t="s">
        <v>120</v>
      </c>
      <c r="F217" s="27" t="s">
        <v>3</v>
      </c>
      <c r="G217" s="27" t="s">
        <v>95</v>
      </c>
      <c r="H217" s="28">
        <v>199000.0</v>
      </c>
      <c r="I217" s="28">
        <v>1.0</v>
      </c>
      <c r="J217" s="28">
        <v>199000.0</v>
      </c>
      <c r="K217" s="28">
        <v>199000.0</v>
      </c>
      <c r="L217" s="27" t="s">
        <v>41</v>
      </c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30"/>
    </row>
    <row r="218">
      <c r="A218" s="31" t="s">
        <v>121</v>
      </c>
      <c r="B218" s="32">
        <v>45732.0</v>
      </c>
      <c r="C218" s="33" t="s">
        <v>122</v>
      </c>
      <c r="D218" s="33" t="s">
        <v>30</v>
      </c>
      <c r="E218" s="33" t="s">
        <v>123</v>
      </c>
      <c r="F218" s="33" t="s">
        <v>23</v>
      </c>
      <c r="G218" s="33" t="s">
        <v>124</v>
      </c>
      <c r="H218" s="34">
        <v>89000.0</v>
      </c>
      <c r="I218" s="34">
        <v>1.0</v>
      </c>
      <c r="J218" s="34">
        <v>89000.0</v>
      </c>
      <c r="K218" s="34">
        <v>267000.0</v>
      </c>
      <c r="L218" s="33" t="s">
        <v>125</v>
      </c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6"/>
    </row>
    <row r="219">
      <c r="A219" s="25" t="s">
        <v>121</v>
      </c>
      <c r="B219" s="26">
        <v>45732.0</v>
      </c>
      <c r="C219" s="27" t="s">
        <v>122</v>
      </c>
      <c r="D219" s="27" t="s">
        <v>30</v>
      </c>
      <c r="E219" s="27" t="s">
        <v>123</v>
      </c>
      <c r="F219" s="27" t="s">
        <v>23</v>
      </c>
      <c r="G219" s="27" t="s">
        <v>126</v>
      </c>
      <c r="H219" s="28">
        <v>89000.0</v>
      </c>
      <c r="I219" s="28">
        <v>1.0</v>
      </c>
      <c r="J219" s="28">
        <v>89000.0</v>
      </c>
      <c r="K219" s="28">
        <v>267000.0</v>
      </c>
      <c r="L219" s="27" t="s">
        <v>125</v>
      </c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30"/>
    </row>
    <row r="220">
      <c r="A220" s="31" t="s">
        <v>121</v>
      </c>
      <c r="B220" s="32">
        <v>45732.0</v>
      </c>
      <c r="C220" s="33" t="s">
        <v>122</v>
      </c>
      <c r="D220" s="33" t="s">
        <v>30</v>
      </c>
      <c r="E220" s="33" t="s">
        <v>123</v>
      </c>
      <c r="F220" s="33" t="s">
        <v>23</v>
      </c>
      <c r="G220" s="33" t="s">
        <v>127</v>
      </c>
      <c r="H220" s="34">
        <v>89000.0</v>
      </c>
      <c r="I220" s="34">
        <v>1.0</v>
      </c>
      <c r="J220" s="34">
        <v>89000.0</v>
      </c>
      <c r="K220" s="34">
        <v>267000.0</v>
      </c>
      <c r="L220" s="33" t="s">
        <v>125</v>
      </c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6"/>
    </row>
    <row r="221">
      <c r="A221" s="25" t="s">
        <v>128</v>
      </c>
      <c r="B221" s="26">
        <v>45732.0</v>
      </c>
      <c r="C221" s="27" t="s">
        <v>129</v>
      </c>
      <c r="D221" s="27" t="s">
        <v>30</v>
      </c>
      <c r="E221" s="27" t="s">
        <v>130</v>
      </c>
      <c r="F221" s="27" t="s">
        <v>3</v>
      </c>
      <c r="G221" s="27" t="s">
        <v>99</v>
      </c>
      <c r="H221" s="28">
        <v>199000.0</v>
      </c>
      <c r="I221" s="28">
        <v>1.0</v>
      </c>
      <c r="J221" s="28">
        <v>199000.0</v>
      </c>
      <c r="K221" s="28">
        <v>199000.0</v>
      </c>
      <c r="L221" s="27" t="s">
        <v>41</v>
      </c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30"/>
    </row>
    <row r="222">
      <c r="A222" s="31" t="s">
        <v>131</v>
      </c>
      <c r="B222" s="32">
        <v>45733.0</v>
      </c>
      <c r="C222" s="33" t="s">
        <v>132</v>
      </c>
      <c r="D222" s="33" t="s">
        <v>45</v>
      </c>
      <c r="E222" s="33" t="s">
        <v>133</v>
      </c>
      <c r="F222" s="33" t="s">
        <v>3</v>
      </c>
      <c r="G222" s="33" t="s">
        <v>103</v>
      </c>
      <c r="H222" s="34">
        <v>199000.0</v>
      </c>
      <c r="I222" s="34">
        <v>1.0</v>
      </c>
      <c r="J222" s="34">
        <v>199000.0</v>
      </c>
      <c r="K222" s="34">
        <v>199000.0</v>
      </c>
      <c r="L222" s="33" t="s">
        <v>41</v>
      </c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6"/>
    </row>
    <row r="223">
      <c r="A223" s="25" t="s">
        <v>134</v>
      </c>
      <c r="B223" s="26">
        <v>45734.0</v>
      </c>
      <c r="C223" s="27" t="s">
        <v>135</v>
      </c>
      <c r="D223" s="27" t="s">
        <v>45</v>
      </c>
      <c r="E223" s="27" t="s">
        <v>136</v>
      </c>
      <c r="F223" s="27" t="s">
        <v>3</v>
      </c>
      <c r="G223" s="27" t="s">
        <v>107</v>
      </c>
      <c r="H223" s="28">
        <v>199000.0</v>
      </c>
      <c r="I223" s="28">
        <v>1.0</v>
      </c>
      <c r="J223" s="28">
        <v>199000.0</v>
      </c>
      <c r="K223" s="28">
        <v>199000.0</v>
      </c>
      <c r="L223" s="27" t="s">
        <v>41</v>
      </c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30"/>
    </row>
    <row r="224">
      <c r="A224" s="31" t="s">
        <v>137</v>
      </c>
      <c r="B224" s="32">
        <v>45735.0</v>
      </c>
      <c r="C224" s="33" t="s">
        <v>138</v>
      </c>
      <c r="D224" s="33" t="s">
        <v>30</v>
      </c>
      <c r="E224" s="33" t="s">
        <v>139</v>
      </c>
      <c r="F224" s="33" t="s">
        <v>26</v>
      </c>
      <c r="G224" s="33" t="s">
        <v>140</v>
      </c>
      <c r="H224" s="34">
        <v>89000.0</v>
      </c>
      <c r="I224" s="34">
        <v>1.0</v>
      </c>
      <c r="J224" s="34">
        <v>89000.0</v>
      </c>
      <c r="K224" s="34">
        <v>89000.0</v>
      </c>
      <c r="L224" s="33" t="s">
        <v>125</v>
      </c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6"/>
    </row>
    <row r="225">
      <c r="A225" s="25" t="s">
        <v>141</v>
      </c>
      <c r="B225" s="26">
        <v>45735.0</v>
      </c>
      <c r="C225" s="27" t="s">
        <v>142</v>
      </c>
      <c r="D225" s="27" t="s">
        <v>30</v>
      </c>
      <c r="E225" s="27" t="s">
        <v>143</v>
      </c>
      <c r="F225" s="27" t="s">
        <v>3</v>
      </c>
      <c r="G225" s="27" t="s">
        <v>112</v>
      </c>
      <c r="H225" s="28">
        <v>329000.0</v>
      </c>
      <c r="I225" s="28">
        <v>1.0</v>
      </c>
      <c r="J225" s="28">
        <v>329000.0</v>
      </c>
      <c r="K225" s="28">
        <v>329000.0</v>
      </c>
      <c r="L225" s="27" t="s">
        <v>113</v>
      </c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30"/>
    </row>
    <row r="226">
      <c r="A226" s="31" t="s">
        <v>144</v>
      </c>
      <c r="B226" s="32">
        <v>45736.0</v>
      </c>
      <c r="C226" s="33" t="s">
        <v>145</v>
      </c>
      <c r="D226" s="33" t="s">
        <v>37</v>
      </c>
      <c r="E226" s="33" t="s">
        <v>146</v>
      </c>
      <c r="F226" s="33" t="s">
        <v>1</v>
      </c>
      <c r="G226" s="33" t="s">
        <v>147</v>
      </c>
      <c r="H226" s="34">
        <v>89000.0</v>
      </c>
      <c r="I226" s="34">
        <v>1.0</v>
      </c>
      <c r="J226" s="34">
        <v>89000.0</v>
      </c>
      <c r="K226" s="34">
        <v>89000.0</v>
      </c>
      <c r="L226" s="33" t="s">
        <v>125</v>
      </c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6"/>
    </row>
    <row r="227">
      <c r="A227" s="25" t="s">
        <v>148</v>
      </c>
      <c r="B227" s="26">
        <v>45736.0</v>
      </c>
      <c r="C227" s="27" t="s">
        <v>149</v>
      </c>
      <c r="D227" s="27" t="s">
        <v>37</v>
      </c>
      <c r="E227" s="27" t="s">
        <v>150</v>
      </c>
      <c r="F227" s="27" t="s">
        <v>3</v>
      </c>
      <c r="G227" s="27" t="s">
        <v>117</v>
      </c>
      <c r="H227" s="28">
        <v>329000.0</v>
      </c>
      <c r="I227" s="28">
        <v>1.0</v>
      </c>
      <c r="J227" s="28">
        <v>329000.0</v>
      </c>
      <c r="K227" s="28">
        <v>329000.0</v>
      </c>
      <c r="L227" s="27" t="s">
        <v>113</v>
      </c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30"/>
    </row>
    <row r="228">
      <c r="A228" s="31" t="s">
        <v>151</v>
      </c>
      <c r="B228" s="32">
        <v>45737.0</v>
      </c>
      <c r="C228" s="33" t="s">
        <v>152</v>
      </c>
      <c r="D228" s="33" t="s">
        <v>37</v>
      </c>
      <c r="E228" s="33" t="s">
        <v>153</v>
      </c>
      <c r="F228" s="33" t="s">
        <v>1</v>
      </c>
      <c r="G228" s="33" t="s">
        <v>154</v>
      </c>
      <c r="H228" s="34">
        <v>89000.0</v>
      </c>
      <c r="I228" s="34">
        <v>2.0</v>
      </c>
      <c r="J228" s="34">
        <v>178000.0</v>
      </c>
      <c r="K228" s="34">
        <v>178000.0</v>
      </c>
      <c r="L228" s="33" t="s">
        <v>125</v>
      </c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6"/>
    </row>
    <row r="229">
      <c r="A229" s="25" t="s">
        <v>155</v>
      </c>
      <c r="B229" s="26">
        <v>45737.0</v>
      </c>
      <c r="C229" s="27" t="s">
        <v>156</v>
      </c>
      <c r="D229" s="27" t="s">
        <v>45</v>
      </c>
      <c r="E229" s="27" t="s">
        <v>150</v>
      </c>
      <c r="F229" s="27" t="s">
        <v>3</v>
      </c>
      <c r="G229" s="27" t="s">
        <v>124</v>
      </c>
      <c r="H229" s="28">
        <v>89000.0</v>
      </c>
      <c r="I229" s="28">
        <v>1.0</v>
      </c>
      <c r="J229" s="28">
        <v>89000.0</v>
      </c>
      <c r="K229" s="28">
        <v>89000.0</v>
      </c>
      <c r="L229" s="27" t="s">
        <v>125</v>
      </c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30"/>
    </row>
    <row r="230">
      <c r="A230" s="31" t="s">
        <v>157</v>
      </c>
      <c r="B230" s="32">
        <v>45738.0</v>
      </c>
      <c r="C230" s="33" t="s">
        <v>158</v>
      </c>
      <c r="D230" s="33" t="s">
        <v>37</v>
      </c>
      <c r="E230" s="33" t="s">
        <v>159</v>
      </c>
      <c r="F230" s="33" t="s">
        <v>1</v>
      </c>
      <c r="G230" s="33" t="s">
        <v>160</v>
      </c>
      <c r="H230" s="34">
        <v>189000.0</v>
      </c>
      <c r="I230" s="34">
        <v>1.0</v>
      </c>
      <c r="J230" s="34">
        <v>189000.0</v>
      </c>
      <c r="K230" s="34">
        <v>189000.0</v>
      </c>
      <c r="L230" s="33" t="s">
        <v>62</v>
      </c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6"/>
    </row>
    <row r="231">
      <c r="A231" s="25" t="s">
        <v>161</v>
      </c>
      <c r="B231" s="26">
        <v>45738.0</v>
      </c>
      <c r="C231" s="27" t="s">
        <v>162</v>
      </c>
      <c r="D231" s="27" t="s">
        <v>45</v>
      </c>
      <c r="E231" s="27" t="s">
        <v>163</v>
      </c>
      <c r="F231" s="27" t="s">
        <v>3</v>
      </c>
      <c r="G231" s="27" t="s">
        <v>126</v>
      </c>
      <c r="H231" s="28">
        <v>89000.0</v>
      </c>
      <c r="I231" s="28">
        <v>1.0</v>
      </c>
      <c r="J231" s="28">
        <v>89000.0</v>
      </c>
      <c r="K231" s="28">
        <v>89000.0</v>
      </c>
      <c r="L231" s="27" t="s">
        <v>125</v>
      </c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30"/>
    </row>
    <row r="232">
      <c r="A232" s="31" t="s">
        <v>164</v>
      </c>
      <c r="B232" s="32">
        <v>45739.0</v>
      </c>
      <c r="C232" s="33" t="s">
        <v>165</v>
      </c>
      <c r="D232" s="33" t="s">
        <v>30</v>
      </c>
      <c r="E232" s="33" t="s">
        <v>166</v>
      </c>
      <c r="F232" s="33" t="s">
        <v>1</v>
      </c>
      <c r="G232" s="33" t="s">
        <v>167</v>
      </c>
      <c r="H232" s="34">
        <v>129000.0</v>
      </c>
      <c r="I232" s="34">
        <v>1.0</v>
      </c>
      <c r="J232" s="34">
        <v>129000.0</v>
      </c>
      <c r="K232" s="34">
        <v>129000.0</v>
      </c>
      <c r="L232" s="33" t="s">
        <v>41</v>
      </c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6"/>
    </row>
    <row r="233">
      <c r="A233" s="25" t="s">
        <v>168</v>
      </c>
      <c r="B233" s="26">
        <v>45739.0</v>
      </c>
      <c r="C233" s="27" t="s">
        <v>169</v>
      </c>
      <c r="D233" s="27" t="s">
        <v>30</v>
      </c>
      <c r="E233" s="27" t="s">
        <v>170</v>
      </c>
      <c r="F233" s="27" t="s">
        <v>3</v>
      </c>
      <c r="G233" s="27" t="s">
        <v>127</v>
      </c>
      <c r="H233" s="28">
        <v>89000.0</v>
      </c>
      <c r="I233" s="28">
        <v>2.0</v>
      </c>
      <c r="J233" s="28">
        <v>178000.0</v>
      </c>
      <c r="K233" s="28">
        <v>178000.0</v>
      </c>
      <c r="L233" s="27" t="s">
        <v>125</v>
      </c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30"/>
    </row>
    <row r="234">
      <c r="A234" s="31" t="s">
        <v>171</v>
      </c>
      <c r="B234" s="32">
        <v>45740.0</v>
      </c>
      <c r="C234" s="33" t="s">
        <v>172</v>
      </c>
      <c r="D234" s="33" t="s">
        <v>30</v>
      </c>
      <c r="E234" s="33" t="s">
        <v>173</v>
      </c>
      <c r="F234" s="33" t="s">
        <v>1</v>
      </c>
      <c r="G234" s="33" t="s">
        <v>174</v>
      </c>
      <c r="H234" s="34">
        <v>129000.0</v>
      </c>
      <c r="I234" s="34">
        <v>1.0</v>
      </c>
      <c r="J234" s="34">
        <v>129000.0</v>
      </c>
      <c r="K234" s="34">
        <v>129000.0</v>
      </c>
      <c r="L234" s="33" t="s">
        <v>41</v>
      </c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6"/>
    </row>
    <row r="235">
      <c r="A235" s="25" t="s">
        <v>175</v>
      </c>
      <c r="B235" s="26">
        <v>45740.0</v>
      </c>
      <c r="C235" s="27" t="s">
        <v>176</v>
      </c>
      <c r="D235" s="27" t="s">
        <v>177</v>
      </c>
      <c r="E235" s="27" t="s">
        <v>178</v>
      </c>
      <c r="F235" s="27" t="s">
        <v>3</v>
      </c>
      <c r="G235" s="27" t="s">
        <v>140</v>
      </c>
      <c r="H235" s="28">
        <v>89000.0</v>
      </c>
      <c r="I235" s="28">
        <v>1.0</v>
      </c>
      <c r="J235" s="28">
        <v>89000.0</v>
      </c>
      <c r="K235" s="28">
        <v>89000.0</v>
      </c>
      <c r="L235" s="27" t="s">
        <v>125</v>
      </c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30"/>
    </row>
    <row r="236">
      <c r="A236" s="31" t="s">
        <v>179</v>
      </c>
      <c r="B236" s="32">
        <v>45741.0</v>
      </c>
      <c r="C236" s="33" t="s">
        <v>180</v>
      </c>
      <c r="D236" s="33" t="s">
        <v>45</v>
      </c>
      <c r="E236" s="33" t="s">
        <v>181</v>
      </c>
      <c r="F236" s="33" t="s">
        <v>1</v>
      </c>
      <c r="G236" s="33" t="s">
        <v>182</v>
      </c>
      <c r="H236" s="34">
        <v>129000.0</v>
      </c>
      <c r="I236" s="34">
        <v>1.0</v>
      </c>
      <c r="J236" s="34">
        <v>129000.0</v>
      </c>
      <c r="K236" s="34">
        <v>129000.0</v>
      </c>
      <c r="L236" s="33" t="s">
        <v>41</v>
      </c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6"/>
    </row>
    <row r="237">
      <c r="A237" s="25" t="s">
        <v>183</v>
      </c>
      <c r="B237" s="26">
        <v>45741.0</v>
      </c>
      <c r="C237" s="27" t="s">
        <v>184</v>
      </c>
      <c r="D237" s="27" t="s">
        <v>30</v>
      </c>
      <c r="E237" s="27" t="s">
        <v>185</v>
      </c>
      <c r="F237" s="27" t="s">
        <v>3</v>
      </c>
      <c r="G237" s="27" t="s">
        <v>147</v>
      </c>
      <c r="H237" s="28">
        <v>89000.0</v>
      </c>
      <c r="I237" s="28">
        <v>1.0</v>
      </c>
      <c r="J237" s="28">
        <v>89000.0</v>
      </c>
      <c r="K237" s="28">
        <v>89000.0</v>
      </c>
      <c r="L237" s="27" t="s">
        <v>125</v>
      </c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30"/>
    </row>
    <row r="238">
      <c r="A238" s="31" t="s">
        <v>186</v>
      </c>
      <c r="B238" s="32">
        <v>45742.0</v>
      </c>
      <c r="C238" s="33" t="s">
        <v>187</v>
      </c>
      <c r="D238" s="33" t="s">
        <v>30</v>
      </c>
      <c r="E238" s="33" t="s">
        <v>188</v>
      </c>
      <c r="F238" s="33" t="s">
        <v>1</v>
      </c>
      <c r="G238" s="33" t="s">
        <v>189</v>
      </c>
      <c r="H238" s="34">
        <v>129000.0</v>
      </c>
      <c r="I238" s="34">
        <v>1.0</v>
      </c>
      <c r="J238" s="34">
        <v>129000.0</v>
      </c>
      <c r="K238" s="34">
        <v>304000.0</v>
      </c>
      <c r="L238" s="33" t="s">
        <v>41</v>
      </c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6"/>
    </row>
    <row r="239">
      <c r="A239" s="25" t="s">
        <v>186</v>
      </c>
      <c r="B239" s="26">
        <v>45742.0</v>
      </c>
      <c r="C239" s="27" t="s">
        <v>187</v>
      </c>
      <c r="D239" s="27" t="s">
        <v>30</v>
      </c>
      <c r="E239" s="27" t="s">
        <v>188</v>
      </c>
      <c r="F239" s="27" t="s">
        <v>1</v>
      </c>
      <c r="G239" s="27" t="s">
        <v>190</v>
      </c>
      <c r="H239" s="28">
        <v>175000.0</v>
      </c>
      <c r="I239" s="28">
        <v>1.0</v>
      </c>
      <c r="J239" s="28">
        <v>175000.0</v>
      </c>
      <c r="K239" s="28">
        <v>304000.0</v>
      </c>
      <c r="L239" s="27" t="s">
        <v>33</v>
      </c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30"/>
    </row>
    <row r="240">
      <c r="A240" s="31" t="s">
        <v>191</v>
      </c>
      <c r="B240" s="32">
        <v>45742.0</v>
      </c>
      <c r="C240" s="33" t="s">
        <v>184</v>
      </c>
      <c r="D240" s="33" t="s">
        <v>30</v>
      </c>
      <c r="E240" s="33" t="s">
        <v>192</v>
      </c>
      <c r="F240" s="33" t="s">
        <v>3</v>
      </c>
      <c r="G240" s="33" t="s">
        <v>154</v>
      </c>
      <c r="H240" s="34">
        <v>89000.0</v>
      </c>
      <c r="I240" s="34">
        <v>3.0</v>
      </c>
      <c r="J240" s="34">
        <v>267000.0</v>
      </c>
      <c r="K240" s="34">
        <v>496000.0</v>
      </c>
      <c r="L240" s="33" t="s">
        <v>125</v>
      </c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6"/>
    </row>
    <row r="241">
      <c r="A241" s="25" t="s">
        <v>191</v>
      </c>
      <c r="B241" s="26">
        <v>45742.0</v>
      </c>
      <c r="C241" s="27" t="s">
        <v>184</v>
      </c>
      <c r="D241" s="27" t="s">
        <v>30</v>
      </c>
      <c r="E241" s="27" t="s">
        <v>192</v>
      </c>
      <c r="F241" s="27" t="s">
        <v>3</v>
      </c>
      <c r="G241" s="27" t="s">
        <v>193</v>
      </c>
      <c r="H241" s="28">
        <v>229000.0</v>
      </c>
      <c r="I241" s="28">
        <v>1.0</v>
      </c>
      <c r="J241" s="28">
        <v>229000.0</v>
      </c>
      <c r="K241" s="28">
        <v>496000.0</v>
      </c>
      <c r="L241" s="27" t="s">
        <v>41</v>
      </c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30"/>
    </row>
    <row r="242">
      <c r="A242" s="31" t="s">
        <v>194</v>
      </c>
      <c r="B242" s="32">
        <v>45744.0</v>
      </c>
      <c r="C242" s="33" t="s">
        <v>195</v>
      </c>
      <c r="D242" s="33" t="s">
        <v>45</v>
      </c>
      <c r="E242" s="33" t="s">
        <v>196</v>
      </c>
      <c r="F242" s="33" t="s">
        <v>39</v>
      </c>
      <c r="G242" s="33" t="s">
        <v>197</v>
      </c>
      <c r="H242" s="34">
        <v>175000.0</v>
      </c>
      <c r="I242" s="34">
        <v>1.0</v>
      </c>
      <c r="J242" s="34">
        <v>175000.0</v>
      </c>
      <c r="K242" s="34">
        <v>175000.0</v>
      </c>
      <c r="L242" s="33" t="s">
        <v>33</v>
      </c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6"/>
    </row>
    <row r="243">
      <c r="A243" s="25" t="s">
        <v>199</v>
      </c>
      <c r="B243" s="26">
        <v>45744.0</v>
      </c>
      <c r="C243" s="27" t="s">
        <v>200</v>
      </c>
      <c r="D243" s="27" t="s">
        <v>30</v>
      </c>
      <c r="E243" s="27" t="s">
        <v>201</v>
      </c>
      <c r="F243" s="27" t="s">
        <v>27</v>
      </c>
      <c r="G243" s="27" t="s">
        <v>202</v>
      </c>
      <c r="H243" s="28">
        <v>229000.0</v>
      </c>
      <c r="I243" s="28">
        <v>1.0</v>
      </c>
      <c r="J243" s="28">
        <v>229000.0</v>
      </c>
      <c r="K243" s="28">
        <v>229000.0</v>
      </c>
      <c r="L243" s="27" t="s">
        <v>41</v>
      </c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30"/>
    </row>
    <row r="244">
      <c r="A244" s="31" t="s">
        <v>203</v>
      </c>
      <c r="B244" s="32">
        <v>45745.0</v>
      </c>
      <c r="C244" s="33" t="s">
        <v>204</v>
      </c>
      <c r="D244" s="33" t="s">
        <v>45</v>
      </c>
      <c r="E244" s="33" t="s">
        <v>205</v>
      </c>
      <c r="F244" s="33" t="s">
        <v>39</v>
      </c>
      <c r="G244" s="33" t="s">
        <v>206</v>
      </c>
      <c r="H244" s="34">
        <v>199000.0</v>
      </c>
      <c r="I244" s="34">
        <v>1.0</v>
      </c>
      <c r="J244" s="34">
        <v>199000.0</v>
      </c>
      <c r="K244" s="34">
        <v>199000.0</v>
      </c>
      <c r="L244" s="33" t="s">
        <v>207</v>
      </c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6"/>
    </row>
    <row r="245">
      <c r="A245" s="25" t="s">
        <v>208</v>
      </c>
      <c r="B245" s="26">
        <v>45745.0</v>
      </c>
      <c r="C245" s="27" t="s">
        <v>209</v>
      </c>
      <c r="D245" s="27" t="s">
        <v>45</v>
      </c>
      <c r="E245" s="27" t="s">
        <v>210</v>
      </c>
      <c r="F245" s="27" t="s">
        <v>11</v>
      </c>
      <c r="G245" s="27" t="s">
        <v>211</v>
      </c>
      <c r="H245" s="28">
        <v>229000.0</v>
      </c>
      <c r="I245" s="28">
        <v>1.0</v>
      </c>
      <c r="J245" s="28">
        <v>229000.0</v>
      </c>
      <c r="K245" s="28">
        <v>458000.0</v>
      </c>
      <c r="L245" s="27" t="s">
        <v>41</v>
      </c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30"/>
    </row>
    <row r="246">
      <c r="A246" s="31" t="s">
        <v>208</v>
      </c>
      <c r="B246" s="32">
        <v>45745.0</v>
      </c>
      <c r="C246" s="33" t="s">
        <v>209</v>
      </c>
      <c r="D246" s="33" t="s">
        <v>45</v>
      </c>
      <c r="E246" s="33" t="s">
        <v>210</v>
      </c>
      <c r="F246" s="33" t="s">
        <v>11</v>
      </c>
      <c r="G246" s="33" t="s">
        <v>212</v>
      </c>
      <c r="H246" s="34">
        <v>229000.0</v>
      </c>
      <c r="I246" s="34">
        <v>1.0</v>
      </c>
      <c r="J246" s="34">
        <v>229000.0</v>
      </c>
      <c r="K246" s="34">
        <v>458000.0</v>
      </c>
      <c r="L246" s="33" t="s">
        <v>41</v>
      </c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6"/>
    </row>
    <row r="247">
      <c r="A247" s="25" t="s">
        <v>213</v>
      </c>
      <c r="B247" s="26">
        <v>45746.0</v>
      </c>
      <c r="C247" s="27" t="s">
        <v>214</v>
      </c>
      <c r="D247" s="27" t="s">
        <v>30</v>
      </c>
      <c r="E247" s="27" t="s">
        <v>215</v>
      </c>
      <c r="F247" s="27" t="s">
        <v>39</v>
      </c>
      <c r="G247" s="27" t="s">
        <v>216</v>
      </c>
      <c r="H247" s="28">
        <v>199000.0</v>
      </c>
      <c r="I247" s="28">
        <v>2.0</v>
      </c>
      <c r="J247" s="28">
        <v>398000.0</v>
      </c>
      <c r="K247" s="28">
        <v>398000.0</v>
      </c>
      <c r="L247" s="27" t="s">
        <v>207</v>
      </c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30"/>
    </row>
    <row r="248">
      <c r="A248" s="31" t="s">
        <v>217</v>
      </c>
      <c r="B248" s="32">
        <v>45747.0</v>
      </c>
      <c r="C248" s="33" t="s">
        <v>218</v>
      </c>
      <c r="D248" s="33" t="s">
        <v>30</v>
      </c>
      <c r="E248" s="33" t="s">
        <v>219</v>
      </c>
      <c r="F248" s="33" t="s">
        <v>39</v>
      </c>
      <c r="G248" s="33" t="s">
        <v>220</v>
      </c>
      <c r="H248" s="34">
        <v>149000.0</v>
      </c>
      <c r="I248" s="34">
        <v>1.0</v>
      </c>
      <c r="J248" s="34">
        <v>149000.0</v>
      </c>
      <c r="K248" s="34">
        <v>149000.0</v>
      </c>
      <c r="L248" s="33" t="s">
        <v>207</v>
      </c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6"/>
    </row>
    <row r="249">
      <c r="A249" s="25" t="s">
        <v>221</v>
      </c>
      <c r="B249" s="26">
        <v>45749.0</v>
      </c>
      <c r="C249" s="27" t="s">
        <v>222</v>
      </c>
      <c r="D249" s="27" t="s">
        <v>45</v>
      </c>
      <c r="E249" s="27" t="s">
        <v>223</v>
      </c>
      <c r="F249" s="27" t="s">
        <v>14</v>
      </c>
      <c r="G249" s="27" t="s">
        <v>224</v>
      </c>
      <c r="H249" s="28">
        <v>229000.0</v>
      </c>
      <c r="I249" s="28">
        <v>1.0</v>
      </c>
      <c r="J249" s="28">
        <v>229000.0</v>
      </c>
      <c r="K249" s="28">
        <v>229000.0</v>
      </c>
      <c r="L249" s="27" t="s">
        <v>41</v>
      </c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30"/>
    </row>
    <row r="250">
      <c r="A250" s="37"/>
      <c r="B250" s="38"/>
      <c r="C250" s="39"/>
      <c r="D250" s="39"/>
      <c r="E250" s="40"/>
      <c r="F250" s="41"/>
      <c r="G250" s="41"/>
      <c r="H250" s="42"/>
      <c r="I250" s="43"/>
      <c r="J250" s="44"/>
      <c r="K250" s="42"/>
      <c r="L250" s="41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1"/>
    </row>
    <row r="251">
      <c r="A251" s="45"/>
      <c r="B251" s="46"/>
      <c r="C251" s="47"/>
      <c r="D251" s="47"/>
      <c r="E251" s="48"/>
      <c r="F251" s="49"/>
      <c r="G251" s="49"/>
      <c r="H251" s="50"/>
      <c r="I251" s="51"/>
      <c r="J251" s="52"/>
      <c r="K251" s="50"/>
      <c r="L251" s="49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4"/>
    </row>
    <row r="252">
      <c r="A252" s="37"/>
      <c r="B252" s="38"/>
      <c r="C252" s="39"/>
      <c r="D252" s="39"/>
      <c r="E252" s="40"/>
      <c r="F252" s="41"/>
      <c r="G252" s="41"/>
      <c r="H252" s="42"/>
      <c r="I252" s="43"/>
      <c r="J252" s="44"/>
      <c r="K252" s="42"/>
      <c r="L252" s="41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1"/>
    </row>
    <row r="253">
      <c r="A253" s="45"/>
      <c r="B253" s="46"/>
      <c r="C253" s="47"/>
      <c r="D253" s="47"/>
      <c r="E253" s="48"/>
      <c r="F253" s="49"/>
      <c r="G253" s="49"/>
      <c r="H253" s="50"/>
      <c r="I253" s="51"/>
      <c r="J253" s="52"/>
      <c r="K253" s="50"/>
      <c r="L253" s="49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4"/>
    </row>
    <row r="254">
      <c r="A254" s="37"/>
      <c r="B254" s="38"/>
      <c r="C254" s="39"/>
      <c r="D254" s="39"/>
      <c r="E254" s="40"/>
      <c r="F254" s="41"/>
      <c r="G254" s="41"/>
      <c r="H254" s="42"/>
      <c r="I254" s="43"/>
      <c r="J254" s="44"/>
      <c r="K254" s="42"/>
      <c r="L254" s="41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1"/>
    </row>
    <row r="255">
      <c r="A255" s="45"/>
      <c r="B255" s="46"/>
      <c r="C255" s="47"/>
      <c r="D255" s="47"/>
      <c r="E255" s="48"/>
      <c r="F255" s="49"/>
      <c r="G255" s="49"/>
      <c r="H255" s="50"/>
      <c r="I255" s="51"/>
      <c r="J255" s="52"/>
      <c r="K255" s="50"/>
      <c r="L255" s="49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4"/>
    </row>
    <row r="256">
      <c r="A256" s="37"/>
      <c r="B256" s="38"/>
      <c r="C256" s="39"/>
      <c r="D256" s="39"/>
      <c r="E256" s="40"/>
      <c r="F256" s="41"/>
      <c r="G256" s="41"/>
      <c r="H256" s="42"/>
      <c r="I256" s="43"/>
      <c r="J256" s="44"/>
      <c r="K256" s="42"/>
      <c r="L256" s="41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1"/>
    </row>
    <row r="257">
      <c r="A257" s="45"/>
      <c r="B257" s="46"/>
      <c r="C257" s="47"/>
      <c r="D257" s="47"/>
      <c r="E257" s="48"/>
      <c r="F257" s="49"/>
      <c r="G257" s="49"/>
      <c r="H257" s="50"/>
      <c r="I257" s="51"/>
      <c r="J257" s="52"/>
      <c r="K257" s="50"/>
      <c r="L257" s="49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4"/>
    </row>
    <row r="258">
      <c r="A258" s="37"/>
      <c r="B258" s="38"/>
      <c r="C258" s="39"/>
      <c r="D258" s="39"/>
      <c r="E258" s="40"/>
      <c r="F258" s="41"/>
      <c r="G258" s="41"/>
      <c r="H258" s="42"/>
      <c r="I258" s="43"/>
      <c r="J258" s="44"/>
      <c r="K258" s="42"/>
      <c r="L258" s="41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1"/>
    </row>
    <row r="259">
      <c r="A259" s="45"/>
      <c r="B259" s="46"/>
      <c r="C259" s="47"/>
      <c r="D259" s="47"/>
      <c r="E259" s="48"/>
      <c r="F259" s="49"/>
      <c r="G259" s="49"/>
      <c r="H259" s="50"/>
      <c r="I259" s="51"/>
      <c r="J259" s="52"/>
      <c r="K259" s="50"/>
      <c r="L259" s="49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4"/>
    </row>
    <row r="260">
      <c r="A260" s="37"/>
      <c r="B260" s="38"/>
      <c r="C260" s="39"/>
      <c r="D260" s="39"/>
      <c r="E260" s="40"/>
      <c r="F260" s="41"/>
      <c r="G260" s="41"/>
      <c r="H260" s="42"/>
      <c r="I260" s="43"/>
      <c r="J260" s="44"/>
      <c r="K260" s="42"/>
      <c r="L260" s="41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1"/>
    </row>
    <row r="261">
      <c r="A261" s="45"/>
      <c r="B261" s="46"/>
      <c r="C261" s="47"/>
      <c r="D261" s="47"/>
      <c r="E261" s="48"/>
      <c r="F261" s="49"/>
      <c r="G261" s="49"/>
      <c r="H261" s="50"/>
      <c r="I261" s="51"/>
      <c r="J261" s="52"/>
      <c r="K261" s="50"/>
      <c r="L261" s="49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4"/>
    </row>
    <row r="262">
      <c r="A262" s="37"/>
      <c r="B262" s="38"/>
      <c r="C262" s="39"/>
      <c r="D262" s="39"/>
      <c r="E262" s="40"/>
      <c r="F262" s="41"/>
      <c r="G262" s="41"/>
      <c r="H262" s="42"/>
      <c r="I262" s="43"/>
      <c r="J262" s="44"/>
      <c r="K262" s="42"/>
      <c r="L262" s="41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1"/>
    </row>
    <row r="263">
      <c r="A263" s="45"/>
      <c r="B263" s="46"/>
      <c r="C263" s="47"/>
      <c r="D263" s="47"/>
      <c r="E263" s="48"/>
      <c r="F263" s="49"/>
      <c r="G263" s="49"/>
      <c r="H263" s="50"/>
      <c r="I263" s="51"/>
      <c r="J263" s="52"/>
      <c r="K263" s="50"/>
      <c r="L263" s="49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4"/>
    </row>
    <row r="264">
      <c r="A264" s="37"/>
      <c r="B264" s="38"/>
      <c r="C264" s="39"/>
      <c r="D264" s="39"/>
      <c r="E264" s="40"/>
      <c r="F264" s="41"/>
      <c r="G264" s="41"/>
      <c r="H264" s="42"/>
      <c r="I264" s="43"/>
      <c r="J264" s="44"/>
      <c r="K264" s="42"/>
      <c r="L264" s="41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1"/>
    </row>
    <row r="265">
      <c r="A265" s="45"/>
      <c r="B265" s="46"/>
      <c r="C265" s="47"/>
      <c r="D265" s="47"/>
      <c r="E265" s="48"/>
      <c r="F265" s="49"/>
      <c r="G265" s="49"/>
      <c r="H265" s="50"/>
      <c r="I265" s="51"/>
      <c r="J265" s="52"/>
      <c r="K265" s="50"/>
      <c r="L265" s="49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4"/>
    </row>
    <row r="266">
      <c r="A266" s="37"/>
      <c r="B266" s="38"/>
      <c r="C266" s="39"/>
      <c r="D266" s="39"/>
      <c r="E266" s="40"/>
      <c r="F266" s="41"/>
      <c r="G266" s="41"/>
      <c r="H266" s="42"/>
      <c r="I266" s="43"/>
      <c r="J266" s="44"/>
      <c r="K266" s="42"/>
      <c r="L266" s="41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1"/>
    </row>
    <row r="267">
      <c r="A267" s="45"/>
      <c r="B267" s="46"/>
      <c r="C267" s="47"/>
      <c r="D267" s="47"/>
      <c r="E267" s="48"/>
      <c r="F267" s="49"/>
      <c r="G267" s="49"/>
      <c r="H267" s="50"/>
      <c r="I267" s="51"/>
      <c r="J267" s="52"/>
      <c r="K267" s="50"/>
      <c r="L267" s="49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4"/>
    </row>
    <row r="268">
      <c r="A268" s="37"/>
      <c r="B268" s="38"/>
      <c r="C268" s="39"/>
      <c r="D268" s="39"/>
      <c r="E268" s="40"/>
      <c r="F268" s="41"/>
      <c r="G268" s="41"/>
      <c r="H268" s="42"/>
      <c r="I268" s="43"/>
      <c r="J268" s="44"/>
      <c r="K268" s="42"/>
      <c r="L268" s="41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1"/>
    </row>
    <row r="269">
      <c r="A269" s="45"/>
      <c r="B269" s="46"/>
      <c r="C269" s="47"/>
      <c r="D269" s="47"/>
      <c r="E269" s="48"/>
      <c r="F269" s="49"/>
      <c r="G269" s="49"/>
      <c r="H269" s="50"/>
      <c r="I269" s="51"/>
      <c r="J269" s="52"/>
      <c r="K269" s="50"/>
      <c r="L269" s="49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4"/>
    </row>
    <row r="270">
      <c r="A270" s="37"/>
      <c r="B270" s="38"/>
      <c r="C270" s="39"/>
      <c r="D270" s="39"/>
      <c r="E270" s="40"/>
      <c r="F270" s="41"/>
      <c r="G270" s="41"/>
      <c r="H270" s="42"/>
      <c r="I270" s="43"/>
      <c r="J270" s="44"/>
      <c r="K270" s="42"/>
      <c r="L270" s="41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1"/>
    </row>
    <row r="271">
      <c r="A271" s="45"/>
      <c r="B271" s="46"/>
      <c r="C271" s="47"/>
      <c r="D271" s="47"/>
      <c r="E271" s="48"/>
      <c r="F271" s="49"/>
      <c r="G271" s="49"/>
      <c r="H271" s="50"/>
      <c r="I271" s="51"/>
      <c r="J271" s="52"/>
      <c r="K271" s="50"/>
      <c r="L271" s="49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4"/>
    </row>
    <row r="272">
      <c r="A272" s="37"/>
      <c r="B272" s="38"/>
      <c r="C272" s="39"/>
      <c r="D272" s="39"/>
      <c r="E272" s="40"/>
      <c r="F272" s="41"/>
      <c r="G272" s="41"/>
      <c r="H272" s="42"/>
      <c r="I272" s="43"/>
      <c r="J272" s="44"/>
      <c r="K272" s="42"/>
      <c r="L272" s="41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1"/>
    </row>
    <row r="273">
      <c r="A273" s="45"/>
      <c r="B273" s="46"/>
      <c r="C273" s="47"/>
      <c r="D273" s="47"/>
      <c r="E273" s="48"/>
      <c r="F273" s="49"/>
      <c r="G273" s="49"/>
      <c r="H273" s="50"/>
      <c r="I273" s="51"/>
      <c r="J273" s="52"/>
      <c r="K273" s="50"/>
      <c r="L273" s="49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4"/>
    </row>
    <row r="274">
      <c r="A274" s="37"/>
      <c r="B274" s="38"/>
      <c r="C274" s="39"/>
      <c r="D274" s="39"/>
      <c r="E274" s="40"/>
      <c r="F274" s="41"/>
      <c r="G274" s="41"/>
      <c r="H274" s="42"/>
      <c r="I274" s="43"/>
      <c r="J274" s="44"/>
      <c r="K274" s="42"/>
      <c r="L274" s="41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1"/>
    </row>
    <row r="275">
      <c r="A275" s="45"/>
      <c r="B275" s="46"/>
      <c r="C275" s="47"/>
      <c r="D275" s="47"/>
      <c r="E275" s="48"/>
      <c r="F275" s="49"/>
      <c r="G275" s="49"/>
      <c r="H275" s="50"/>
      <c r="I275" s="51"/>
      <c r="J275" s="52"/>
      <c r="K275" s="50"/>
      <c r="L275" s="49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4"/>
    </row>
    <row r="276">
      <c r="A276" s="37"/>
      <c r="B276" s="38"/>
      <c r="C276" s="39"/>
      <c r="D276" s="39"/>
      <c r="E276" s="40"/>
      <c r="F276" s="41"/>
      <c r="G276" s="41"/>
      <c r="H276" s="42"/>
      <c r="I276" s="43"/>
      <c r="J276" s="44"/>
      <c r="K276" s="42"/>
      <c r="L276" s="41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1"/>
    </row>
    <row r="277">
      <c r="A277" s="45"/>
      <c r="B277" s="46"/>
      <c r="C277" s="47"/>
      <c r="D277" s="47"/>
      <c r="E277" s="48"/>
      <c r="F277" s="49"/>
      <c r="G277" s="49"/>
      <c r="H277" s="50"/>
      <c r="I277" s="51"/>
      <c r="J277" s="52"/>
      <c r="K277" s="50"/>
      <c r="L277" s="49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4"/>
    </row>
    <row r="278">
      <c r="A278" s="37"/>
      <c r="B278" s="38"/>
      <c r="C278" s="39"/>
      <c r="D278" s="39"/>
      <c r="E278" s="40"/>
      <c r="F278" s="41"/>
      <c r="G278" s="41"/>
      <c r="H278" s="42"/>
      <c r="I278" s="43"/>
      <c r="J278" s="44"/>
      <c r="K278" s="42"/>
      <c r="L278" s="41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1"/>
    </row>
    <row r="279">
      <c r="A279" s="45"/>
      <c r="B279" s="46"/>
      <c r="C279" s="47"/>
      <c r="D279" s="47"/>
      <c r="E279" s="48"/>
      <c r="F279" s="49"/>
      <c r="G279" s="49"/>
      <c r="H279" s="50"/>
      <c r="I279" s="51"/>
      <c r="J279" s="52"/>
      <c r="K279" s="50"/>
      <c r="L279" s="49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4"/>
    </row>
    <row r="280">
      <c r="A280" s="37"/>
      <c r="B280" s="38"/>
      <c r="C280" s="39"/>
      <c r="D280" s="39"/>
      <c r="E280" s="40"/>
      <c r="F280" s="41"/>
      <c r="G280" s="41"/>
      <c r="H280" s="42"/>
      <c r="I280" s="43"/>
      <c r="J280" s="44"/>
      <c r="K280" s="42"/>
      <c r="L280" s="41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1"/>
    </row>
    <row r="281">
      <c r="A281" s="45"/>
      <c r="B281" s="46"/>
      <c r="C281" s="47"/>
      <c r="D281" s="47"/>
      <c r="E281" s="48"/>
      <c r="F281" s="49"/>
      <c r="G281" s="49"/>
      <c r="H281" s="50"/>
      <c r="I281" s="51"/>
      <c r="J281" s="52"/>
      <c r="K281" s="50"/>
      <c r="L281" s="49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4"/>
    </row>
    <row r="282">
      <c r="A282" s="37"/>
      <c r="B282" s="38"/>
      <c r="C282" s="39"/>
      <c r="D282" s="39"/>
      <c r="E282" s="40"/>
      <c r="F282" s="41"/>
      <c r="G282" s="41"/>
      <c r="H282" s="42"/>
      <c r="I282" s="43"/>
      <c r="J282" s="44"/>
      <c r="K282" s="42"/>
      <c r="L282" s="41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1"/>
    </row>
    <row r="283">
      <c r="A283" s="45"/>
      <c r="B283" s="46"/>
      <c r="C283" s="47"/>
      <c r="D283" s="47"/>
      <c r="E283" s="48"/>
      <c r="F283" s="49"/>
      <c r="G283" s="49"/>
      <c r="H283" s="50"/>
      <c r="I283" s="51"/>
      <c r="J283" s="52"/>
      <c r="K283" s="50"/>
      <c r="L283" s="49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4"/>
    </row>
    <row r="284">
      <c r="A284" s="37"/>
      <c r="B284" s="38"/>
      <c r="C284" s="39"/>
      <c r="D284" s="39"/>
      <c r="E284" s="40"/>
      <c r="F284" s="41"/>
      <c r="G284" s="41"/>
      <c r="H284" s="42"/>
      <c r="I284" s="43"/>
      <c r="J284" s="44"/>
      <c r="K284" s="42"/>
      <c r="L284" s="41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1"/>
    </row>
    <row r="285">
      <c r="A285" s="45"/>
      <c r="B285" s="46"/>
      <c r="C285" s="47"/>
      <c r="D285" s="47"/>
      <c r="E285" s="48"/>
      <c r="F285" s="49"/>
      <c r="G285" s="49"/>
      <c r="H285" s="50"/>
      <c r="I285" s="51"/>
      <c r="J285" s="52"/>
      <c r="K285" s="50"/>
      <c r="L285" s="49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4"/>
    </row>
    <row r="286">
      <c r="A286" s="37"/>
      <c r="B286" s="38"/>
      <c r="C286" s="39"/>
      <c r="D286" s="39"/>
      <c r="E286" s="40"/>
      <c r="F286" s="41"/>
      <c r="G286" s="41"/>
      <c r="H286" s="42"/>
      <c r="I286" s="43"/>
      <c r="J286" s="44"/>
      <c r="K286" s="42"/>
      <c r="L286" s="41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1"/>
    </row>
    <row r="287">
      <c r="A287" s="45"/>
      <c r="B287" s="46"/>
      <c r="C287" s="47"/>
      <c r="D287" s="47"/>
      <c r="E287" s="48"/>
      <c r="F287" s="49"/>
      <c r="G287" s="49"/>
      <c r="H287" s="50"/>
      <c r="I287" s="51"/>
      <c r="J287" s="52"/>
      <c r="K287" s="50"/>
      <c r="L287" s="49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4"/>
    </row>
    <row r="288">
      <c r="A288" s="37"/>
      <c r="B288" s="38"/>
      <c r="C288" s="39"/>
      <c r="D288" s="39"/>
      <c r="E288" s="40"/>
      <c r="F288" s="41"/>
      <c r="G288" s="41"/>
      <c r="H288" s="42"/>
      <c r="I288" s="43"/>
      <c r="J288" s="44"/>
      <c r="K288" s="42"/>
      <c r="L288" s="41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1"/>
    </row>
    <row r="289">
      <c r="A289" s="45"/>
      <c r="B289" s="46"/>
      <c r="C289" s="47"/>
      <c r="D289" s="47"/>
      <c r="E289" s="48"/>
      <c r="F289" s="49"/>
      <c r="G289" s="49"/>
      <c r="H289" s="50"/>
      <c r="I289" s="51"/>
      <c r="J289" s="52"/>
      <c r="K289" s="50"/>
      <c r="L289" s="49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4"/>
    </row>
    <row r="290">
      <c r="A290" s="37"/>
      <c r="B290" s="38"/>
      <c r="C290" s="39"/>
      <c r="D290" s="39"/>
      <c r="E290" s="40"/>
      <c r="F290" s="41"/>
      <c r="G290" s="41"/>
      <c r="H290" s="42"/>
      <c r="I290" s="43"/>
      <c r="J290" s="44"/>
      <c r="K290" s="42"/>
      <c r="L290" s="41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1"/>
    </row>
    <row r="291">
      <c r="A291" s="45"/>
      <c r="B291" s="46"/>
      <c r="C291" s="47"/>
      <c r="D291" s="47"/>
      <c r="E291" s="48"/>
      <c r="F291" s="49"/>
      <c r="G291" s="49"/>
      <c r="H291" s="50"/>
      <c r="I291" s="51"/>
      <c r="J291" s="52"/>
      <c r="K291" s="50"/>
      <c r="L291" s="49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4"/>
    </row>
    <row r="292">
      <c r="A292" s="37"/>
      <c r="B292" s="38"/>
      <c r="C292" s="39"/>
      <c r="D292" s="39"/>
      <c r="E292" s="40"/>
      <c r="F292" s="41"/>
      <c r="G292" s="41"/>
      <c r="H292" s="42"/>
      <c r="I292" s="43"/>
      <c r="J292" s="44"/>
      <c r="K292" s="42"/>
      <c r="L292" s="41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1"/>
    </row>
    <row r="293">
      <c r="A293" s="45"/>
      <c r="B293" s="46"/>
      <c r="C293" s="47"/>
      <c r="D293" s="47"/>
      <c r="E293" s="48"/>
      <c r="F293" s="49"/>
      <c r="G293" s="49"/>
      <c r="H293" s="50"/>
      <c r="I293" s="51"/>
      <c r="J293" s="52"/>
      <c r="K293" s="50"/>
      <c r="L293" s="49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4"/>
    </row>
    <row r="294">
      <c r="A294" s="37"/>
      <c r="B294" s="38"/>
      <c r="C294" s="39"/>
      <c r="D294" s="39"/>
      <c r="E294" s="40"/>
      <c r="F294" s="41"/>
      <c r="G294" s="41"/>
      <c r="H294" s="42"/>
      <c r="I294" s="43"/>
      <c r="J294" s="44"/>
      <c r="K294" s="42"/>
      <c r="L294" s="41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1"/>
    </row>
    <row r="295">
      <c r="A295" s="45"/>
      <c r="B295" s="46"/>
      <c r="C295" s="47"/>
      <c r="D295" s="47"/>
      <c r="E295" s="48"/>
      <c r="F295" s="49"/>
      <c r="G295" s="49"/>
      <c r="H295" s="50"/>
      <c r="I295" s="51"/>
      <c r="J295" s="52"/>
      <c r="K295" s="50"/>
      <c r="L295" s="49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4"/>
    </row>
    <row r="296">
      <c r="A296" s="37"/>
      <c r="B296" s="38"/>
      <c r="C296" s="39"/>
      <c r="D296" s="39"/>
      <c r="E296" s="40"/>
      <c r="F296" s="41"/>
      <c r="G296" s="41"/>
      <c r="H296" s="42"/>
      <c r="I296" s="43"/>
      <c r="J296" s="44"/>
      <c r="K296" s="42"/>
      <c r="L296" s="41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1"/>
    </row>
    <row r="297">
      <c r="A297" s="45"/>
      <c r="B297" s="46"/>
      <c r="C297" s="47"/>
      <c r="D297" s="47"/>
      <c r="E297" s="48"/>
      <c r="F297" s="49"/>
      <c r="G297" s="49"/>
      <c r="H297" s="50"/>
      <c r="I297" s="51"/>
      <c r="J297" s="52"/>
      <c r="K297" s="50"/>
      <c r="L297" s="49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4"/>
    </row>
    <row r="298">
      <c r="A298" s="37"/>
      <c r="B298" s="38"/>
      <c r="C298" s="39"/>
      <c r="D298" s="39"/>
      <c r="E298" s="40"/>
      <c r="F298" s="41"/>
      <c r="G298" s="41"/>
      <c r="H298" s="42"/>
      <c r="I298" s="43"/>
      <c r="J298" s="44"/>
      <c r="K298" s="42"/>
      <c r="L298" s="41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1"/>
    </row>
    <row r="299">
      <c r="A299" s="45"/>
      <c r="B299" s="46"/>
      <c r="C299" s="47"/>
      <c r="D299" s="47"/>
      <c r="E299" s="48"/>
      <c r="F299" s="49"/>
      <c r="G299" s="49"/>
      <c r="H299" s="50"/>
      <c r="I299" s="51"/>
      <c r="J299" s="52"/>
      <c r="K299" s="50"/>
      <c r="L299" s="49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4"/>
    </row>
    <row r="300">
      <c r="A300" s="37"/>
      <c r="B300" s="38"/>
      <c r="C300" s="39"/>
      <c r="D300" s="39"/>
      <c r="E300" s="40"/>
      <c r="F300" s="41"/>
      <c r="G300" s="41"/>
      <c r="H300" s="42"/>
      <c r="I300" s="43"/>
      <c r="J300" s="44"/>
      <c r="K300" s="42"/>
      <c r="L300" s="41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1"/>
    </row>
    <row r="301">
      <c r="A301" s="45"/>
      <c r="B301" s="46"/>
      <c r="C301" s="47"/>
      <c r="D301" s="47"/>
      <c r="E301" s="48"/>
      <c r="F301" s="49"/>
      <c r="G301" s="49"/>
      <c r="H301" s="50"/>
      <c r="I301" s="51"/>
      <c r="J301" s="52"/>
      <c r="K301" s="50"/>
      <c r="L301" s="49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4"/>
    </row>
    <row r="302">
      <c r="A302" s="37"/>
      <c r="B302" s="38"/>
      <c r="C302" s="39"/>
      <c r="D302" s="39"/>
      <c r="E302" s="40"/>
      <c r="F302" s="41"/>
      <c r="G302" s="41"/>
      <c r="H302" s="42"/>
      <c r="I302" s="43"/>
      <c r="J302" s="44"/>
      <c r="K302" s="42"/>
      <c r="L302" s="41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1"/>
    </row>
    <row r="303">
      <c r="A303" s="45"/>
      <c r="B303" s="46"/>
      <c r="C303" s="47"/>
      <c r="D303" s="47"/>
      <c r="E303" s="48"/>
      <c r="F303" s="49"/>
      <c r="G303" s="49"/>
      <c r="H303" s="50"/>
      <c r="I303" s="51"/>
      <c r="J303" s="52"/>
      <c r="K303" s="50"/>
      <c r="L303" s="49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4"/>
    </row>
    <row r="304">
      <c r="A304" s="37"/>
      <c r="B304" s="38"/>
      <c r="C304" s="39"/>
      <c r="D304" s="39"/>
      <c r="E304" s="40"/>
      <c r="F304" s="41"/>
      <c r="G304" s="41"/>
      <c r="H304" s="42"/>
      <c r="I304" s="43"/>
      <c r="J304" s="44"/>
      <c r="K304" s="42"/>
      <c r="L304" s="41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1"/>
    </row>
    <row r="305">
      <c r="A305" s="45"/>
      <c r="B305" s="46"/>
      <c r="C305" s="47"/>
      <c r="D305" s="47"/>
      <c r="E305" s="48"/>
      <c r="F305" s="49"/>
      <c r="G305" s="49"/>
      <c r="H305" s="50"/>
      <c r="I305" s="51"/>
      <c r="J305" s="52"/>
      <c r="K305" s="50"/>
      <c r="L305" s="49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4"/>
    </row>
    <row r="306">
      <c r="A306" s="37"/>
      <c r="B306" s="38"/>
      <c r="C306" s="39"/>
      <c r="D306" s="39"/>
      <c r="E306" s="40"/>
      <c r="F306" s="41"/>
      <c r="G306" s="41"/>
      <c r="H306" s="42"/>
      <c r="I306" s="43"/>
      <c r="J306" s="44"/>
      <c r="K306" s="42"/>
      <c r="L306" s="41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1"/>
    </row>
    <row r="307">
      <c r="A307" s="45"/>
      <c r="B307" s="46"/>
      <c r="C307" s="47"/>
      <c r="D307" s="47"/>
      <c r="E307" s="48"/>
      <c r="F307" s="49"/>
      <c r="G307" s="49"/>
      <c r="H307" s="50"/>
      <c r="I307" s="51"/>
      <c r="J307" s="52"/>
      <c r="K307" s="50"/>
      <c r="L307" s="49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4"/>
    </row>
    <row r="308">
      <c r="A308" s="37"/>
      <c r="B308" s="38"/>
      <c r="C308" s="39"/>
      <c r="D308" s="39"/>
      <c r="E308" s="40"/>
      <c r="F308" s="41"/>
      <c r="G308" s="41"/>
      <c r="H308" s="42"/>
      <c r="I308" s="43"/>
      <c r="J308" s="44"/>
      <c r="K308" s="42"/>
      <c r="L308" s="41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1"/>
    </row>
    <row r="309">
      <c r="A309" s="45"/>
      <c r="B309" s="46"/>
      <c r="C309" s="47"/>
      <c r="D309" s="47"/>
      <c r="E309" s="48"/>
      <c r="F309" s="49"/>
      <c r="G309" s="49"/>
      <c r="H309" s="50"/>
      <c r="I309" s="51"/>
      <c r="J309" s="52"/>
      <c r="K309" s="50"/>
      <c r="L309" s="49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4"/>
    </row>
    <row r="310">
      <c r="A310" s="37"/>
      <c r="B310" s="38"/>
      <c r="C310" s="39"/>
      <c r="D310" s="39"/>
      <c r="E310" s="40"/>
      <c r="F310" s="41"/>
      <c r="G310" s="41"/>
      <c r="H310" s="42"/>
      <c r="I310" s="43"/>
      <c r="J310" s="44"/>
      <c r="K310" s="42"/>
      <c r="L310" s="41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1"/>
    </row>
    <row r="311">
      <c r="A311" s="45"/>
      <c r="B311" s="46"/>
      <c r="C311" s="47"/>
      <c r="D311" s="47"/>
      <c r="E311" s="48"/>
      <c r="F311" s="49"/>
      <c r="G311" s="49"/>
      <c r="H311" s="50"/>
      <c r="I311" s="51"/>
      <c r="J311" s="52"/>
      <c r="K311" s="50"/>
      <c r="L311" s="49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4"/>
    </row>
    <row r="312">
      <c r="A312" s="37"/>
      <c r="B312" s="38"/>
      <c r="C312" s="39"/>
      <c r="D312" s="39"/>
      <c r="E312" s="40"/>
      <c r="F312" s="41"/>
      <c r="G312" s="41"/>
      <c r="H312" s="42"/>
      <c r="I312" s="43"/>
      <c r="J312" s="44"/>
      <c r="K312" s="42"/>
      <c r="L312" s="41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1"/>
    </row>
    <row r="313">
      <c r="A313" s="45"/>
      <c r="B313" s="46"/>
      <c r="C313" s="47"/>
      <c r="D313" s="47"/>
      <c r="E313" s="48"/>
      <c r="F313" s="49"/>
      <c r="G313" s="49"/>
      <c r="H313" s="50"/>
      <c r="I313" s="51"/>
      <c r="J313" s="52"/>
      <c r="K313" s="50"/>
      <c r="L313" s="49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4"/>
    </row>
    <row r="314">
      <c r="A314" s="37"/>
      <c r="B314" s="38"/>
      <c r="C314" s="39"/>
      <c r="D314" s="39"/>
      <c r="E314" s="40"/>
      <c r="F314" s="41"/>
      <c r="G314" s="41"/>
      <c r="H314" s="42"/>
      <c r="I314" s="43"/>
      <c r="J314" s="44"/>
      <c r="K314" s="42"/>
      <c r="L314" s="41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1"/>
    </row>
    <row r="315">
      <c r="A315" s="45"/>
      <c r="B315" s="46"/>
      <c r="C315" s="47"/>
      <c r="D315" s="47"/>
      <c r="E315" s="48"/>
      <c r="F315" s="49"/>
      <c r="G315" s="49"/>
      <c r="H315" s="50"/>
      <c r="I315" s="51"/>
      <c r="J315" s="52"/>
      <c r="K315" s="50"/>
      <c r="L315" s="49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4"/>
    </row>
    <row r="316">
      <c r="A316" s="37"/>
      <c r="B316" s="38"/>
      <c r="C316" s="39"/>
      <c r="D316" s="39"/>
      <c r="E316" s="40"/>
      <c r="F316" s="41"/>
      <c r="G316" s="41"/>
      <c r="H316" s="42"/>
      <c r="I316" s="43"/>
      <c r="J316" s="44"/>
      <c r="K316" s="42"/>
      <c r="L316" s="41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1"/>
    </row>
    <row r="317">
      <c r="A317" s="45"/>
      <c r="B317" s="46"/>
      <c r="C317" s="47"/>
      <c r="D317" s="47"/>
      <c r="E317" s="48"/>
      <c r="F317" s="49"/>
      <c r="G317" s="49"/>
      <c r="H317" s="50"/>
      <c r="I317" s="51"/>
      <c r="J317" s="52"/>
      <c r="K317" s="50"/>
      <c r="L317" s="49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4"/>
    </row>
    <row r="318">
      <c r="A318" s="37"/>
      <c r="B318" s="38"/>
      <c r="C318" s="39"/>
      <c r="D318" s="39"/>
      <c r="E318" s="40"/>
      <c r="F318" s="41"/>
      <c r="G318" s="41"/>
      <c r="H318" s="42"/>
      <c r="I318" s="43"/>
      <c r="J318" s="44"/>
      <c r="K318" s="42"/>
      <c r="L318" s="41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1"/>
    </row>
    <row r="319">
      <c r="A319" s="45"/>
      <c r="B319" s="46"/>
      <c r="C319" s="47"/>
      <c r="D319" s="47"/>
      <c r="E319" s="48"/>
      <c r="F319" s="49"/>
      <c r="G319" s="49"/>
      <c r="H319" s="50"/>
      <c r="I319" s="51"/>
      <c r="J319" s="52"/>
      <c r="K319" s="50"/>
      <c r="L319" s="49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4"/>
    </row>
    <row r="320">
      <c r="A320" s="37"/>
      <c r="B320" s="38"/>
      <c r="C320" s="39"/>
      <c r="D320" s="39"/>
      <c r="E320" s="40"/>
      <c r="F320" s="41"/>
      <c r="G320" s="41"/>
      <c r="H320" s="42"/>
      <c r="I320" s="43"/>
      <c r="J320" s="44"/>
      <c r="K320" s="42"/>
      <c r="L320" s="41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1"/>
    </row>
    <row r="321">
      <c r="A321" s="45"/>
      <c r="B321" s="46"/>
      <c r="C321" s="47"/>
      <c r="D321" s="47"/>
      <c r="E321" s="48"/>
      <c r="F321" s="49"/>
      <c r="G321" s="49"/>
      <c r="H321" s="50"/>
      <c r="I321" s="51"/>
      <c r="J321" s="52"/>
      <c r="K321" s="50"/>
      <c r="L321" s="49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4"/>
    </row>
    <row r="322">
      <c r="A322" s="37"/>
      <c r="B322" s="38"/>
      <c r="C322" s="39"/>
      <c r="D322" s="39"/>
      <c r="E322" s="40"/>
      <c r="F322" s="41"/>
      <c r="G322" s="41"/>
      <c r="H322" s="42"/>
      <c r="I322" s="43"/>
      <c r="J322" s="44"/>
      <c r="K322" s="42"/>
      <c r="L322" s="41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1"/>
    </row>
    <row r="323">
      <c r="A323" s="45"/>
      <c r="B323" s="46"/>
      <c r="C323" s="47"/>
      <c r="D323" s="47"/>
      <c r="E323" s="48"/>
      <c r="F323" s="49"/>
      <c r="G323" s="49"/>
      <c r="H323" s="50"/>
      <c r="I323" s="51"/>
      <c r="J323" s="52"/>
      <c r="K323" s="50"/>
      <c r="L323" s="49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4"/>
    </row>
    <row r="324">
      <c r="A324" s="37"/>
      <c r="B324" s="38"/>
      <c r="C324" s="39"/>
      <c r="D324" s="39"/>
      <c r="E324" s="40"/>
      <c r="F324" s="41"/>
      <c r="G324" s="41"/>
      <c r="H324" s="42"/>
      <c r="I324" s="43"/>
      <c r="J324" s="44"/>
      <c r="K324" s="42"/>
      <c r="L324" s="41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1"/>
    </row>
    <row r="325">
      <c r="A325" s="45"/>
      <c r="B325" s="46"/>
      <c r="C325" s="47"/>
      <c r="D325" s="47"/>
      <c r="E325" s="48"/>
      <c r="F325" s="49"/>
      <c r="G325" s="49"/>
      <c r="H325" s="50"/>
      <c r="I325" s="51"/>
      <c r="J325" s="52"/>
      <c r="K325" s="50"/>
      <c r="L325" s="49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4"/>
    </row>
    <row r="326">
      <c r="A326" s="37"/>
      <c r="B326" s="38"/>
      <c r="C326" s="39"/>
      <c r="D326" s="39"/>
      <c r="E326" s="40"/>
      <c r="F326" s="41"/>
      <c r="G326" s="41"/>
      <c r="H326" s="42"/>
      <c r="I326" s="43"/>
      <c r="J326" s="44"/>
      <c r="K326" s="42"/>
      <c r="L326" s="41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1"/>
    </row>
    <row r="327">
      <c r="A327" s="45"/>
      <c r="B327" s="46"/>
      <c r="C327" s="47"/>
      <c r="D327" s="47"/>
      <c r="E327" s="48"/>
      <c r="F327" s="49"/>
      <c r="G327" s="49"/>
      <c r="H327" s="50"/>
      <c r="I327" s="51"/>
      <c r="J327" s="52"/>
      <c r="K327" s="50"/>
      <c r="L327" s="49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4"/>
    </row>
    <row r="328">
      <c r="A328" s="37"/>
      <c r="B328" s="38"/>
      <c r="C328" s="39"/>
      <c r="D328" s="39"/>
      <c r="E328" s="40"/>
      <c r="F328" s="41"/>
      <c r="G328" s="41"/>
      <c r="H328" s="42"/>
      <c r="I328" s="43"/>
      <c r="J328" s="44"/>
      <c r="K328" s="42"/>
      <c r="L328" s="41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1"/>
    </row>
    <row r="329">
      <c r="A329" s="45"/>
      <c r="B329" s="46"/>
      <c r="C329" s="47"/>
      <c r="D329" s="47"/>
      <c r="E329" s="48"/>
      <c r="F329" s="49"/>
      <c r="G329" s="49"/>
      <c r="H329" s="50"/>
      <c r="I329" s="51"/>
      <c r="J329" s="52"/>
      <c r="K329" s="50"/>
      <c r="L329" s="49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4"/>
    </row>
    <row r="330">
      <c r="A330" s="37"/>
      <c r="B330" s="38"/>
      <c r="C330" s="39"/>
      <c r="D330" s="39"/>
      <c r="E330" s="40"/>
      <c r="F330" s="41"/>
      <c r="G330" s="41"/>
      <c r="H330" s="42"/>
      <c r="I330" s="43"/>
      <c r="J330" s="44"/>
      <c r="K330" s="42"/>
      <c r="L330" s="41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1"/>
    </row>
    <row r="331">
      <c r="A331" s="45"/>
      <c r="B331" s="46"/>
      <c r="C331" s="47"/>
      <c r="D331" s="47"/>
      <c r="E331" s="48"/>
      <c r="F331" s="49"/>
      <c r="G331" s="49"/>
      <c r="H331" s="50"/>
      <c r="I331" s="51"/>
      <c r="J331" s="52"/>
      <c r="K331" s="50"/>
      <c r="L331" s="49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4"/>
    </row>
    <row r="332">
      <c r="A332" s="37"/>
      <c r="B332" s="38"/>
      <c r="C332" s="39"/>
      <c r="D332" s="39"/>
      <c r="E332" s="40"/>
      <c r="F332" s="41"/>
      <c r="G332" s="41"/>
      <c r="H332" s="42"/>
      <c r="I332" s="43"/>
      <c r="J332" s="44"/>
      <c r="K332" s="42"/>
      <c r="L332" s="41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1"/>
    </row>
    <row r="333">
      <c r="A333" s="45"/>
      <c r="B333" s="46"/>
      <c r="C333" s="47"/>
      <c r="D333" s="47"/>
      <c r="E333" s="48"/>
      <c r="F333" s="49"/>
      <c r="G333" s="49"/>
      <c r="H333" s="50"/>
      <c r="I333" s="51"/>
      <c r="J333" s="52"/>
      <c r="K333" s="50"/>
      <c r="L333" s="49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4"/>
    </row>
    <row r="334">
      <c r="A334" s="37"/>
      <c r="B334" s="38"/>
      <c r="C334" s="39"/>
      <c r="D334" s="39"/>
      <c r="E334" s="40"/>
      <c r="F334" s="41"/>
      <c r="G334" s="41"/>
      <c r="H334" s="42"/>
      <c r="I334" s="43"/>
      <c r="J334" s="44"/>
      <c r="K334" s="42"/>
      <c r="L334" s="41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1"/>
    </row>
    <row r="335">
      <c r="A335" s="45"/>
      <c r="B335" s="46"/>
      <c r="C335" s="47"/>
      <c r="D335" s="47"/>
      <c r="E335" s="48"/>
      <c r="F335" s="49"/>
      <c r="G335" s="49"/>
      <c r="H335" s="50"/>
      <c r="I335" s="51"/>
      <c r="J335" s="52"/>
      <c r="K335" s="50"/>
      <c r="L335" s="49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4"/>
    </row>
    <row r="336">
      <c r="A336" s="37"/>
      <c r="B336" s="38"/>
      <c r="C336" s="39"/>
      <c r="D336" s="39"/>
      <c r="E336" s="40"/>
      <c r="F336" s="41"/>
      <c r="G336" s="41"/>
      <c r="H336" s="42"/>
      <c r="I336" s="43"/>
      <c r="J336" s="44"/>
      <c r="K336" s="42"/>
      <c r="L336" s="41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1"/>
    </row>
    <row r="337">
      <c r="A337" s="45"/>
      <c r="B337" s="46"/>
      <c r="C337" s="47"/>
      <c r="D337" s="47"/>
      <c r="E337" s="48"/>
      <c r="F337" s="49"/>
      <c r="G337" s="49"/>
      <c r="H337" s="50"/>
      <c r="I337" s="51"/>
      <c r="J337" s="52"/>
      <c r="K337" s="50"/>
      <c r="L337" s="49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4"/>
    </row>
    <row r="338">
      <c r="A338" s="37"/>
      <c r="B338" s="38"/>
      <c r="C338" s="39"/>
      <c r="D338" s="39"/>
      <c r="E338" s="40"/>
      <c r="F338" s="41"/>
      <c r="G338" s="41"/>
      <c r="H338" s="42"/>
      <c r="I338" s="43"/>
      <c r="J338" s="44"/>
      <c r="K338" s="42"/>
      <c r="L338" s="41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1"/>
    </row>
    <row r="339">
      <c r="A339" s="45"/>
      <c r="B339" s="46"/>
      <c r="C339" s="47"/>
      <c r="D339" s="47"/>
      <c r="E339" s="48"/>
      <c r="F339" s="49"/>
      <c r="G339" s="49"/>
      <c r="H339" s="50"/>
      <c r="I339" s="51"/>
      <c r="J339" s="52"/>
      <c r="K339" s="50"/>
      <c r="L339" s="49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4"/>
    </row>
    <row r="340">
      <c r="A340" s="37"/>
      <c r="B340" s="38"/>
      <c r="C340" s="39"/>
      <c r="D340" s="39"/>
      <c r="E340" s="40"/>
      <c r="F340" s="41"/>
      <c r="G340" s="41"/>
      <c r="H340" s="42"/>
      <c r="I340" s="43"/>
      <c r="J340" s="44"/>
      <c r="K340" s="42"/>
      <c r="L340" s="41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1"/>
    </row>
    <row r="341">
      <c r="A341" s="45"/>
      <c r="B341" s="46"/>
      <c r="C341" s="47"/>
      <c r="D341" s="47"/>
      <c r="E341" s="48"/>
      <c r="F341" s="49"/>
      <c r="G341" s="49"/>
      <c r="H341" s="50"/>
      <c r="I341" s="51"/>
      <c r="J341" s="52"/>
      <c r="K341" s="50"/>
      <c r="L341" s="49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4"/>
    </row>
    <row r="342">
      <c r="A342" s="37"/>
      <c r="B342" s="38"/>
      <c r="C342" s="39"/>
      <c r="D342" s="39"/>
      <c r="E342" s="40"/>
      <c r="F342" s="41"/>
      <c r="G342" s="41"/>
      <c r="H342" s="42"/>
      <c r="I342" s="43"/>
      <c r="J342" s="44"/>
      <c r="K342" s="42"/>
      <c r="L342" s="41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1"/>
    </row>
    <row r="343">
      <c r="A343" s="45"/>
      <c r="B343" s="46"/>
      <c r="C343" s="47"/>
      <c r="D343" s="47"/>
      <c r="E343" s="48"/>
      <c r="F343" s="49"/>
      <c r="G343" s="49"/>
      <c r="H343" s="50"/>
      <c r="I343" s="51"/>
      <c r="J343" s="52"/>
      <c r="K343" s="50"/>
      <c r="L343" s="49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4"/>
    </row>
    <row r="344">
      <c r="A344" s="37"/>
      <c r="B344" s="38"/>
      <c r="C344" s="39"/>
      <c r="D344" s="39"/>
      <c r="E344" s="40"/>
      <c r="F344" s="41"/>
      <c r="G344" s="41"/>
      <c r="H344" s="42"/>
      <c r="I344" s="43"/>
      <c r="J344" s="44"/>
      <c r="K344" s="42"/>
      <c r="L344" s="41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1"/>
    </row>
    <row r="345">
      <c r="A345" s="45"/>
      <c r="B345" s="46"/>
      <c r="C345" s="47"/>
      <c r="D345" s="47"/>
      <c r="E345" s="48"/>
      <c r="F345" s="49"/>
      <c r="G345" s="49"/>
      <c r="H345" s="50"/>
      <c r="I345" s="51"/>
      <c r="J345" s="52"/>
      <c r="K345" s="50"/>
      <c r="L345" s="49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4"/>
    </row>
    <row r="346">
      <c r="A346" s="37"/>
      <c r="B346" s="38"/>
      <c r="C346" s="39"/>
      <c r="D346" s="39"/>
      <c r="E346" s="40"/>
      <c r="F346" s="41"/>
      <c r="G346" s="41"/>
      <c r="H346" s="42"/>
      <c r="I346" s="43"/>
      <c r="J346" s="44"/>
      <c r="K346" s="42"/>
      <c r="L346" s="41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1"/>
    </row>
    <row r="347">
      <c r="A347" s="45"/>
      <c r="B347" s="46"/>
      <c r="C347" s="47"/>
      <c r="D347" s="47"/>
      <c r="E347" s="48"/>
      <c r="F347" s="49"/>
      <c r="G347" s="49"/>
      <c r="H347" s="50"/>
      <c r="I347" s="51"/>
      <c r="J347" s="52"/>
      <c r="K347" s="50"/>
      <c r="L347" s="49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4"/>
    </row>
    <row r="348">
      <c r="A348" s="37"/>
      <c r="B348" s="38"/>
      <c r="C348" s="39"/>
      <c r="D348" s="39"/>
      <c r="E348" s="40"/>
      <c r="F348" s="41"/>
      <c r="G348" s="41"/>
      <c r="H348" s="42"/>
      <c r="I348" s="43"/>
      <c r="J348" s="44"/>
      <c r="K348" s="42"/>
      <c r="L348" s="41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1"/>
    </row>
    <row r="349">
      <c r="A349" s="45"/>
      <c r="B349" s="46"/>
      <c r="C349" s="47"/>
      <c r="D349" s="47"/>
      <c r="E349" s="48"/>
      <c r="F349" s="49"/>
      <c r="G349" s="49"/>
      <c r="H349" s="50"/>
      <c r="I349" s="51"/>
      <c r="J349" s="52"/>
      <c r="K349" s="50"/>
      <c r="L349" s="49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4"/>
    </row>
    <row r="350">
      <c r="A350" s="37"/>
      <c r="B350" s="38"/>
      <c r="C350" s="39"/>
      <c r="D350" s="39"/>
      <c r="E350" s="40"/>
      <c r="F350" s="41"/>
      <c r="G350" s="41"/>
      <c r="H350" s="42"/>
      <c r="I350" s="43"/>
      <c r="J350" s="44"/>
      <c r="K350" s="42"/>
      <c r="L350" s="41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1"/>
    </row>
    <row r="351">
      <c r="A351" s="45"/>
      <c r="B351" s="46"/>
      <c r="C351" s="47"/>
      <c r="D351" s="47"/>
      <c r="E351" s="48"/>
      <c r="F351" s="49"/>
      <c r="G351" s="49"/>
      <c r="H351" s="50"/>
      <c r="I351" s="51"/>
      <c r="J351" s="52"/>
      <c r="K351" s="50"/>
      <c r="L351" s="49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4"/>
    </row>
    <row r="352">
      <c r="A352" s="37"/>
      <c r="B352" s="38"/>
      <c r="C352" s="39"/>
      <c r="D352" s="39"/>
      <c r="E352" s="40"/>
      <c r="F352" s="41"/>
      <c r="G352" s="41"/>
      <c r="H352" s="42"/>
      <c r="I352" s="43"/>
      <c r="J352" s="44"/>
      <c r="K352" s="42"/>
      <c r="L352" s="41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1"/>
    </row>
    <row r="353">
      <c r="A353" s="45"/>
      <c r="B353" s="46"/>
      <c r="C353" s="47"/>
      <c r="D353" s="47"/>
      <c r="E353" s="48"/>
      <c r="F353" s="49"/>
      <c r="G353" s="49"/>
      <c r="H353" s="50"/>
      <c r="I353" s="51"/>
      <c r="J353" s="52"/>
      <c r="K353" s="50"/>
      <c r="L353" s="49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4"/>
    </row>
    <row r="354">
      <c r="A354" s="37"/>
      <c r="B354" s="38"/>
      <c r="C354" s="39"/>
      <c r="D354" s="39"/>
      <c r="E354" s="40"/>
      <c r="F354" s="41"/>
      <c r="G354" s="41"/>
      <c r="H354" s="42"/>
      <c r="I354" s="43"/>
      <c r="J354" s="44"/>
      <c r="K354" s="42"/>
      <c r="L354" s="41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1"/>
    </row>
    <row r="355">
      <c r="A355" s="45"/>
      <c r="B355" s="46"/>
      <c r="C355" s="47"/>
      <c r="D355" s="47"/>
      <c r="E355" s="48"/>
      <c r="F355" s="49"/>
      <c r="G355" s="49"/>
      <c r="H355" s="50"/>
      <c r="I355" s="51"/>
      <c r="J355" s="52"/>
      <c r="K355" s="50"/>
      <c r="L355" s="49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4"/>
    </row>
    <row r="356">
      <c r="A356" s="37"/>
      <c r="B356" s="38"/>
      <c r="C356" s="39"/>
      <c r="D356" s="39"/>
      <c r="E356" s="40"/>
      <c r="F356" s="41"/>
      <c r="G356" s="41"/>
      <c r="H356" s="42"/>
      <c r="I356" s="43"/>
      <c r="J356" s="44"/>
      <c r="K356" s="42"/>
      <c r="L356" s="41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1"/>
    </row>
    <row r="357">
      <c r="A357" s="45"/>
      <c r="B357" s="46"/>
      <c r="C357" s="47"/>
      <c r="D357" s="47"/>
      <c r="E357" s="48"/>
      <c r="F357" s="49"/>
      <c r="G357" s="49"/>
      <c r="H357" s="50"/>
      <c r="I357" s="51"/>
      <c r="J357" s="52"/>
      <c r="K357" s="50"/>
      <c r="L357" s="49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4"/>
    </row>
    <row r="358">
      <c r="A358" s="37"/>
      <c r="B358" s="38"/>
      <c r="C358" s="39"/>
      <c r="D358" s="39"/>
      <c r="E358" s="40"/>
      <c r="F358" s="41"/>
      <c r="G358" s="41"/>
      <c r="H358" s="42"/>
      <c r="I358" s="43"/>
      <c r="J358" s="44"/>
      <c r="K358" s="42"/>
      <c r="L358" s="41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1"/>
    </row>
    <row r="359">
      <c r="A359" s="45"/>
      <c r="B359" s="46"/>
      <c r="C359" s="47"/>
      <c r="D359" s="47"/>
      <c r="E359" s="48"/>
      <c r="F359" s="49"/>
      <c r="G359" s="49"/>
      <c r="H359" s="50"/>
      <c r="I359" s="51"/>
      <c r="J359" s="52"/>
      <c r="K359" s="50"/>
      <c r="L359" s="49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4"/>
    </row>
    <row r="360">
      <c r="A360" s="37"/>
      <c r="B360" s="38"/>
      <c r="C360" s="39"/>
      <c r="D360" s="39"/>
      <c r="E360" s="40"/>
      <c r="F360" s="41"/>
      <c r="G360" s="41"/>
      <c r="H360" s="42"/>
      <c r="I360" s="43"/>
      <c r="J360" s="44"/>
      <c r="K360" s="42"/>
      <c r="L360" s="41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1"/>
    </row>
    <row r="361">
      <c r="A361" s="45"/>
      <c r="B361" s="46"/>
      <c r="C361" s="47"/>
      <c r="D361" s="47"/>
      <c r="E361" s="48"/>
      <c r="F361" s="49"/>
      <c r="G361" s="49"/>
      <c r="H361" s="50"/>
      <c r="I361" s="51"/>
      <c r="J361" s="52"/>
      <c r="K361" s="50"/>
      <c r="L361" s="49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4"/>
    </row>
    <row r="362">
      <c r="A362" s="37"/>
      <c r="B362" s="38"/>
      <c r="C362" s="39"/>
      <c r="D362" s="39"/>
      <c r="E362" s="40"/>
      <c r="F362" s="41"/>
      <c r="G362" s="41"/>
      <c r="H362" s="42"/>
      <c r="I362" s="43"/>
      <c r="J362" s="44"/>
      <c r="K362" s="42"/>
      <c r="L362" s="41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1"/>
    </row>
    <row r="363">
      <c r="A363" s="45"/>
      <c r="B363" s="46"/>
      <c r="C363" s="47"/>
      <c r="D363" s="47"/>
      <c r="E363" s="48"/>
      <c r="F363" s="49"/>
      <c r="G363" s="49"/>
      <c r="H363" s="50"/>
      <c r="I363" s="51"/>
      <c r="J363" s="52"/>
      <c r="K363" s="50"/>
      <c r="L363" s="49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4"/>
    </row>
    <row r="364">
      <c r="A364" s="37"/>
      <c r="B364" s="38"/>
      <c r="C364" s="39"/>
      <c r="D364" s="39"/>
      <c r="E364" s="40"/>
      <c r="F364" s="41"/>
      <c r="G364" s="41"/>
      <c r="H364" s="42"/>
      <c r="I364" s="43"/>
      <c r="J364" s="44"/>
      <c r="K364" s="42"/>
      <c r="L364" s="41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1"/>
    </row>
    <row r="365">
      <c r="A365" s="45"/>
      <c r="B365" s="46"/>
      <c r="C365" s="47"/>
      <c r="D365" s="47"/>
      <c r="E365" s="48"/>
      <c r="F365" s="49"/>
      <c r="G365" s="49"/>
      <c r="H365" s="50"/>
      <c r="I365" s="51"/>
      <c r="J365" s="52"/>
      <c r="K365" s="50"/>
      <c r="L365" s="49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4"/>
    </row>
    <row r="366">
      <c r="A366" s="37"/>
      <c r="B366" s="38"/>
      <c r="C366" s="39"/>
      <c r="D366" s="39"/>
      <c r="E366" s="40"/>
      <c r="F366" s="41"/>
      <c r="G366" s="41"/>
      <c r="H366" s="42"/>
      <c r="I366" s="43"/>
      <c r="J366" s="44"/>
      <c r="K366" s="42"/>
      <c r="L366" s="41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1"/>
    </row>
    <row r="367">
      <c r="A367" s="45"/>
      <c r="B367" s="46"/>
      <c r="C367" s="47"/>
      <c r="D367" s="47"/>
      <c r="E367" s="48"/>
      <c r="F367" s="49"/>
      <c r="G367" s="49"/>
      <c r="H367" s="50"/>
      <c r="I367" s="51"/>
      <c r="J367" s="52"/>
      <c r="K367" s="50"/>
      <c r="L367" s="49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4"/>
    </row>
    <row r="368">
      <c r="A368" s="37"/>
      <c r="B368" s="38"/>
      <c r="C368" s="39"/>
      <c r="D368" s="39"/>
      <c r="E368" s="40"/>
      <c r="F368" s="41"/>
      <c r="G368" s="41"/>
      <c r="H368" s="42"/>
      <c r="I368" s="43"/>
      <c r="J368" s="44"/>
      <c r="K368" s="42"/>
      <c r="L368" s="41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1"/>
    </row>
    <row r="369">
      <c r="A369" s="45"/>
      <c r="B369" s="46"/>
      <c r="C369" s="47"/>
      <c r="D369" s="47"/>
      <c r="E369" s="48"/>
      <c r="F369" s="49"/>
      <c r="G369" s="49"/>
      <c r="H369" s="50"/>
      <c r="I369" s="51"/>
      <c r="J369" s="52"/>
      <c r="K369" s="50"/>
      <c r="L369" s="49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4"/>
    </row>
    <row r="370">
      <c r="A370" s="37"/>
      <c r="B370" s="38"/>
      <c r="C370" s="39"/>
      <c r="D370" s="39"/>
      <c r="E370" s="40"/>
      <c r="F370" s="41"/>
      <c r="G370" s="41"/>
      <c r="H370" s="42"/>
      <c r="I370" s="43"/>
      <c r="J370" s="44"/>
      <c r="K370" s="42"/>
      <c r="L370" s="41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1"/>
    </row>
    <row r="371">
      <c r="A371" s="45"/>
      <c r="B371" s="46"/>
      <c r="C371" s="47"/>
      <c r="D371" s="47"/>
      <c r="E371" s="48"/>
      <c r="F371" s="49"/>
      <c r="G371" s="49"/>
      <c r="H371" s="50"/>
      <c r="I371" s="51"/>
      <c r="J371" s="52"/>
      <c r="K371" s="50"/>
      <c r="L371" s="49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4"/>
    </row>
    <row r="372">
      <c r="A372" s="37"/>
      <c r="B372" s="38"/>
      <c r="C372" s="39"/>
      <c r="D372" s="39"/>
      <c r="E372" s="40"/>
      <c r="F372" s="41"/>
      <c r="G372" s="41"/>
      <c r="H372" s="42"/>
      <c r="I372" s="43"/>
      <c r="J372" s="44"/>
      <c r="K372" s="42"/>
      <c r="L372" s="41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1"/>
    </row>
    <row r="373">
      <c r="A373" s="45"/>
      <c r="B373" s="46"/>
      <c r="C373" s="47"/>
      <c r="D373" s="47"/>
      <c r="E373" s="48"/>
      <c r="F373" s="49"/>
      <c r="G373" s="49"/>
      <c r="H373" s="50"/>
      <c r="I373" s="51"/>
      <c r="J373" s="52"/>
      <c r="K373" s="50"/>
      <c r="L373" s="49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4"/>
    </row>
    <row r="374">
      <c r="A374" s="37"/>
      <c r="B374" s="38"/>
      <c r="C374" s="39"/>
      <c r="D374" s="39"/>
      <c r="E374" s="40"/>
      <c r="F374" s="41"/>
      <c r="G374" s="41"/>
      <c r="H374" s="42"/>
      <c r="I374" s="43"/>
      <c r="J374" s="44"/>
      <c r="K374" s="42"/>
      <c r="L374" s="41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1"/>
    </row>
    <row r="375">
      <c r="A375" s="45"/>
      <c r="B375" s="46"/>
      <c r="C375" s="47"/>
      <c r="D375" s="47"/>
      <c r="E375" s="48"/>
      <c r="F375" s="49"/>
      <c r="G375" s="49"/>
      <c r="H375" s="50"/>
      <c r="I375" s="51"/>
      <c r="J375" s="52"/>
      <c r="K375" s="50"/>
      <c r="L375" s="49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4"/>
    </row>
    <row r="376">
      <c r="A376" s="37"/>
      <c r="B376" s="38"/>
      <c r="C376" s="39"/>
      <c r="D376" s="39"/>
      <c r="E376" s="40"/>
      <c r="F376" s="41"/>
      <c r="G376" s="41"/>
      <c r="H376" s="42"/>
      <c r="I376" s="43"/>
      <c r="J376" s="44"/>
      <c r="K376" s="42"/>
      <c r="L376" s="41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1"/>
    </row>
    <row r="377">
      <c r="A377" s="45"/>
      <c r="B377" s="46"/>
      <c r="C377" s="47"/>
      <c r="D377" s="47"/>
      <c r="E377" s="48"/>
      <c r="F377" s="49"/>
      <c r="G377" s="49"/>
      <c r="H377" s="50"/>
      <c r="I377" s="51"/>
      <c r="J377" s="52"/>
      <c r="K377" s="50"/>
      <c r="L377" s="49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4"/>
    </row>
    <row r="378">
      <c r="A378" s="37"/>
      <c r="B378" s="38"/>
      <c r="C378" s="39"/>
      <c r="D378" s="39"/>
      <c r="E378" s="40"/>
      <c r="F378" s="41"/>
      <c r="G378" s="41"/>
      <c r="H378" s="42"/>
      <c r="I378" s="43"/>
      <c r="J378" s="44"/>
      <c r="K378" s="42"/>
      <c r="L378" s="41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1"/>
    </row>
    <row r="379">
      <c r="A379" s="45"/>
      <c r="B379" s="46"/>
      <c r="C379" s="47"/>
      <c r="D379" s="47"/>
      <c r="E379" s="48"/>
      <c r="F379" s="49"/>
      <c r="G379" s="49"/>
      <c r="H379" s="50"/>
      <c r="I379" s="51"/>
      <c r="J379" s="52"/>
      <c r="K379" s="50"/>
      <c r="L379" s="49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4"/>
    </row>
    <row r="380">
      <c r="A380" s="37"/>
      <c r="B380" s="38"/>
      <c r="C380" s="39"/>
      <c r="D380" s="39"/>
      <c r="E380" s="40"/>
      <c r="F380" s="41"/>
      <c r="G380" s="41"/>
      <c r="H380" s="42"/>
      <c r="I380" s="43"/>
      <c r="J380" s="44"/>
      <c r="K380" s="42"/>
      <c r="L380" s="41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1"/>
    </row>
    <row r="381">
      <c r="A381" s="45"/>
      <c r="B381" s="46"/>
      <c r="C381" s="47"/>
      <c r="D381" s="47"/>
      <c r="E381" s="48"/>
      <c r="F381" s="49"/>
      <c r="G381" s="49"/>
      <c r="H381" s="50"/>
      <c r="I381" s="51"/>
      <c r="J381" s="52"/>
      <c r="K381" s="50"/>
      <c r="L381" s="49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4"/>
    </row>
    <row r="382">
      <c r="A382" s="37"/>
      <c r="B382" s="38"/>
      <c r="C382" s="39"/>
      <c r="D382" s="39"/>
      <c r="E382" s="40"/>
      <c r="F382" s="41"/>
      <c r="G382" s="41"/>
      <c r="H382" s="42"/>
      <c r="I382" s="43"/>
      <c r="J382" s="44"/>
      <c r="K382" s="42"/>
      <c r="L382" s="41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1"/>
    </row>
    <row r="383">
      <c r="A383" s="45"/>
      <c r="B383" s="46"/>
      <c r="C383" s="47"/>
      <c r="D383" s="47"/>
      <c r="E383" s="48"/>
      <c r="F383" s="49"/>
      <c r="G383" s="49"/>
      <c r="H383" s="50"/>
      <c r="I383" s="51"/>
      <c r="J383" s="52"/>
      <c r="K383" s="50"/>
      <c r="L383" s="49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4"/>
    </row>
    <row r="384">
      <c r="A384" s="37"/>
      <c r="B384" s="38"/>
      <c r="C384" s="39"/>
      <c r="D384" s="39"/>
      <c r="E384" s="40"/>
      <c r="F384" s="41"/>
      <c r="G384" s="41"/>
      <c r="H384" s="42"/>
      <c r="I384" s="43"/>
      <c r="J384" s="44"/>
      <c r="K384" s="42"/>
      <c r="L384" s="41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1"/>
    </row>
    <row r="385">
      <c r="A385" s="45"/>
      <c r="B385" s="46"/>
      <c r="C385" s="47"/>
      <c r="D385" s="47"/>
      <c r="E385" s="48"/>
      <c r="F385" s="49"/>
      <c r="G385" s="49"/>
      <c r="H385" s="50"/>
      <c r="I385" s="51"/>
      <c r="J385" s="52"/>
      <c r="K385" s="50"/>
      <c r="L385" s="49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4"/>
    </row>
    <row r="386">
      <c r="A386" s="37"/>
      <c r="B386" s="38"/>
      <c r="C386" s="39"/>
      <c r="D386" s="39"/>
      <c r="E386" s="40"/>
      <c r="F386" s="41"/>
      <c r="G386" s="41"/>
      <c r="H386" s="42"/>
      <c r="I386" s="43"/>
      <c r="J386" s="44"/>
      <c r="K386" s="42"/>
      <c r="L386" s="41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1"/>
    </row>
    <row r="387">
      <c r="A387" s="45"/>
      <c r="B387" s="46"/>
      <c r="C387" s="47"/>
      <c r="D387" s="47"/>
      <c r="E387" s="48"/>
      <c r="F387" s="49"/>
      <c r="G387" s="49"/>
      <c r="H387" s="50"/>
      <c r="I387" s="51"/>
      <c r="J387" s="52"/>
      <c r="K387" s="50"/>
      <c r="L387" s="49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4"/>
    </row>
    <row r="388">
      <c r="A388" s="37"/>
      <c r="B388" s="38"/>
      <c r="C388" s="39"/>
      <c r="D388" s="39"/>
      <c r="E388" s="40"/>
      <c r="F388" s="41"/>
      <c r="G388" s="41"/>
      <c r="H388" s="42"/>
      <c r="I388" s="43"/>
      <c r="J388" s="44"/>
      <c r="K388" s="42"/>
      <c r="L388" s="41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1"/>
    </row>
    <row r="389">
      <c r="A389" s="45"/>
      <c r="B389" s="46"/>
      <c r="C389" s="47"/>
      <c r="D389" s="47"/>
      <c r="E389" s="48"/>
      <c r="F389" s="49"/>
      <c r="G389" s="49"/>
      <c r="H389" s="50"/>
      <c r="I389" s="51"/>
      <c r="J389" s="52"/>
      <c r="K389" s="50"/>
      <c r="L389" s="49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4"/>
    </row>
    <row r="390">
      <c r="A390" s="37"/>
      <c r="B390" s="38"/>
      <c r="C390" s="39"/>
      <c r="D390" s="39"/>
      <c r="E390" s="40"/>
      <c r="F390" s="41"/>
      <c r="G390" s="41"/>
      <c r="H390" s="42"/>
      <c r="I390" s="43"/>
      <c r="J390" s="44"/>
      <c r="K390" s="42"/>
      <c r="L390" s="41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1"/>
    </row>
    <row r="391">
      <c r="A391" s="45"/>
      <c r="B391" s="46"/>
      <c r="C391" s="47"/>
      <c r="D391" s="47"/>
      <c r="E391" s="48"/>
      <c r="F391" s="49"/>
      <c r="G391" s="49"/>
      <c r="H391" s="50"/>
      <c r="I391" s="51"/>
      <c r="J391" s="52"/>
      <c r="K391" s="50"/>
      <c r="L391" s="49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4"/>
    </row>
    <row r="392">
      <c r="A392" s="37"/>
      <c r="B392" s="38"/>
      <c r="C392" s="39"/>
      <c r="D392" s="39"/>
      <c r="E392" s="40"/>
      <c r="F392" s="41"/>
      <c r="G392" s="41"/>
      <c r="H392" s="42"/>
      <c r="I392" s="43"/>
      <c r="J392" s="44"/>
      <c r="K392" s="42"/>
      <c r="L392" s="41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1"/>
    </row>
    <row r="393">
      <c r="A393" s="45"/>
      <c r="B393" s="46"/>
      <c r="C393" s="47"/>
      <c r="D393" s="47"/>
      <c r="E393" s="48"/>
      <c r="F393" s="49"/>
      <c r="G393" s="49"/>
      <c r="H393" s="50"/>
      <c r="I393" s="51"/>
      <c r="J393" s="52"/>
      <c r="K393" s="50"/>
      <c r="L393" s="49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4"/>
    </row>
    <row r="394">
      <c r="A394" s="37"/>
      <c r="B394" s="38"/>
      <c r="C394" s="39"/>
      <c r="D394" s="39"/>
      <c r="E394" s="40"/>
      <c r="F394" s="41"/>
      <c r="G394" s="41"/>
      <c r="H394" s="42"/>
      <c r="I394" s="43"/>
      <c r="J394" s="44"/>
      <c r="K394" s="42"/>
      <c r="L394" s="41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1"/>
    </row>
    <row r="395">
      <c r="A395" s="45"/>
      <c r="B395" s="46"/>
      <c r="C395" s="47"/>
      <c r="D395" s="47"/>
      <c r="E395" s="48"/>
      <c r="F395" s="49"/>
      <c r="G395" s="49"/>
      <c r="H395" s="50"/>
      <c r="I395" s="51"/>
      <c r="J395" s="52"/>
      <c r="K395" s="50"/>
      <c r="L395" s="49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4"/>
    </row>
    <row r="396">
      <c r="A396" s="37"/>
      <c r="B396" s="38"/>
      <c r="C396" s="39"/>
      <c r="D396" s="39"/>
      <c r="E396" s="40"/>
      <c r="F396" s="41"/>
      <c r="G396" s="41"/>
      <c r="H396" s="42"/>
      <c r="I396" s="43"/>
      <c r="J396" s="44"/>
      <c r="K396" s="42"/>
      <c r="L396" s="41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1"/>
    </row>
    <row r="397">
      <c r="A397" s="45"/>
      <c r="B397" s="46"/>
      <c r="C397" s="47"/>
      <c r="D397" s="47"/>
      <c r="E397" s="48"/>
      <c r="F397" s="49"/>
      <c r="G397" s="49"/>
      <c r="H397" s="50"/>
      <c r="I397" s="51"/>
      <c r="J397" s="52"/>
      <c r="K397" s="50"/>
      <c r="L397" s="49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4"/>
    </row>
    <row r="398">
      <c r="A398" s="37"/>
      <c r="B398" s="38"/>
      <c r="C398" s="39"/>
      <c r="D398" s="39"/>
      <c r="E398" s="40"/>
      <c r="F398" s="41"/>
      <c r="G398" s="41"/>
      <c r="H398" s="42"/>
      <c r="I398" s="43"/>
      <c r="J398" s="44"/>
      <c r="K398" s="42"/>
      <c r="L398" s="41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1"/>
    </row>
    <row r="399">
      <c r="A399" s="45"/>
      <c r="B399" s="46"/>
      <c r="C399" s="47"/>
      <c r="D399" s="47"/>
      <c r="E399" s="48"/>
      <c r="F399" s="49"/>
      <c r="G399" s="49"/>
      <c r="H399" s="50"/>
      <c r="I399" s="51"/>
      <c r="J399" s="52"/>
      <c r="K399" s="50"/>
      <c r="L399" s="49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4"/>
    </row>
    <row r="400">
      <c r="A400" s="37"/>
      <c r="B400" s="38"/>
      <c r="C400" s="39"/>
      <c r="D400" s="39"/>
      <c r="E400" s="40"/>
      <c r="F400" s="41"/>
      <c r="G400" s="41"/>
      <c r="H400" s="42"/>
      <c r="I400" s="43"/>
      <c r="J400" s="44"/>
      <c r="K400" s="42"/>
      <c r="L400" s="41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1"/>
    </row>
    <row r="401">
      <c r="A401" s="45"/>
      <c r="B401" s="46"/>
      <c r="C401" s="47"/>
      <c r="D401" s="47"/>
      <c r="E401" s="48"/>
      <c r="F401" s="49"/>
      <c r="G401" s="49"/>
      <c r="H401" s="50"/>
      <c r="I401" s="51"/>
      <c r="J401" s="52"/>
      <c r="K401" s="50"/>
      <c r="L401" s="49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4"/>
    </row>
    <row r="402">
      <c r="A402" s="37"/>
      <c r="B402" s="38"/>
      <c r="C402" s="39"/>
      <c r="D402" s="39"/>
      <c r="E402" s="40"/>
      <c r="F402" s="41"/>
      <c r="G402" s="41"/>
      <c r="H402" s="42"/>
      <c r="I402" s="43"/>
      <c r="J402" s="44"/>
      <c r="K402" s="42"/>
      <c r="L402" s="41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1"/>
    </row>
    <row r="403">
      <c r="A403" s="45"/>
      <c r="B403" s="46"/>
      <c r="C403" s="47"/>
      <c r="D403" s="47"/>
      <c r="E403" s="48"/>
      <c r="F403" s="49"/>
      <c r="G403" s="49"/>
      <c r="H403" s="50"/>
      <c r="I403" s="51"/>
      <c r="J403" s="52"/>
      <c r="K403" s="50"/>
      <c r="L403" s="49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4"/>
    </row>
    <row r="404">
      <c r="A404" s="37"/>
      <c r="B404" s="38"/>
      <c r="C404" s="39"/>
      <c r="D404" s="39"/>
      <c r="E404" s="40"/>
      <c r="F404" s="41"/>
      <c r="G404" s="41"/>
      <c r="H404" s="42"/>
      <c r="I404" s="43"/>
      <c r="J404" s="44"/>
      <c r="K404" s="42"/>
      <c r="L404" s="41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1"/>
    </row>
    <row r="405">
      <c r="A405" s="45"/>
      <c r="B405" s="46"/>
      <c r="C405" s="47"/>
      <c r="D405" s="47"/>
      <c r="E405" s="48"/>
      <c r="F405" s="49"/>
      <c r="G405" s="49"/>
      <c r="H405" s="50"/>
      <c r="I405" s="51"/>
      <c r="J405" s="52"/>
      <c r="K405" s="50"/>
      <c r="L405" s="49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4"/>
    </row>
    <row r="406">
      <c r="A406" s="37"/>
      <c r="B406" s="38"/>
      <c r="C406" s="39"/>
      <c r="D406" s="39"/>
      <c r="E406" s="40"/>
      <c r="F406" s="41"/>
      <c r="G406" s="41"/>
      <c r="H406" s="42"/>
      <c r="I406" s="43"/>
      <c r="J406" s="44"/>
      <c r="K406" s="42"/>
      <c r="L406" s="41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1"/>
    </row>
    <row r="407">
      <c r="A407" s="45"/>
      <c r="B407" s="46"/>
      <c r="C407" s="47"/>
      <c r="D407" s="47"/>
      <c r="E407" s="48"/>
      <c r="F407" s="49"/>
      <c r="G407" s="49"/>
      <c r="H407" s="50"/>
      <c r="I407" s="51"/>
      <c r="J407" s="52"/>
      <c r="K407" s="50"/>
      <c r="L407" s="49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4"/>
    </row>
    <row r="408">
      <c r="A408" s="37"/>
      <c r="B408" s="38"/>
      <c r="C408" s="39"/>
      <c r="D408" s="39"/>
      <c r="E408" s="40"/>
      <c r="F408" s="41"/>
      <c r="G408" s="41"/>
      <c r="H408" s="42"/>
      <c r="I408" s="43"/>
      <c r="J408" s="44"/>
      <c r="K408" s="42"/>
      <c r="L408" s="41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1"/>
    </row>
    <row r="409">
      <c r="A409" s="45"/>
      <c r="B409" s="46"/>
      <c r="C409" s="47"/>
      <c r="D409" s="47"/>
      <c r="E409" s="48"/>
      <c r="F409" s="49"/>
      <c r="G409" s="49"/>
      <c r="H409" s="50"/>
      <c r="I409" s="51"/>
      <c r="J409" s="52"/>
      <c r="K409" s="50"/>
      <c r="L409" s="49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4"/>
    </row>
    <row r="410">
      <c r="A410" s="37"/>
      <c r="B410" s="38"/>
      <c r="C410" s="39"/>
      <c r="D410" s="39"/>
      <c r="E410" s="40"/>
      <c r="F410" s="41"/>
      <c r="G410" s="41"/>
      <c r="H410" s="42"/>
      <c r="I410" s="43"/>
      <c r="J410" s="44"/>
      <c r="K410" s="42"/>
      <c r="L410" s="41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1"/>
    </row>
    <row r="411">
      <c r="A411" s="45"/>
      <c r="B411" s="46"/>
      <c r="C411" s="47"/>
      <c r="D411" s="47"/>
      <c r="E411" s="48"/>
      <c r="F411" s="49"/>
      <c r="G411" s="49"/>
      <c r="H411" s="50"/>
      <c r="I411" s="51"/>
      <c r="J411" s="52"/>
      <c r="K411" s="50"/>
      <c r="L411" s="49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4"/>
    </row>
    <row r="412">
      <c r="A412" s="37"/>
      <c r="B412" s="38"/>
      <c r="C412" s="39"/>
      <c r="D412" s="39"/>
      <c r="E412" s="40"/>
      <c r="F412" s="41"/>
      <c r="G412" s="41"/>
      <c r="H412" s="42"/>
      <c r="I412" s="43"/>
      <c r="J412" s="44"/>
      <c r="K412" s="42"/>
      <c r="L412" s="41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1"/>
    </row>
    <row r="413">
      <c r="A413" s="45"/>
      <c r="B413" s="46"/>
      <c r="C413" s="47"/>
      <c r="D413" s="47"/>
      <c r="E413" s="48"/>
      <c r="F413" s="49"/>
      <c r="G413" s="49"/>
      <c r="H413" s="50"/>
      <c r="I413" s="51"/>
      <c r="J413" s="52"/>
      <c r="K413" s="50"/>
      <c r="L413" s="49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4"/>
    </row>
    <row r="414">
      <c r="A414" s="37"/>
      <c r="B414" s="38"/>
      <c r="C414" s="39"/>
      <c r="D414" s="39"/>
      <c r="E414" s="40"/>
      <c r="F414" s="41"/>
      <c r="G414" s="41"/>
      <c r="H414" s="42"/>
      <c r="I414" s="43"/>
      <c r="J414" s="44"/>
      <c r="K414" s="42"/>
      <c r="L414" s="41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1"/>
    </row>
    <row r="415">
      <c r="A415" s="45"/>
      <c r="B415" s="46"/>
      <c r="C415" s="47"/>
      <c r="D415" s="47"/>
      <c r="E415" s="48"/>
      <c r="F415" s="49"/>
      <c r="G415" s="49"/>
      <c r="H415" s="50"/>
      <c r="I415" s="51"/>
      <c r="J415" s="52"/>
      <c r="K415" s="50"/>
      <c r="L415" s="49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4"/>
    </row>
    <row r="416">
      <c r="A416" s="37"/>
      <c r="B416" s="38"/>
      <c r="C416" s="39"/>
      <c r="D416" s="39"/>
      <c r="E416" s="40"/>
      <c r="F416" s="41"/>
      <c r="G416" s="41"/>
      <c r="H416" s="42"/>
      <c r="I416" s="43"/>
      <c r="J416" s="44"/>
      <c r="K416" s="42"/>
      <c r="L416" s="41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1"/>
    </row>
    <row r="417">
      <c r="A417" s="45"/>
      <c r="B417" s="46"/>
      <c r="C417" s="47"/>
      <c r="D417" s="47"/>
      <c r="E417" s="48"/>
      <c r="F417" s="49"/>
      <c r="G417" s="49"/>
      <c r="H417" s="50"/>
      <c r="I417" s="51"/>
      <c r="J417" s="52"/>
      <c r="K417" s="50"/>
      <c r="L417" s="49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4"/>
    </row>
    <row r="418">
      <c r="A418" s="37"/>
      <c r="B418" s="38"/>
      <c r="C418" s="39"/>
      <c r="D418" s="39"/>
      <c r="E418" s="40"/>
      <c r="F418" s="41"/>
      <c r="G418" s="41"/>
      <c r="H418" s="42"/>
      <c r="I418" s="43"/>
      <c r="J418" s="44"/>
      <c r="K418" s="42"/>
      <c r="L418" s="41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1"/>
    </row>
    <row r="419">
      <c r="A419" s="45"/>
      <c r="B419" s="46"/>
      <c r="C419" s="47"/>
      <c r="D419" s="47"/>
      <c r="E419" s="48"/>
      <c r="F419" s="49"/>
      <c r="G419" s="49"/>
      <c r="H419" s="50"/>
      <c r="I419" s="51"/>
      <c r="J419" s="52"/>
      <c r="K419" s="50"/>
      <c r="L419" s="49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4"/>
    </row>
    <row r="420">
      <c r="A420" s="37"/>
      <c r="B420" s="38"/>
      <c r="C420" s="39"/>
      <c r="D420" s="39"/>
      <c r="E420" s="40"/>
      <c r="F420" s="41"/>
      <c r="G420" s="41"/>
      <c r="H420" s="42"/>
      <c r="I420" s="43"/>
      <c r="J420" s="44"/>
      <c r="K420" s="42"/>
      <c r="L420" s="41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1"/>
    </row>
    <row r="421">
      <c r="A421" s="45"/>
      <c r="B421" s="46"/>
      <c r="C421" s="47"/>
      <c r="D421" s="47"/>
      <c r="E421" s="48"/>
      <c r="F421" s="49"/>
      <c r="G421" s="49"/>
      <c r="H421" s="50"/>
      <c r="I421" s="51"/>
      <c r="J421" s="52"/>
      <c r="K421" s="50"/>
      <c r="L421" s="49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4"/>
    </row>
    <row r="422">
      <c r="A422" s="37"/>
      <c r="B422" s="38"/>
      <c r="C422" s="39"/>
      <c r="D422" s="39"/>
      <c r="E422" s="40"/>
      <c r="F422" s="41"/>
      <c r="G422" s="41"/>
      <c r="H422" s="42"/>
      <c r="I422" s="43"/>
      <c r="J422" s="44"/>
      <c r="K422" s="42"/>
      <c r="L422" s="41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1"/>
    </row>
    <row r="423">
      <c r="A423" s="45"/>
      <c r="B423" s="46"/>
      <c r="C423" s="47"/>
      <c r="D423" s="47"/>
      <c r="E423" s="48"/>
      <c r="F423" s="49"/>
      <c r="G423" s="49"/>
      <c r="H423" s="50"/>
      <c r="I423" s="51"/>
      <c r="J423" s="52"/>
      <c r="K423" s="50"/>
      <c r="L423" s="49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4"/>
    </row>
    <row r="424">
      <c r="A424" s="37"/>
      <c r="B424" s="38"/>
      <c r="C424" s="39"/>
      <c r="D424" s="39"/>
      <c r="E424" s="40"/>
      <c r="F424" s="41"/>
      <c r="G424" s="41"/>
      <c r="H424" s="42"/>
      <c r="I424" s="43"/>
      <c r="J424" s="44"/>
      <c r="K424" s="42"/>
      <c r="L424" s="41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1"/>
    </row>
    <row r="425">
      <c r="A425" s="45"/>
      <c r="B425" s="46"/>
      <c r="C425" s="47"/>
      <c r="D425" s="47"/>
      <c r="E425" s="48"/>
      <c r="F425" s="49"/>
      <c r="G425" s="49"/>
      <c r="H425" s="50"/>
      <c r="I425" s="51"/>
      <c r="J425" s="52"/>
      <c r="K425" s="50"/>
      <c r="L425" s="49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4"/>
    </row>
    <row r="426">
      <c r="A426" s="37"/>
      <c r="B426" s="38"/>
      <c r="C426" s="39"/>
      <c r="D426" s="39"/>
      <c r="E426" s="40"/>
      <c r="F426" s="41"/>
      <c r="G426" s="41"/>
      <c r="H426" s="42"/>
      <c r="I426" s="43"/>
      <c r="J426" s="44"/>
      <c r="K426" s="42"/>
      <c r="L426" s="41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1"/>
    </row>
    <row r="427">
      <c r="A427" s="45"/>
      <c r="B427" s="46"/>
      <c r="C427" s="47"/>
      <c r="D427" s="47"/>
      <c r="E427" s="48"/>
      <c r="F427" s="49"/>
      <c r="G427" s="49"/>
      <c r="H427" s="50"/>
      <c r="I427" s="51"/>
      <c r="J427" s="52"/>
      <c r="K427" s="50"/>
      <c r="L427" s="49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4"/>
    </row>
    <row r="428">
      <c r="A428" s="37"/>
      <c r="B428" s="38"/>
      <c r="C428" s="39"/>
      <c r="D428" s="39"/>
      <c r="E428" s="40"/>
      <c r="F428" s="41"/>
      <c r="G428" s="41"/>
      <c r="H428" s="42"/>
      <c r="I428" s="43"/>
      <c r="J428" s="44"/>
      <c r="K428" s="42"/>
      <c r="L428" s="41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1"/>
    </row>
    <row r="429">
      <c r="A429" s="45"/>
      <c r="B429" s="46"/>
      <c r="C429" s="47"/>
      <c r="D429" s="47"/>
      <c r="E429" s="48"/>
      <c r="F429" s="49"/>
      <c r="G429" s="49"/>
      <c r="H429" s="50"/>
      <c r="I429" s="51"/>
      <c r="J429" s="52"/>
      <c r="K429" s="50"/>
      <c r="L429" s="49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4"/>
    </row>
    <row r="430">
      <c r="A430" s="37"/>
      <c r="B430" s="38"/>
      <c r="C430" s="39"/>
      <c r="D430" s="39"/>
      <c r="E430" s="40"/>
      <c r="F430" s="41"/>
      <c r="G430" s="41"/>
      <c r="H430" s="42"/>
      <c r="I430" s="43"/>
      <c r="J430" s="44"/>
      <c r="K430" s="42"/>
      <c r="L430" s="41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1"/>
    </row>
    <row r="431">
      <c r="A431" s="45"/>
      <c r="B431" s="46"/>
      <c r="C431" s="47"/>
      <c r="D431" s="47"/>
      <c r="E431" s="48"/>
      <c r="F431" s="49"/>
      <c r="G431" s="49"/>
      <c r="H431" s="50"/>
      <c r="I431" s="51"/>
      <c r="J431" s="52"/>
      <c r="K431" s="50"/>
      <c r="L431" s="49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4"/>
    </row>
    <row r="432">
      <c r="A432" s="37"/>
      <c r="B432" s="38"/>
      <c r="C432" s="39"/>
      <c r="D432" s="39"/>
      <c r="E432" s="40"/>
      <c r="F432" s="41"/>
      <c r="G432" s="41"/>
      <c r="H432" s="42"/>
      <c r="I432" s="43"/>
      <c r="J432" s="44"/>
      <c r="K432" s="42"/>
      <c r="L432" s="41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1"/>
    </row>
    <row r="433">
      <c r="A433" s="45"/>
      <c r="B433" s="46"/>
      <c r="C433" s="47"/>
      <c r="D433" s="47"/>
      <c r="E433" s="48"/>
      <c r="F433" s="49"/>
      <c r="G433" s="49"/>
      <c r="H433" s="50"/>
      <c r="I433" s="51"/>
      <c r="J433" s="52"/>
      <c r="K433" s="50"/>
      <c r="L433" s="49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4"/>
    </row>
    <row r="434">
      <c r="A434" s="37"/>
      <c r="B434" s="38"/>
      <c r="C434" s="39"/>
      <c r="D434" s="39"/>
      <c r="E434" s="40"/>
      <c r="F434" s="41"/>
      <c r="G434" s="41"/>
      <c r="H434" s="42"/>
      <c r="I434" s="43"/>
      <c r="J434" s="44"/>
      <c r="K434" s="42"/>
      <c r="L434" s="41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1"/>
    </row>
    <row r="435">
      <c r="A435" s="45"/>
      <c r="B435" s="46"/>
      <c r="C435" s="47"/>
      <c r="D435" s="47"/>
      <c r="E435" s="48"/>
      <c r="F435" s="49"/>
      <c r="G435" s="49"/>
      <c r="H435" s="50"/>
      <c r="I435" s="51"/>
      <c r="J435" s="52"/>
      <c r="K435" s="50"/>
      <c r="L435" s="49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4"/>
    </row>
    <row r="436">
      <c r="A436" s="37"/>
      <c r="B436" s="38"/>
      <c r="C436" s="39"/>
      <c r="D436" s="39"/>
      <c r="E436" s="40"/>
      <c r="F436" s="41"/>
      <c r="G436" s="41"/>
      <c r="H436" s="42"/>
      <c r="I436" s="43"/>
      <c r="J436" s="44"/>
      <c r="K436" s="42"/>
      <c r="L436" s="41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1"/>
    </row>
    <row r="437">
      <c r="A437" s="45"/>
      <c r="B437" s="46"/>
      <c r="C437" s="47"/>
      <c r="D437" s="47"/>
      <c r="E437" s="48"/>
      <c r="F437" s="49"/>
      <c r="G437" s="49"/>
      <c r="H437" s="50"/>
      <c r="I437" s="51"/>
      <c r="J437" s="52"/>
      <c r="K437" s="50"/>
      <c r="L437" s="49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4"/>
    </row>
    <row r="438">
      <c r="A438" s="37"/>
      <c r="B438" s="38"/>
      <c r="C438" s="39"/>
      <c r="D438" s="39"/>
      <c r="E438" s="40"/>
      <c r="F438" s="41"/>
      <c r="G438" s="41"/>
      <c r="H438" s="42"/>
      <c r="I438" s="43"/>
      <c r="J438" s="44"/>
      <c r="K438" s="42"/>
      <c r="L438" s="41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1"/>
    </row>
    <row r="439">
      <c r="A439" s="45"/>
      <c r="B439" s="46"/>
      <c r="C439" s="47"/>
      <c r="D439" s="47"/>
      <c r="E439" s="48"/>
      <c r="F439" s="49"/>
      <c r="G439" s="49"/>
      <c r="H439" s="50"/>
      <c r="I439" s="51"/>
      <c r="J439" s="52"/>
      <c r="K439" s="50"/>
      <c r="L439" s="49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4"/>
    </row>
    <row r="440">
      <c r="A440" s="37"/>
      <c r="B440" s="38"/>
      <c r="C440" s="39"/>
      <c r="D440" s="39"/>
      <c r="E440" s="40"/>
      <c r="F440" s="41"/>
      <c r="G440" s="41"/>
      <c r="H440" s="42"/>
      <c r="I440" s="43"/>
      <c r="J440" s="44"/>
      <c r="K440" s="42"/>
      <c r="L440" s="41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1"/>
    </row>
    <row r="441">
      <c r="A441" s="45"/>
      <c r="B441" s="46"/>
      <c r="C441" s="47"/>
      <c r="D441" s="47"/>
      <c r="E441" s="48"/>
      <c r="F441" s="49"/>
      <c r="G441" s="49"/>
      <c r="H441" s="50"/>
      <c r="I441" s="51"/>
      <c r="J441" s="52"/>
      <c r="K441" s="50"/>
      <c r="L441" s="49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4"/>
    </row>
    <row r="442">
      <c r="A442" s="37"/>
      <c r="B442" s="38"/>
      <c r="C442" s="39"/>
      <c r="D442" s="39"/>
      <c r="E442" s="40"/>
      <c r="F442" s="41"/>
      <c r="G442" s="41"/>
      <c r="H442" s="42"/>
      <c r="I442" s="43"/>
      <c r="J442" s="44"/>
      <c r="K442" s="42"/>
      <c r="L442" s="41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1"/>
    </row>
    <row r="443">
      <c r="A443" s="45"/>
      <c r="B443" s="46"/>
      <c r="C443" s="47"/>
      <c r="D443" s="47"/>
      <c r="E443" s="48"/>
      <c r="F443" s="49"/>
      <c r="G443" s="49"/>
      <c r="H443" s="50"/>
      <c r="I443" s="51"/>
      <c r="J443" s="52"/>
      <c r="K443" s="50"/>
      <c r="L443" s="49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4"/>
    </row>
    <row r="444">
      <c r="A444" s="37"/>
      <c r="B444" s="38"/>
      <c r="C444" s="39"/>
      <c r="D444" s="39"/>
      <c r="E444" s="40"/>
      <c r="F444" s="41"/>
      <c r="G444" s="41"/>
      <c r="H444" s="42"/>
      <c r="I444" s="43"/>
      <c r="J444" s="44"/>
      <c r="K444" s="42"/>
      <c r="L444" s="41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1"/>
    </row>
    <row r="445">
      <c r="A445" s="45"/>
      <c r="B445" s="46"/>
      <c r="C445" s="47"/>
      <c r="D445" s="47"/>
      <c r="E445" s="48"/>
      <c r="F445" s="49"/>
      <c r="G445" s="49"/>
      <c r="H445" s="50"/>
      <c r="I445" s="51"/>
      <c r="J445" s="52"/>
      <c r="K445" s="50"/>
      <c r="L445" s="49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4"/>
    </row>
    <row r="446">
      <c r="A446" s="37"/>
      <c r="B446" s="38"/>
      <c r="C446" s="39"/>
      <c r="D446" s="39"/>
      <c r="E446" s="40"/>
      <c r="F446" s="41"/>
      <c r="G446" s="41"/>
      <c r="H446" s="42"/>
      <c r="I446" s="43"/>
      <c r="J446" s="44"/>
      <c r="K446" s="42"/>
      <c r="L446" s="41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1"/>
    </row>
    <row r="447">
      <c r="A447" s="45"/>
      <c r="B447" s="46"/>
      <c r="C447" s="47"/>
      <c r="D447" s="47"/>
      <c r="E447" s="48"/>
      <c r="F447" s="49"/>
      <c r="G447" s="49"/>
      <c r="H447" s="50"/>
      <c r="I447" s="51"/>
      <c r="J447" s="52"/>
      <c r="K447" s="50"/>
      <c r="L447" s="49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4"/>
    </row>
    <row r="448">
      <c r="A448" s="37"/>
      <c r="B448" s="38"/>
      <c r="C448" s="39"/>
      <c r="D448" s="39"/>
      <c r="E448" s="40"/>
      <c r="F448" s="41"/>
      <c r="G448" s="41"/>
      <c r="H448" s="42"/>
      <c r="I448" s="43"/>
      <c r="J448" s="44"/>
      <c r="K448" s="42"/>
      <c r="L448" s="41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1"/>
    </row>
    <row r="449">
      <c r="A449" s="45"/>
      <c r="B449" s="46"/>
      <c r="C449" s="47"/>
      <c r="D449" s="47"/>
      <c r="E449" s="48"/>
      <c r="F449" s="49"/>
      <c r="G449" s="49"/>
      <c r="H449" s="50"/>
      <c r="I449" s="51"/>
      <c r="J449" s="52"/>
      <c r="K449" s="50"/>
      <c r="L449" s="49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4"/>
    </row>
    <row r="450">
      <c r="A450" s="37"/>
      <c r="B450" s="38"/>
      <c r="C450" s="39"/>
      <c r="D450" s="39"/>
      <c r="E450" s="40"/>
      <c r="F450" s="41"/>
      <c r="G450" s="41"/>
      <c r="H450" s="42"/>
      <c r="I450" s="43"/>
      <c r="J450" s="44"/>
      <c r="K450" s="42"/>
      <c r="L450" s="41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1"/>
    </row>
    <row r="451">
      <c r="A451" s="45"/>
      <c r="B451" s="46"/>
      <c r="C451" s="47"/>
      <c r="D451" s="47"/>
      <c r="E451" s="48"/>
      <c r="F451" s="49"/>
      <c r="G451" s="49"/>
      <c r="H451" s="50"/>
      <c r="I451" s="51"/>
      <c r="J451" s="52"/>
      <c r="K451" s="50"/>
      <c r="L451" s="49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4"/>
    </row>
    <row r="452">
      <c r="A452" s="37"/>
      <c r="B452" s="38"/>
      <c r="C452" s="39"/>
      <c r="D452" s="39"/>
      <c r="E452" s="40"/>
      <c r="F452" s="41"/>
      <c r="G452" s="41"/>
      <c r="H452" s="42"/>
      <c r="I452" s="43"/>
      <c r="J452" s="44"/>
      <c r="K452" s="42"/>
      <c r="L452" s="41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1"/>
    </row>
    <row r="453">
      <c r="A453" s="45"/>
      <c r="B453" s="46"/>
      <c r="C453" s="47"/>
      <c r="D453" s="47"/>
      <c r="E453" s="48"/>
      <c r="F453" s="49"/>
      <c r="G453" s="49"/>
      <c r="H453" s="50"/>
      <c r="I453" s="51"/>
      <c r="J453" s="52"/>
      <c r="K453" s="50"/>
      <c r="L453" s="49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4"/>
    </row>
    <row r="454">
      <c r="A454" s="37"/>
      <c r="B454" s="38"/>
      <c r="C454" s="39"/>
      <c r="D454" s="39"/>
      <c r="E454" s="40"/>
      <c r="F454" s="41"/>
      <c r="G454" s="41"/>
      <c r="H454" s="42"/>
      <c r="I454" s="43"/>
      <c r="J454" s="44"/>
      <c r="K454" s="42"/>
      <c r="L454" s="41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1"/>
    </row>
    <row r="455">
      <c r="A455" s="45"/>
      <c r="B455" s="46"/>
      <c r="C455" s="47"/>
      <c r="D455" s="47"/>
      <c r="E455" s="48"/>
      <c r="F455" s="49"/>
      <c r="G455" s="49"/>
      <c r="H455" s="50"/>
      <c r="I455" s="51"/>
      <c r="J455" s="52"/>
      <c r="K455" s="50"/>
      <c r="L455" s="49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4"/>
    </row>
    <row r="456">
      <c r="A456" s="37"/>
      <c r="B456" s="38"/>
      <c r="C456" s="39"/>
      <c r="D456" s="39"/>
      <c r="E456" s="40"/>
      <c r="F456" s="41"/>
      <c r="G456" s="41"/>
      <c r="H456" s="42"/>
      <c r="I456" s="43"/>
      <c r="J456" s="44"/>
      <c r="K456" s="42"/>
      <c r="L456" s="41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1"/>
    </row>
    <row r="457">
      <c r="A457" s="45"/>
      <c r="B457" s="46"/>
      <c r="C457" s="47"/>
      <c r="D457" s="47"/>
      <c r="E457" s="48"/>
      <c r="F457" s="49"/>
      <c r="G457" s="49"/>
      <c r="H457" s="50"/>
      <c r="I457" s="51"/>
      <c r="J457" s="52"/>
      <c r="K457" s="50"/>
      <c r="L457" s="49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4"/>
    </row>
    <row r="458">
      <c r="A458" s="37"/>
      <c r="B458" s="38"/>
      <c r="C458" s="39"/>
      <c r="D458" s="39"/>
      <c r="E458" s="40"/>
      <c r="F458" s="41"/>
      <c r="G458" s="41"/>
      <c r="H458" s="42"/>
      <c r="I458" s="43"/>
      <c r="J458" s="44"/>
      <c r="K458" s="42"/>
      <c r="L458" s="41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1"/>
    </row>
    <row r="459">
      <c r="A459" s="45"/>
      <c r="B459" s="46"/>
      <c r="C459" s="47"/>
      <c r="D459" s="47"/>
      <c r="E459" s="48"/>
      <c r="F459" s="49"/>
      <c r="G459" s="49"/>
      <c r="H459" s="50"/>
      <c r="I459" s="51"/>
      <c r="J459" s="52"/>
      <c r="K459" s="50"/>
      <c r="L459" s="49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4"/>
    </row>
    <row r="460">
      <c r="A460" s="37"/>
      <c r="B460" s="38"/>
      <c r="C460" s="39"/>
      <c r="D460" s="39"/>
      <c r="E460" s="40"/>
      <c r="F460" s="41"/>
      <c r="G460" s="41"/>
      <c r="H460" s="42"/>
      <c r="I460" s="43"/>
      <c r="J460" s="44"/>
      <c r="K460" s="42"/>
      <c r="L460" s="41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1"/>
    </row>
    <row r="461">
      <c r="A461" s="45"/>
      <c r="B461" s="46"/>
      <c r="C461" s="47"/>
      <c r="D461" s="47"/>
      <c r="E461" s="48"/>
      <c r="F461" s="49"/>
      <c r="G461" s="49"/>
      <c r="H461" s="50"/>
      <c r="I461" s="51"/>
      <c r="J461" s="52"/>
      <c r="K461" s="50"/>
      <c r="L461" s="49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4"/>
    </row>
    <row r="462">
      <c r="A462" s="37"/>
      <c r="B462" s="38"/>
      <c r="C462" s="39"/>
      <c r="D462" s="39"/>
      <c r="E462" s="40"/>
      <c r="F462" s="41"/>
      <c r="G462" s="41"/>
      <c r="H462" s="42"/>
      <c r="I462" s="43"/>
      <c r="J462" s="44"/>
      <c r="K462" s="42"/>
      <c r="L462" s="41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1"/>
    </row>
    <row r="463">
      <c r="A463" s="45"/>
      <c r="B463" s="46"/>
      <c r="C463" s="47"/>
      <c r="D463" s="47"/>
      <c r="E463" s="48"/>
      <c r="F463" s="49"/>
      <c r="G463" s="49"/>
      <c r="H463" s="50"/>
      <c r="I463" s="51"/>
      <c r="J463" s="52"/>
      <c r="K463" s="50"/>
      <c r="L463" s="49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4"/>
    </row>
    <row r="464">
      <c r="A464" s="37"/>
      <c r="B464" s="38"/>
      <c r="C464" s="39"/>
      <c r="D464" s="39"/>
      <c r="E464" s="40"/>
      <c r="F464" s="41"/>
      <c r="G464" s="41"/>
      <c r="H464" s="42"/>
      <c r="I464" s="43"/>
      <c r="J464" s="44"/>
      <c r="K464" s="42"/>
      <c r="L464" s="41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1"/>
    </row>
    <row r="465">
      <c r="A465" s="45"/>
      <c r="B465" s="46"/>
      <c r="C465" s="47"/>
      <c r="D465" s="47"/>
      <c r="E465" s="48"/>
      <c r="F465" s="49"/>
      <c r="G465" s="49"/>
      <c r="H465" s="50"/>
      <c r="I465" s="51"/>
      <c r="J465" s="52"/>
      <c r="K465" s="50"/>
      <c r="L465" s="49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4"/>
    </row>
    <row r="466">
      <c r="A466" s="37"/>
      <c r="B466" s="38"/>
      <c r="C466" s="39"/>
      <c r="D466" s="39"/>
      <c r="E466" s="40"/>
      <c r="F466" s="41"/>
      <c r="G466" s="41"/>
      <c r="H466" s="42"/>
      <c r="I466" s="43"/>
      <c r="J466" s="44"/>
      <c r="K466" s="42"/>
      <c r="L466" s="41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1"/>
    </row>
    <row r="467">
      <c r="A467" s="45"/>
      <c r="B467" s="46"/>
      <c r="C467" s="47"/>
      <c r="D467" s="47"/>
      <c r="E467" s="48"/>
      <c r="F467" s="49"/>
      <c r="G467" s="49"/>
      <c r="H467" s="50"/>
      <c r="I467" s="51"/>
      <c r="J467" s="52"/>
      <c r="K467" s="50"/>
      <c r="L467" s="49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4"/>
    </row>
    <row r="468">
      <c r="A468" s="37"/>
      <c r="B468" s="38"/>
      <c r="C468" s="39"/>
      <c r="D468" s="39"/>
      <c r="E468" s="40"/>
      <c r="F468" s="41"/>
      <c r="G468" s="41"/>
      <c r="H468" s="42"/>
      <c r="I468" s="43"/>
      <c r="J468" s="44"/>
      <c r="K468" s="42"/>
      <c r="L468" s="41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1"/>
    </row>
    <row r="469">
      <c r="A469" s="45"/>
      <c r="B469" s="46"/>
      <c r="C469" s="47"/>
      <c r="D469" s="47"/>
      <c r="E469" s="48"/>
      <c r="F469" s="49"/>
      <c r="G469" s="49"/>
      <c r="H469" s="50"/>
      <c r="I469" s="51"/>
      <c r="J469" s="52"/>
      <c r="K469" s="50"/>
      <c r="L469" s="49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4"/>
    </row>
    <row r="470">
      <c r="A470" s="37"/>
      <c r="B470" s="38"/>
      <c r="C470" s="39"/>
      <c r="D470" s="39"/>
      <c r="E470" s="40"/>
      <c r="F470" s="41"/>
      <c r="G470" s="41"/>
      <c r="H470" s="42"/>
      <c r="I470" s="43"/>
      <c r="J470" s="44"/>
      <c r="K470" s="42"/>
      <c r="L470" s="41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1"/>
    </row>
    <row r="471">
      <c r="A471" s="45"/>
      <c r="B471" s="46"/>
      <c r="C471" s="47"/>
      <c r="D471" s="47"/>
      <c r="E471" s="48"/>
      <c r="F471" s="49"/>
      <c r="G471" s="49"/>
      <c r="H471" s="50"/>
      <c r="I471" s="51"/>
      <c r="J471" s="52"/>
      <c r="K471" s="50"/>
      <c r="L471" s="49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4"/>
    </row>
    <row r="472">
      <c r="A472" s="37"/>
      <c r="B472" s="38"/>
      <c r="C472" s="39"/>
      <c r="D472" s="39"/>
      <c r="E472" s="40"/>
      <c r="F472" s="41"/>
      <c r="G472" s="41"/>
      <c r="H472" s="42"/>
      <c r="I472" s="43"/>
      <c r="J472" s="44"/>
      <c r="K472" s="42"/>
      <c r="L472" s="41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1"/>
    </row>
    <row r="473">
      <c r="A473" s="45"/>
      <c r="B473" s="46"/>
      <c r="C473" s="47"/>
      <c r="D473" s="47"/>
      <c r="E473" s="48"/>
      <c r="F473" s="49"/>
      <c r="G473" s="49"/>
      <c r="H473" s="50"/>
      <c r="I473" s="51"/>
      <c r="J473" s="52"/>
      <c r="K473" s="50"/>
      <c r="L473" s="49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4"/>
    </row>
    <row r="474">
      <c r="A474" s="37"/>
      <c r="B474" s="38"/>
      <c r="C474" s="39"/>
      <c r="D474" s="39"/>
      <c r="E474" s="40"/>
      <c r="F474" s="41"/>
      <c r="G474" s="41"/>
      <c r="H474" s="42"/>
      <c r="I474" s="43"/>
      <c r="J474" s="44"/>
      <c r="K474" s="42"/>
      <c r="L474" s="41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1"/>
    </row>
    <row r="475">
      <c r="A475" s="45"/>
      <c r="B475" s="46"/>
      <c r="C475" s="47"/>
      <c r="D475" s="47"/>
      <c r="E475" s="48"/>
      <c r="F475" s="49"/>
      <c r="G475" s="49"/>
      <c r="H475" s="50"/>
      <c r="I475" s="51"/>
      <c r="J475" s="52"/>
      <c r="K475" s="50"/>
      <c r="L475" s="49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4"/>
    </row>
    <row r="476">
      <c r="A476" s="37"/>
      <c r="B476" s="38"/>
      <c r="C476" s="39"/>
      <c r="D476" s="39"/>
      <c r="E476" s="40"/>
      <c r="F476" s="41"/>
      <c r="G476" s="41"/>
      <c r="H476" s="42"/>
      <c r="I476" s="43"/>
      <c r="J476" s="44"/>
      <c r="K476" s="42"/>
      <c r="L476" s="41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1"/>
    </row>
    <row r="477">
      <c r="A477" s="45"/>
      <c r="B477" s="46"/>
      <c r="C477" s="47"/>
      <c r="D477" s="47"/>
      <c r="E477" s="48"/>
      <c r="F477" s="49"/>
      <c r="G477" s="49"/>
      <c r="H477" s="50"/>
      <c r="I477" s="51"/>
      <c r="J477" s="52"/>
      <c r="K477" s="50"/>
      <c r="L477" s="49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4"/>
    </row>
    <row r="478">
      <c r="A478" s="37"/>
      <c r="B478" s="38"/>
      <c r="C478" s="39"/>
      <c r="D478" s="39"/>
      <c r="E478" s="40"/>
      <c r="F478" s="41"/>
      <c r="G478" s="41"/>
      <c r="H478" s="42"/>
      <c r="I478" s="43"/>
      <c r="J478" s="44"/>
      <c r="K478" s="42"/>
      <c r="L478" s="41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1"/>
    </row>
    <row r="479">
      <c r="A479" s="45"/>
      <c r="B479" s="46"/>
      <c r="C479" s="47"/>
      <c r="D479" s="47"/>
      <c r="E479" s="48"/>
      <c r="F479" s="49"/>
      <c r="G479" s="49"/>
      <c r="H479" s="50"/>
      <c r="I479" s="51"/>
      <c r="J479" s="52"/>
      <c r="K479" s="50"/>
      <c r="L479" s="49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4"/>
    </row>
    <row r="480">
      <c r="A480" s="37"/>
      <c r="B480" s="38"/>
      <c r="C480" s="39"/>
      <c r="D480" s="39"/>
      <c r="E480" s="40"/>
      <c r="F480" s="41"/>
      <c r="G480" s="41"/>
      <c r="H480" s="42"/>
      <c r="I480" s="43"/>
      <c r="J480" s="44"/>
      <c r="K480" s="42"/>
      <c r="L480" s="41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1"/>
    </row>
    <row r="481">
      <c r="A481" s="45"/>
      <c r="B481" s="46"/>
      <c r="C481" s="47"/>
      <c r="D481" s="47"/>
      <c r="E481" s="48"/>
      <c r="F481" s="49"/>
      <c r="G481" s="49"/>
      <c r="H481" s="50"/>
      <c r="I481" s="51"/>
      <c r="J481" s="52"/>
      <c r="K481" s="50"/>
      <c r="L481" s="49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4"/>
    </row>
    <row r="482">
      <c r="A482" s="37"/>
      <c r="B482" s="38"/>
      <c r="C482" s="39"/>
      <c r="D482" s="39"/>
      <c r="E482" s="40"/>
      <c r="F482" s="41"/>
      <c r="G482" s="41"/>
      <c r="H482" s="42"/>
      <c r="I482" s="43"/>
      <c r="J482" s="44"/>
      <c r="K482" s="42"/>
      <c r="L482" s="41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1"/>
    </row>
    <row r="483">
      <c r="A483" s="45"/>
      <c r="B483" s="46"/>
      <c r="C483" s="47"/>
      <c r="D483" s="47"/>
      <c r="E483" s="48"/>
      <c r="F483" s="49"/>
      <c r="G483" s="49"/>
      <c r="H483" s="50"/>
      <c r="I483" s="51"/>
      <c r="J483" s="52"/>
      <c r="K483" s="50"/>
      <c r="L483" s="49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4"/>
    </row>
    <row r="484">
      <c r="A484" s="37"/>
      <c r="B484" s="38"/>
      <c r="C484" s="39"/>
      <c r="D484" s="39"/>
      <c r="E484" s="40"/>
      <c r="F484" s="41"/>
      <c r="G484" s="41"/>
      <c r="H484" s="42"/>
      <c r="I484" s="43"/>
      <c r="J484" s="44"/>
      <c r="K484" s="42"/>
      <c r="L484" s="41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1"/>
    </row>
    <row r="485">
      <c r="A485" s="45"/>
      <c r="B485" s="46"/>
      <c r="C485" s="47"/>
      <c r="D485" s="47"/>
      <c r="E485" s="48"/>
      <c r="F485" s="49"/>
      <c r="G485" s="49"/>
      <c r="H485" s="50"/>
      <c r="I485" s="51"/>
      <c r="J485" s="52"/>
      <c r="K485" s="50"/>
      <c r="L485" s="49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4"/>
    </row>
    <row r="486">
      <c r="A486" s="37"/>
      <c r="B486" s="38"/>
      <c r="C486" s="39"/>
      <c r="D486" s="39"/>
      <c r="E486" s="40"/>
      <c r="F486" s="41"/>
      <c r="G486" s="41"/>
      <c r="H486" s="42"/>
      <c r="I486" s="43"/>
      <c r="J486" s="44"/>
      <c r="K486" s="42"/>
      <c r="L486" s="41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1"/>
    </row>
    <row r="487">
      <c r="A487" s="45"/>
      <c r="B487" s="46"/>
      <c r="C487" s="47"/>
      <c r="D487" s="47"/>
      <c r="E487" s="48"/>
      <c r="F487" s="49"/>
      <c r="G487" s="49"/>
      <c r="H487" s="50"/>
      <c r="I487" s="51"/>
      <c r="J487" s="52"/>
      <c r="K487" s="50"/>
      <c r="L487" s="49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4"/>
    </row>
    <row r="488">
      <c r="A488" s="37"/>
      <c r="B488" s="38"/>
      <c r="C488" s="39"/>
      <c r="D488" s="39"/>
      <c r="E488" s="40"/>
      <c r="F488" s="41"/>
      <c r="G488" s="41"/>
      <c r="H488" s="42"/>
      <c r="I488" s="43"/>
      <c r="J488" s="44"/>
      <c r="K488" s="42"/>
      <c r="L488" s="41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1"/>
    </row>
    <row r="489">
      <c r="A489" s="45"/>
      <c r="B489" s="46"/>
      <c r="C489" s="47"/>
      <c r="D489" s="47"/>
      <c r="E489" s="48"/>
      <c r="F489" s="49"/>
      <c r="G489" s="49"/>
      <c r="H489" s="50"/>
      <c r="I489" s="51"/>
      <c r="J489" s="52"/>
      <c r="K489" s="50"/>
      <c r="L489" s="49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4"/>
    </row>
    <row r="490">
      <c r="A490" s="37"/>
      <c r="B490" s="38"/>
      <c r="C490" s="39"/>
      <c r="D490" s="39"/>
      <c r="E490" s="40"/>
      <c r="F490" s="41"/>
      <c r="G490" s="41"/>
      <c r="H490" s="42"/>
      <c r="I490" s="43"/>
      <c r="J490" s="44"/>
      <c r="K490" s="42"/>
      <c r="L490" s="41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1"/>
    </row>
    <row r="491">
      <c r="A491" s="45"/>
      <c r="B491" s="46"/>
      <c r="C491" s="47"/>
      <c r="D491" s="47"/>
      <c r="E491" s="48"/>
      <c r="F491" s="49"/>
      <c r="G491" s="49"/>
      <c r="H491" s="50"/>
      <c r="I491" s="51"/>
      <c r="J491" s="52"/>
      <c r="K491" s="50"/>
      <c r="L491" s="49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4"/>
    </row>
    <row r="492">
      <c r="A492" s="37"/>
      <c r="B492" s="38"/>
      <c r="C492" s="39"/>
      <c r="D492" s="39"/>
      <c r="E492" s="40"/>
      <c r="F492" s="41"/>
      <c r="G492" s="41"/>
      <c r="H492" s="42"/>
      <c r="I492" s="43"/>
      <c r="J492" s="44"/>
      <c r="K492" s="42"/>
      <c r="L492" s="41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1"/>
    </row>
    <row r="493">
      <c r="A493" s="45"/>
      <c r="B493" s="46"/>
      <c r="C493" s="47"/>
      <c r="D493" s="47"/>
      <c r="E493" s="48"/>
      <c r="F493" s="49"/>
      <c r="G493" s="49"/>
      <c r="H493" s="50"/>
      <c r="I493" s="51"/>
      <c r="J493" s="52"/>
      <c r="K493" s="50"/>
      <c r="L493" s="49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4"/>
    </row>
    <row r="494">
      <c r="A494" s="37"/>
      <c r="B494" s="38"/>
      <c r="C494" s="39"/>
      <c r="D494" s="39"/>
      <c r="E494" s="40"/>
      <c r="F494" s="41"/>
      <c r="G494" s="41"/>
      <c r="H494" s="42"/>
      <c r="I494" s="43"/>
      <c r="J494" s="44"/>
      <c r="K494" s="42"/>
      <c r="L494" s="41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1"/>
    </row>
    <row r="495">
      <c r="A495" s="45"/>
      <c r="B495" s="46"/>
      <c r="C495" s="47"/>
      <c r="D495" s="47"/>
      <c r="E495" s="48"/>
      <c r="F495" s="49"/>
      <c r="G495" s="49"/>
      <c r="H495" s="50"/>
      <c r="I495" s="51"/>
      <c r="J495" s="52"/>
      <c r="K495" s="50"/>
      <c r="L495" s="49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4"/>
    </row>
    <row r="496">
      <c r="A496" s="37"/>
      <c r="B496" s="38"/>
      <c r="C496" s="39"/>
      <c r="D496" s="39"/>
      <c r="E496" s="40"/>
      <c r="F496" s="41"/>
      <c r="G496" s="41"/>
      <c r="H496" s="42"/>
      <c r="I496" s="43"/>
      <c r="J496" s="44"/>
      <c r="K496" s="42"/>
      <c r="L496" s="41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1"/>
    </row>
    <row r="497">
      <c r="A497" s="45"/>
      <c r="B497" s="46"/>
      <c r="C497" s="47"/>
      <c r="D497" s="47"/>
      <c r="E497" s="48"/>
      <c r="F497" s="49"/>
      <c r="G497" s="49"/>
      <c r="H497" s="50"/>
      <c r="I497" s="51"/>
      <c r="J497" s="52"/>
      <c r="K497" s="50"/>
      <c r="L497" s="49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4"/>
    </row>
    <row r="498">
      <c r="A498" s="37"/>
      <c r="B498" s="38"/>
      <c r="C498" s="39"/>
      <c r="D498" s="39"/>
      <c r="E498" s="40"/>
      <c r="F498" s="41"/>
      <c r="G498" s="41"/>
      <c r="H498" s="42"/>
      <c r="I498" s="43"/>
      <c r="J498" s="44"/>
      <c r="K498" s="42"/>
      <c r="L498" s="41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1"/>
    </row>
    <row r="499">
      <c r="A499" s="45"/>
      <c r="B499" s="46"/>
      <c r="C499" s="47"/>
      <c r="D499" s="47"/>
      <c r="E499" s="48"/>
      <c r="F499" s="49"/>
      <c r="G499" s="49"/>
      <c r="H499" s="50"/>
      <c r="I499" s="51"/>
      <c r="J499" s="52"/>
      <c r="K499" s="50"/>
      <c r="L499" s="49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4"/>
    </row>
    <row r="500">
      <c r="A500" s="37"/>
      <c r="B500" s="38"/>
      <c r="C500" s="39"/>
      <c r="D500" s="39"/>
      <c r="E500" s="40"/>
      <c r="F500" s="41"/>
      <c r="G500" s="41"/>
      <c r="H500" s="42"/>
      <c r="I500" s="43"/>
      <c r="J500" s="44"/>
      <c r="K500" s="42"/>
      <c r="L500" s="41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1"/>
    </row>
    <row r="501">
      <c r="A501" s="45"/>
      <c r="B501" s="46"/>
      <c r="C501" s="47"/>
      <c r="D501" s="47"/>
      <c r="E501" s="48"/>
      <c r="F501" s="49"/>
      <c r="G501" s="49"/>
      <c r="H501" s="50"/>
      <c r="I501" s="51"/>
      <c r="J501" s="52"/>
      <c r="K501" s="50"/>
      <c r="L501" s="49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4"/>
    </row>
    <row r="502">
      <c r="A502" s="37"/>
      <c r="B502" s="38"/>
      <c r="C502" s="39"/>
      <c r="D502" s="39"/>
      <c r="E502" s="40"/>
      <c r="F502" s="41"/>
      <c r="G502" s="41"/>
      <c r="H502" s="42"/>
      <c r="I502" s="43"/>
      <c r="J502" s="44"/>
      <c r="K502" s="42"/>
      <c r="L502" s="41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1"/>
    </row>
    <row r="503">
      <c r="A503" s="45"/>
      <c r="B503" s="46"/>
      <c r="C503" s="47"/>
      <c r="D503" s="47"/>
      <c r="E503" s="48"/>
      <c r="F503" s="49"/>
      <c r="G503" s="49"/>
      <c r="H503" s="50"/>
      <c r="I503" s="51"/>
      <c r="J503" s="52"/>
      <c r="K503" s="50"/>
      <c r="L503" s="49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4"/>
    </row>
    <row r="504">
      <c r="A504" s="37"/>
      <c r="B504" s="38"/>
      <c r="C504" s="39"/>
      <c r="D504" s="39"/>
      <c r="E504" s="40"/>
      <c r="F504" s="41"/>
      <c r="G504" s="41"/>
      <c r="H504" s="42"/>
      <c r="I504" s="43"/>
      <c r="J504" s="44"/>
      <c r="K504" s="42"/>
      <c r="L504" s="41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1"/>
    </row>
    <row r="505">
      <c r="A505" s="45"/>
      <c r="B505" s="46"/>
      <c r="C505" s="47"/>
      <c r="D505" s="47"/>
      <c r="E505" s="48"/>
      <c r="F505" s="49"/>
      <c r="G505" s="49"/>
      <c r="H505" s="50"/>
      <c r="I505" s="51"/>
      <c r="J505" s="52"/>
      <c r="K505" s="50"/>
      <c r="L505" s="49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4"/>
    </row>
    <row r="506">
      <c r="A506" s="37"/>
      <c r="B506" s="38"/>
      <c r="C506" s="39"/>
      <c r="D506" s="39"/>
      <c r="E506" s="40"/>
      <c r="F506" s="41"/>
      <c r="G506" s="41"/>
      <c r="H506" s="42"/>
      <c r="I506" s="43"/>
      <c r="J506" s="44"/>
      <c r="K506" s="42"/>
      <c r="L506" s="41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1"/>
    </row>
    <row r="507">
      <c r="A507" s="45"/>
      <c r="B507" s="46"/>
      <c r="C507" s="47"/>
      <c r="D507" s="47"/>
      <c r="E507" s="48"/>
      <c r="F507" s="49"/>
      <c r="G507" s="49"/>
      <c r="H507" s="50"/>
      <c r="I507" s="51"/>
      <c r="J507" s="52"/>
      <c r="K507" s="50"/>
      <c r="L507" s="49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4"/>
    </row>
    <row r="508">
      <c r="A508" s="37"/>
      <c r="B508" s="38"/>
      <c r="C508" s="39"/>
      <c r="D508" s="39"/>
      <c r="E508" s="40"/>
      <c r="F508" s="41"/>
      <c r="G508" s="41"/>
      <c r="H508" s="42"/>
      <c r="I508" s="43"/>
      <c r="J508" s="44"/>
      <c r="K508" s="42"/>
      <c r="L508" s="41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1"/>
    </row>
    <row r="509">
      <c r="A509" s="45"/>
      <c r="B509" s="46"/>
      <c r="C509" s="47"/>
      <c r="D509" s="47"/>
      <c r="E509" s="48"/>
      <c r="F509" s="49"/>
      <c r="G509" s="49"/>
      <c r="H509" s="50"/>
      <c r="I509" s="51"/>
      <c r="J509" s="52"/>
      <c r="K509" s="50"/>
      <c r="L509" s="49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4"/>
    </row>
    <row r="510">
      <c r="A510" s="37"/>
      <c r="B510" s="38"/>
      <c r="C510" s="39"/>
      <c r="D510" s="39"/>
      <c r="E510" s="40"/>
      <c r="F510" s="41"/>
      <c r="G510" s="41"/>
      <c r="H510" s="42"/>
      <c r="I510" s="43"/>
      <c r="J510" s="44"/>
      <c r="K510" s="42"/>
      <c r="L510" s="41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1"/>
    </row>
    <row r="511">
      <c r="A511" s="45"/>
      <c r="B511" s="46"/>
      <c r="C511" s="47"/>
      <c r="D511" s="47"/>
      <c r="E511" s="48"/>
      <c r="F511" s="49"/>
      <c r="G511" s="49"/>
      <c r="H511" s="50"/>
      <c r="I511" s="51"/>
      <c r="J511" s="52"/>
      <c r="K511" s="50"/>
      <c r="L511" s="49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4"/>
    </row>
    <row r="512">
      <c r="A512" s="37"/>
      <c r="B512" s="38"/>
      <c r="C512" s="39"/>
      <c r="D512" s="39"/>
      <c r="E512" s="40"/>
      <c r="F512" s="41"/>
      <c r="G512" s="41"/>
      <c r="H512" s="42"/>
      <c r="I512" s="43"/>
      <c r="J512" s="44"/>
      <c r="K512" s="42"/>
      <c r="L512" s="41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1"/>
    </row>
    <row r="513">
      <c r="A513" s="45"/>
      <c r="B513" s="46"/>
      <c r="C513" s="47"/>
      <c r="D513" s="47"/>
      <c r="E513" s="48"/>
      <c r="F513" s="49"/>
      <c r="G513" s="49"/>
      <c r="H513" s="50"/>
      <c r="I513" s="51"/>
      <c r="J513" s="52"/>
      <c r="K513" s="50"/>
      <c r="L513" s="49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4"/>
    </row>
    <row r="514">
      <c r="A514" s="37"/>
      <c r="B514" s="38"/>
      <c r="C514" s="39"/>
      <c r="D514" s="39"/>
      <c r="E514" s="40"/>
      <c r="F514" s="41"/>
      <c r="G514" s="41"/>
      <c r="H514" s="42"/>
      <c r="I514" s="43"/>
      <c r="J514" s="44"/>
      <c r="K514" s="42"/>
      <c r="L514" s="41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1"/>
    </row>
    <row r="515">
      <c r="A515" s="45"/>
      <c r="B515" s="46"/>
      <c r="C515" s="47"/>
      <c r="D515" s="47"/>
      <c r="E515" s="48"/>
      <c r="F515" s="49"/>
      <c r="G515" s="49"/>
      <c r="H515" s="50"/>
      <c r="I515" s="51"/>
      <c r="J515" s="52"/>
      <c r="K515" s="50"/>
      <c r="L515" s="49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4"/>
    </row>
    <row r="516">
      <c r="A516" s="37"/>
      <c r="B516" s="38"/>
      <c r="C516" s="39"/>
      <c r="D516" s="39"/>
      <c r="E516" s="40"/>
      <c r="F516" s="41"/>
      <c r="G516" s="41"/>
      <c r="H516" s="42"/>
      <c r="I516" s="43"/>
      <c r="J516" s="44"/>
      <c r="K516" s="42"/>
      <c r="L516" s="41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1"/>
    </row>
    <row r="517">
      <c r="A517" s="45"/>
      <c r="B517" s="46"/>
      <c r="C517" s="47"/>
      <c r="D517" s="47"/>
      <c r="E517" s="48"/>
      <c r="F517" s="49"/>
      <c r="G517" s="49"/>
      <c r="H517" s="50"/>
      <c r="I517" s="51"/>
      <c r="J517" s="52"/>
      <c r="K517" s="50"/>
      <c r="L517" s="49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4"/>
    </row>
    <row r="518">
      <c r="A518" s="37"/>
      <c r="B518" s="38"/>
      <c r="C518" s="39"/>
      <c r="D518" s="39"/>
      <c r="E518" s="40"/>
      <c r="F518" s="41"/>
      <c r="G518" s="41"/>
      <c r="H518" s="42"/>
      <c r="I518" s="43"/>
      <c r="J518" s="44"/>
      <c r="K518" s="42"/>
      <c r="L518" s="41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1"/>
    </row>
    <row r="519">
      <c r="A519" s="45"/>
      <c r="B519" s="46"/>
      <c r="C519" s="47"/>
      <c r="D519" s="47"/>
      <c r="E519" s="48"/>
      <c r="F519" s="49"/>
      <c r="G519" s="49"/>
      <c r="H519" s="50"/>
      <c r="I519" s="51"/>
      <c r="J519" s="52"/>
      <c r="K519" s="50"/>
      <c r="L519" s="49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4"/>
    </row>
    <row r="520">
      <c r="A520" s="37"/>
      <c r="B520" s="38"/>
      <c r="C520" s="39"/>
      <c r="D520" s="39"/>
      <c r="E520" s="40"/>
      <c r="F520" s="41"/>
      <c r="G520" s="41"/>
      <c r="H520" s="42"/>
      <c r="I520" s="43"/>
      <c r="J520" s="44"/>
      <c r="K520" s="42"/>
      <c r="L520" s="41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1"/>
    </row>
    <row r="521">
      <c r="A521" s="45"/>
      <c r="B521" s="46"/>
      <c r="C521" s="47"/>
      <c r="D521" s="47"/>
      <c r="E521" s="48"/>
      <c r="F521" s="49"/>
      <c r="G521" s="49"/>
      <c r="H521" s="50"/>
      <c r="I521" s="51"/>
      <c r="J521" s="52"/>
      <c r="K521" s="50"/>
      <c r="L521" s="49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4"/>
    </row>
    <row r="522">
      <c r="A522" s="37"/>
      <c r="B522" s="38"/>
      <c r="C522" s="39"/>
      <c r="D522" s="39"/>
      <c r="E522" s="40"/>
      <c r="F522" s="41"/>
      <c r="G522" s="41"/>
      <c r="H522" s="42"/>
      <c r="I522" s="43"/>
      <c r="J522" s="44"/>
      <c r="K522" s="42"/>
      <c r="L522" s="41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1"/>
    </row>
    <row r="523">
      <c r="A523" s="45"/>
      <c r="B523" s="46"/>
      <c r="C523" s="47"/>
      <c r="D523" s="47"/>
      <c r="E523" s="48"/>
      <c r="F523" s="49"/>
      <c r="G523" s="49"/>
      <c r="H523" s="50"/>
      <c r="I523" s="51"/>
      <c r="J523" s="52"/>
      <c r="K523" s="50"/>
      <c r="L523" s="49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4"/>
    </row>
    <row r="524">
      <c r="A524" s="37"/>
      <c r="B524" s="38"/>
      <c r="C524" s="39"/>
      <c r="D524" s="39"/>
      <c r="E524" s="40"/>
      <c r="F524" s="41"/>
      <c r="G524" s="41"/>
      <c r="H524" s="42"/>
      <c r="I524" s="43"/>
      <c r="J524" s="44"/>
      <c r="K524" s="42"/>
      <c r="L524" s="41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1"/>
    </row>
    <row r="525">
      <c r="A525" s="45"/>
      <c r="B525" s="46"/>
      <c r="C525" s="47"/>
      <c r="D525" s="47"/>
      <c r="E525" s="48"/>
      <c r="F525" s="49"/>
      <c r="G525" s="49"/>
      <c r="H525" s="50"/>
      <c r="I525" s="51"/>
      <c r="J525" s="52"/>
      <c r="K525" s="50"/>
      <c r="L525" s="49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4"/>
    </row>
    <row r="526">
      <c r="A526" s="37"/>
      <c r="B526" s="38"/>
      <c r="C526" s="39"/>
      <c r="D526" s="39"/>
      <c r="E526" s="40"/>
      <c r="F526" s="41"/>
      <c r="G526" s="41"/>
      <c r="H526" s="42"/>
      <c r="I526" s="43"/>
      <c r="J526" s="44"/>
      <c r="K526" s="42"/>
      <c r="L526" s="41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1"/>
    </row>
    <row r="527">
      <c r="A527" s="45"/>
      <c r="B527" s="46"/>
      <c r="C527" s="47"/>
      <c r="D527" s="47"/>
      <c r="E527" s="48"/>
      <c r="F527" s="49"/>
      <c r="G527" s="49"/>
      <c r="H527" s="50"/>
      <c r="I527" s="51"/>
      <c r="J527" s="52"/>
      <c r="K527" s="50"/>
      <c r="L527" s="49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4"/>
    </row>
    <row r="528">
      <c r="A528" s="37"/>
      <c r="B528" s="38"/>
      <c r="C528" s="39"/>
      <c r="D528" s="39"/>
      <c r="E528" s="40"/>
      <c r="F528" s="41"/>
      <c r="G528" s="41"/>
      <c r="H528" s="42"/>
      <c r="I528" s="43"/>
      <c r="J528" s="44"/>
      <c r="K528" s="42"/>
      <c r="L528" s="41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1"/>
    </row>
    <row r="529">
      <c r="A529" s="45"/>
      <c r="B529" s="46"/>
      <c r="C529" s="47"/>
      <c r="D529" s="47"/>
      <c r="E529" s="48"/>
      <c r="F529" s="49"/>
      <c r="G529" s="49"/>
      <c r="H529" s="50"/>
      <c r="I529" s="51"/>
      <c r="J529" s="52"/>
      <c r="K529" s="50"/>
      <c r="L529" s="49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4"/>
    </row>
    <row r="530">
      <c r="A530" s="37"/>
      <c r="B530" s="38"/>
      <c r="C530" s="39"/>
      <c r="D530" s="39"/>
      <c r="E530" s="40"/>
      <c r="F530" s="41"/>
      <c r="G530" s="41"/>
      <c r="H530" s="42"/>
      <c r="I530" s="43"/>
      <c r="J530" s="44"/>
      <c r="K530" s="42"/>
      <c r="L530" s="41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1"/>
    </row>
    <row r="531">
      <c r="A531" s="45"/>
      <c r="B531" s="46"/>
      <c r="C531" s="47"/>
      <c r="D531" s="47"/>
      <c r="E531" s="48"/>
      <c r="F531" s="49"/>
      <c r="G531" s="49"/>
      <c r="H531" s="50"/>
      <c r="I531" s="51"/>
      <c r="J531" s="52"/>
      <c r="K531" s="50"/>
      <c r="L531" s="49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4"/>
    </row>
    <row r="532">
      <c r="A532" s="37"/>
      <c r="B532" s="38"/>
      <c r="C532" s="39"/>
      <c r="D532" s="39"/>
      <c r="E532" s="40"/>
      <c r="F532" s="41"/>
      <c r="G532" s="41"/>
      <c r="H532" s="42"/>
      <c r="I532" s="43"/>
      <c r="J532" s="44"/>
      <c r="K532" s="42"/>
      <c r="L532" s="41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1"/>
    </row>
    <row r="533">
      <c r="A533" s="45"/>
      <c r="B533" s="46"/>
      <c r="C533" s="47"/>
      <c r="D533" s="47"/>
      <c r="E533" s="48"/>
      <c r="F533" s="49"/>
      <c r="G533" s="49"/>
      <c r="H533" s="50"/>
      <c r="I533" s="51"/>
      <c r="J533" s="52"/>
      <c r="K533" s="50"/>
      <c r="L533" s="49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4"/>
    </row>
    <row r="534">
      <c r="A534" s="37"/>
      <c r="B534" s="38"/>
      <c r="C534" s="39"/>
      <c r="D534" s="39"/>
      <c r="E534" s="40"/>
      <c r="F534" s="41"/>
      <c r="G534" s="41"/>
      <c r="H534" s="42"/>
      <c r="I534" s="43"/>
      <c r="J534" s="44"/>
      <c r="K534" s="42"/>
      <c r="L534" s="41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1"/>
    </row>
    <row r="535">
      <c r="A535" s="45"/>
      <c r="B535" s="46"/>
      <c r="C535" s="47"/>
      <c r="D535" s="47"/>
      <c r="E535" s="48"/>
      <c r="F535" s="49"/>
      <c r="G535" s="49"/>
      <c r="H535" s="50"/>
      <c r="I535" s="51"/>
      <c r="J535" s="52"/>
      <c r="K535" s="50"/>
      <c r="L535" s="49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4"/>
    </row>
    <row r="536">
      <c r="A536" s="37"/>
      <c r="B536" s="38"/>
      <c r="C536" s="39"/>
      <c r="D536" s="39"/>
      <c r="E536" s="40"/>
      <c r="F536" s="41"/>
      <c r="G536" s="41"/>
      <c r="H536" s="42"/>
      <c r="I536" s="43"/>
      <c r="J536" s="44"/>
      <c r="K536" s="42"/>
      <c r="L536" s="41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1"/>
    </row>
    <row r="537">
      <c r="A537" s="45"/>
      <c r="B537" s="46"/>
      <c r="C537" s="47"/>
      <c r="D537" s="47"/>
      <c r="E537" s="48"/>
      <c r="F537" s="49"/>
      <c r="G537" s="49"/>
      <c r="H537" s="50"/>
      <c r="I537" s="51"/>
      <c r="J537" s="52"/>
      <c r="K537" s="50"/>
      <c r="L537" s="49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4"/>
    </row>
    <row r="538">
      <c r="A538" s="37"/>
      <c r="B538" s="38"/>
      <c r="C538" s="39"/>
      <c r="D538" s="39"/>
      <c r="E538" s="40"/>
      <c r="F538" s="41"/>
      <c r="G538" s="41"/>
      <c r="H538" s="42"/>
      <c r="I538" s="43"/>
      <c r="J538" s="44"/>
      <c r="K538" s="42"/>
      <c r="L538" s="41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1"/>
    </row>
    <row r="539">
      <c r="A539" s="45"/>
      <c r="B539" s="46"/>
      <c r="C539" s="47"/>
      <c r="D539" s="47"/>
      <c r="E539" s="48"/>
      <c r="F539" s="49"/>
      <c r="G539" s="49"/>
      <c r="H539" s="50"/>
      <c r="I539" s="51"/>
      <c r="J539" s="52"/>
      <c r="K539" s="50"/>
      <c r="L539" s="49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4"/>
    </row>
    <row r="540">
      <c r="A540" s="37"/>
      <c r="B540" s="38"/>
      <c r="C540" s="39"/>
      <c r="D540" s="39"/>
      <c r="E540" s="40"/>
      <c r="F540" s="41"/>
      <c r="G540" s="41"/>
      <c r="H540" s="42"/>
      <c r="I540" s="43"/>
      <c r="J540" s="44"/>
      <c r="K540" s="42"/>
      <c r="L540" s="41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1"/>
    </row>
    <row r="541">
      <c r="A541" s="45"/>
      <c r="B541" s="46"/>
      <c r="C541" s="47"/>
      <c r="D541" s="47"/>
      <c r="E541" s="48"/>
      <c r="F541" s="49"/>
      <c r="G541" s="49"/>
      <c r="H541" s="50"/>
      <c r="I541" s="51"/>
      <c r="J541" s="52"/>
      <c r="K541" s="50"/>
      <c r="L541" s="49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4"/>
    </row>
    <row r="542">
      <c r="A542" s="37"/>
      <c r="B542" s="38"/>
      <c r="C542" s="39"/>
      <c r="D542" s="39"/>
      <c r="E542" s="40"/>
      <c r="F542" s="41"/>
      <c r="G542" s="41"/>
      <c r="H542" s="42"/>
      <c r="I542" s="43"/>
      <c r="J542" s="44"/>
      <c r="K542" s="42"/>
      <c r="L542" s="41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1"/>
    </row>
    <row r="543">
      <c r="A543" s="45"/>
      <c r="B543" s="46"/>
      <c r="C543" s="47"/>
      <c r="D543" s="47"/>
      <c r="E543" s="48"/>
      <c r="F543" s="49"/>
      <c r="G543" s="49"/>
      <c r="H543" s="50"/>
      <c r="I543" s="51"/>
      <c r="J543" s="52"/>
      <c r="K543" s="50"/>
      <c r="L543" s="49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4"/>
    </row>
    <row r="544">
      <c r="A544" s="37"/>
      <c r="B544" s="38"/>
      <c r="C544" s="39"/>
      <c r="D544" s="39"/>
      <c r="E544" s="40"/>
      <c r="F544" s="41"/>
      <c r="G544" s="41"/>
      <c r="H544" s="42"/>
      <c r="I544" s="43"/>
      <c r="J544" s="44"/>
      <c r="K544" s="42"/>
      <c r="L544" s="41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1"/>
    </row>
    <row r="545">
      <c r="A545" s="45"/>
      <c r="B545" s="46"/>
      <c r="C545" s="47"/>
      <c r="D545" s="47"/>
      <c r="E545" s="48"/>
      <c r="F545" s="49"/>
      <c r="G545" s="49"/>
      <c r="H545" s="50"/>
      <c r="I545" s="51"/>
      <c r="J545" s="52"/>
      <c r="K545" s="50"/>
      <c r="L545" s="49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4"/>
    </row>
    <row r="546">
      <c r="A546" s="37"/>
      <c r="B546" s="38"/>
      <c r="C546" s="39"/>
      <c r="D546" s="39"/>
      <c r="E546" s="40"/>
      <c r="F546" s="41"/>
      <c r="G546" s="41"/>
      <c r="H546" s="42"/>
      <c r="I546" s="43"/>
      <c r="J546" s="44"/>
      <c r="K546" s="42"/>
      <c r="L546" s="41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1"/>
    </row>
    <row r="547">
      <c r="A547" s="45"/>
      <c r="B547" s="46"/>
      <c r="C547" s="47"/>
      <c r="D547" s="47"/>
      <c r="E547" s="48"/>
      <c r="F547" s="49"/>
      <c r="G547" s="49"/>
      <c r="H547" s="50"/>
      <c r="I547" s="51"/>
      <c r="J547" s="52"/>
      <c r="K547" s="50"/>
      <c r="L547" s="49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4"/>
    </row>
    <row r="548">
      <c r="A548" s="37"/>
      <c r="B548" s="38"/>
      <c r="C548" s="39"/>
      <c r="D548" s="39"/>
      <c r="E548" s="40"/>
      <c r="F548" s="41"/>
      <c r="G548" s="41"/>
      <c r="H548" s="42"/>
      <c r="I548" s="43"/>
      <c r="J548" s="44"/>
      <c r="K548" s="42"/>
      <c r="L548" s="41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1"/>
    </row>
    <row r="549">
      <c r="A549" s="45"/>
      <c r="B549" s="46"/>
      <c r="C549" s="47"/>
      <c r="D549" s="47"/>
      <c r="E549" s="48"/>
      <c r="F549" s="49"/>
      <c r="G549" s="49"/>
      <c r="H549" s="50"/>
      <c r="I549" s="51"/>
      <c r="J549" s="52"/>
      <c r="K549" s="50"/>
      <c r="L549" s="49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4"/>
    </row>
    <row r="550">
      <c r="A550" s="37"/>
      <c r="B550" s="38"/>
      <c r="C550" s="39"/>
      <c r="D550" s="39"/>
      <c r="E550" s="40"/>
      <c r="F550" s="41"/>
      <c r="G550" s="41"/>
      <c r="H550" s="42"/>
      <c r="I550" s="43"/>
      <c r="J550" s="44"/>
      <c r="K550" s="42"/>
      <c r="L550" s="41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1"/>
    </row>
    <row r="551">
      <c r="A551" s="45"/>
      <c r="B551" s="46"/>
      <c r="C551" s="47"/>
      <c r="D551" s="47"/>
      <c r="E551" s="48"/>
      <c r="F551" s="49"/>
      <c r="G551" s="49"/>
      <c r="H551" s="50"/>
      <c r="I551" s="51"/>
      <c r="J551" s="52"/>
      <c r="K551" s="50"/>
      <c r="L551" s="49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4"/>
    </row>
    <row r="552">
      <c r="A552" s="37"/>
      <c r="B552" s="38"/>
      <c r="C552" s="39"/>
      <c r="D552" s="39"/>
      <c r="E552" s="40"/>
      <c r="F552" s="41"/>
      <c r="G552" s="41"/>
      <c r="H552" s="42"/>
      <c r="I552" s="43"/>
      <c r="J552" s="44"/>
      <c r="K552" s="42"/>
      <c r="L552" s="41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1"/>
    </row>
    <row r="553">
      <c r="A553" s="45"/>
      <c r="B553" s="46"/>
      <c r="C553" s="47"/>
      <c r="D553" s="47"/>
      <c r="E553" s="48"/>
      <c r="F553" s="49"/>
      <c r="G553" s="49"/>
      <c r="H553" s="50"/>
      <c r="I553" s="51"/>
      <c r="J553" s="52"/>
      <c r="K553" s="50"/>
      <c r="L553" s="49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4"/>
    </row>
    <row r="554">
      <c r="A554" s="37"/>
      <c r="B554" s="38"/>
      <c r="C554" s="39"/>
      <c r="D554" s="39"/>
      <c r="E554" s="40"/>
      <c r="F554" s="41"/>
      <c r="G554" s="41"/>
      <c r="H554" s="42"/>
      <c r="I554" s="43"/>
      <c r="J554" s="44"/>
      <c r="K554" s="42"/>
      <c r="L554" s="41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1"/>
    </row>
    <row r="555">
      <c r="A555" s="45"/>
      <c r="B555" s="46"/>
      <c r="C555" s="47"/>
      <c r="D555" s="47"/>
      <c r="E555" s="48"/>
      <c r="F555" s="49"/>
      <c r="G555" s="49"/>
      <c r="H555" s="50"/>
      <c r="I555" s="51"/>
      <c r="J555" s="52"/>
      <c r="K555" s="50"/>
      <c r="L555" s="49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4"/>
    </row>
    <row r="556">
      <c r="A556" s="37"/>
      <c r="B556" s="38"/>
      <c r="C556" s="39"/>
      <c r="D556" s="39"/>
      <c r="E556" s="40"/>
      <c r="F556" s="41"/>
      <c r="G556" s="41"/>
      <c r="H556" s="42"/>
      <c r="I556" s="43"/>
      <c r="J556" s="44"/>
      <c r="K556" s="42"/>
      <c r="L556" s="41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1"/>
    </row>
    <row r="557">
      <c r="A557" s="45"/>
      <c r="B557" s="46"/>
      <c r="C557" s="47"/>
      <c r="D557" s="47"/>
      <c r="E557" s="48"/>
      <c r="F557" s="49"/>
      <c r="G557" s="49"/>
      <c r="H557" s="50"/>
      <c r="I557" s="51"/>
      <c r="J557" s="52"/>
      <c r="K557" s="50"/>
      <c r="L557" s="49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4"/>
    </row>
    <row r="558">
      <c r="A558" s="37"/>
      <c r="B558" s="38"/>
      <c r="C558" s="39"/>
      <c r="D558" s="39"/>
      <c r="E558" s="40"/>
      <c r="F558" s="41"/>
      <c r="G558" s="41"/>
      <c r="H558" s="42"/>
      <c r="I558" s="43"/>
      <c r="J558" s="44"/>
      <c r="K558" s="42"/>
      <c r="L558" s="41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1"/>
    </row>
    <row r="559">
      <c r="A559" s="45"/>
      <c r="B559" s="46"/>
      <c r="C559" s="47"/>
      <c r="D559" s="47"/>
      <c r="E559" s="48"/>
      <c r="F559" s="49"/>
      <c r="G559" s="49"/>
      <c r="H559" s="50"/>
      <c r="I559" s="51"/>
      <c r="J559" s="52"/>
      <c r="K559" s="50"/>
      <c r="L559" s="49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4"/>
    </row>
    <row r="560">
      <c r="A560" s="37"/>
      <c r="B560" s="38"/>
      <c r="C560" s="39"/>
      <c r="D560" s="39"/>
      <c r="E560" s="40"/>
      <c r="F560" s="41"/>
      <c r="G560" s="41"/>
      <c r="H560" s="42"/>
      <c r="I560" s="43"/>
      <c r="J560" s="44"/>
      <c r="K560" s="42"/>
      <c r="L560" s="41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1"/>
    </row>
    <row r="561">
      <c r="A561" s="45"/>
      <c r="B561" s="46"/>
      <c r="C561" s="47"/>
      <c r="D561" s="47"/>
      <c r="E561" s="48"/>
      <c r="F561" s="49"/>
      <c r="G561" s="49"/>
      <c r="H561" s="50"/>
      <c r="I561" s="51"/>
      <c r="J561" s="52"/>
      <c r="K561" s="50"/>
      <c r="L561" s="49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4"/>
    </row>
    <row r="562">
      <c r="A562" s="37"/>
      <c r="B562" s="38"/>
      <c r="C562" s="39"/>
      <c r="D562" s="39"/>
      <c r="E562" s="40"/>
      <c r="F562" s="41"/>
      <c r="G562" s="41"/>
      <c r="H562" s="42"/>
      <c r="I562" s="43"/>
      <c r="J562" s="44"/>
      <c r="K562" s="42"/>
      <c r="L562" s="41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1"/>
    </row>
    <row r="563">
      <c r="A563" s="45"/>
      <c r="B563" s="46"/>
      <c r="C563" s="47"/>
      <c r="D563" s="47"/>
      <c r="E563" s="48"/>
      <c r="F563" s="49"/>
      <c r="G563" s="49"/>
      <c r="H563" s="50"/>
      <c r="I563" s="51"/>
      <c r="J563" s="52"/>
      <c r="K563" s="50"/>
      <c r="L563" s="49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4"/>
    </row>
    <row r="564">
      <c r="A564" s="37"/>
      <c r="B564" s="38"/>
      <c r="C564" s="39"/>
      <c r="D564" s="39"/>
      <c r="E564" s="40"/>
      <c r="F564" s="41"/>
      <c r="G564" s="41"/>
      <c r="H564" s="42"/>
      <c r="I564" s="43"/>
      <c r="J564" s="44"/>
      <c r="K564" s="42"/>
      <c r="L564" s="41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1"/>
    </row>
    <row r="565">
      <c r="A565" s="45"/>
      <c r="B565" s="46"/>
      <c r="C565" s="47"/>
      <c r="D565" s="47"/>
      <c r="E565" s="48"/>
      <c r="F565" s="49"/>
      <c r="G565" s="49"/>
      <c r="H565" s="50"/>
      <c r="I565" s="51"/>
      <c r="J565" s="52"/>
      <c r="K565" s="50"/>
      <c r="L565" s="49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4"/>
    </row>
    <row r="566">
      <c r="A566" s="37"/>
      <c r="B566" s="38"/>
      <c r="C566" s="39"/>
      <c r="D566" s="39"/>
      <c r="E566" s="40"/>
      <c r="F566" s="41"/>
      <c r="G566" s="41"/>
      <c r="H566" s="42"/>
      <c r="I566" s="43"/>
      <c r="J566" s="44"/>
      <c r="K566" s="42"/>
      <c r="L566" s="41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1"/>
    </row>
    <row r="567">
      <c r="A567" s="45"/>
      <c r="B567" s="46"/>
      <c r="C567" s="47"/>
      <c r="D567" s="47"/>
      <c r="E567" s="48"/>
      <c r="F567" s="49"/>
      <c r="G567" s="49"/>
      <c r="H567" s="50"/>
      <c r="I567" s="51"/>
      <c r="J567" s="52"/>
      <c r="K567" s="50"/>
      <c r="L567" s="49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4"/>
    </row>
    <row r="568">
      <c r="A568" s="37"/>
      <c r="B568" s="38"/>
      <c r="C568" s="39"/>
      <c r="D568" s="39"/>
      <c r="E568" s="40"/>
      <c r="F568" s="41"/>
      <c r="G568" s="41"/>
      <c r="H568" s="42"/>
      <c r="I568" s="43"/>
      <c r="J568" s="44"/>
      <c r="K568" s="42"/>
      <c r="L568" s="41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1"/>
    </row>
    <row r="569">
      <c r="A569" s="45"/>
      <c r="B569" s="46"/>
      <c r="C569" s="47"/>
      <c r="D569" s="47"/>
      <c r="E569" s="48"/>
      <c r="F569" s="49"/>
      <c r="G569" s="49"/>
      <c r="H569" s="50"/>
      <c r="I569" s="51"/>
      <c r="J569" s="52"/>
      <c r="K569" s="50"/>
      <c r="L569" s="49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4"/>
    </row>
    <row r="570">
      <c r="A570" s="37"/>
      <c r="B570" s="38"/>
      <c r="C570" s="39"/>
      <c r="D570" s="39"/>
      <c r="E570" s="40"/>
      <c r="F570" s="41"/>
      <c r="G570" s="41"/>
      <c r="H570" s="42"/>
      <c r="I570" s="43"/>
      <c r="J570" s="44"/>
      <c r="K570" s="42"/>
      <c r="L570" s="41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1"/>
    </row>
    <row r="571">
      <c r="A571" s="45"/>
      <c r="B571" s="46"/>
      <c r="C571" s="47"/>
      <c r="D571" s="47"/>
      <c r="E571" s="48"/>
      <c r="F571" s="49"/>
      <c r="G571" s="49"/>
      <c r="H571" s="50"/>
      <c r="I571" s="51"/>
      <c r="J571" s="52"/>
      <c r="K571" s="50"/>
      <c r="L571" s="49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4"/>
    </row>
    <row r="572">
      <c r="A572" s="37"/>
      <c r="B572" s="38"/>
      <c r="C572" s="39"/>
      <c r="D572" s="39"/>
      <c r="E572" s="40"/>
      <c r="F572" s="41"/>
      <c r="G572" s="41"/>
      <c r="H572" s="42"/>
      <c r="I572" s="43"/>
      <c r="J572" s="44"/>
      <c r="K572" s="42"/>
      <c r="L572" s="41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1"/>
    </row>
    <row r="573">
      <c r="A573" s="45"/>
      <c r="B573" s="46"/>
      <c r="C573" s="47"/>
      <c r="D573" s="47"/>
      <c r="E573" s="48"/>
      <c r="F573" s="49"/>
      <c r="G573" s="49"/>
      <c r="H573" s="50"/>
      <c r="I573" s="51"/>
      <c r="J573" s="52"/>
      <c r="K573" s="50"/>
      <c r="L573" s="49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4"/>
    </row>
    <row r="574">
      <c r="A574" s="37"/>
      <c r="B574" s="38"/>
      <c r="C574" s="39"/>
      <c r="D574" s="39"/>
      <c r="E574" s="40"/>
      <c r="F574" s="41"/>
      <c r="G574" s="41"/>
      <c r="H574" s="42"/>
      <c r="I574" s="43"/>
      <c r="J574" s="44"/>
      <c r="K574" s="42"/>
      <c r="L574" s="41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1"/>
    </row>
    <row r="575">
      <c r="A575" s="45"/>
      <c r="B575" s="46"/>
      <c r="C575" s="47"/>
      <c r="D575" s="47"/>
      <c r="E575" s="48"/>
      <c r="F575" s="49"/>
      <c r="G575" s="49"/>
      <c r="H575" s="50"/>
      <c r="I575" s="51"/>
      <c r="J575" s="52"/>
      <c r="K575" s="50"/>
      <c r="L575" s="49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4"/>
    </row>
    <row r="576">
      <c r="A576" s="37"/>
      <c r="B576" s="38"/>
      <c r="C576" s="39"/>
      <c r="D576" s="39"/>
      <c r="E576" s="40"/>
      <c r="F576" s="41"/>
      <c r="G576" s="41"/>
      <c r="H576" s="42"/>
      <c r="I576" s="43"/>
      <c r="J576" s="44"/>
      <c r="K576" s="42"/>
      <c r="L576" s="41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1"/>
    </row>
    <row r="577">
      <c r="A577" s="45"/>
      <c r="B577" s="46"/>
      <c r="C577" s="47"/>
      <c r="D577" s="47"/>
      <c r="E577" s="48"/>
      <c r="F577" s="49"/>
      <c r="G577" s="49"/>
      <c r="H577" s="50"/>
      <c r="I577" s="51"/>
      <c r="J577" s="52"/>
      <c r="K577" s="50"/>
      <c r="L577" s="49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4"/>
    </row>
    <row r="578">
      <c r="A578" s="37"/>
      <c r="B578" s="38"/>
      <c r="C578" s="39"/>
      <c r="D578" s="39"/>
      <c r="E578" s="40"/>
      <c r="F578" s="41"/>
      <c r="G578" s="41"/>
      <c r="H578" s="42"/>
      <c r="I578" s="43"/>
      <c r="J578" s="44"/>
      <c r="K578" s="42"/>
      <c r="L578" s="41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1"/>
    </row>
    <row r="579">
      <c r="A579" s="45"/>
      <c r="B579" s="46"/>
      <c r="C579" s="47"/>
      <c r="D579" s="47"/>
      <c r="E579" s="48"/>
      <c r="F579" s="49"/>
      <c r="G579" s="49"/>
      <c r="H579" s="50"/>
      <c r="I579" s="51"/>
      <c r="J579" s="52"/>
      <c r="K579" s="50"/>
      <c r="L579" s="49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4"/>
    </row>
    <row r="580">
      <c r="A580" s="37"/>
      <c r="B580" s="38"/>
      <c r="C580" s="39"/>
      <c r="D580" s="39"/>
      <c r="E580" s="40"/>
      <c r="F580" s="41"/>
      <c r="G580" s="41"/>
      <c r="H580" s="42"/>
      <c r="I580" s="43"/>
      <c r="J580" s="44"/>
      <c r="K580" s="42"/>
      <c r="L580" s="41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1"/>
    </row>
    <row r="581">
      <c r="A581" s="45"/>
      <c r="B581" s="46"/>
      <c r="C581" s="47"/>
      <c r="D581" s="47"/>
      <c r="E581" s="48"/>
      <c r="F581" s="49"/>
      <c r="G581" s="49"/>
      <c r="H581" s="50"/>
      <c r="I581" s="51"/>
      <c r="J581" s="52"/>
      <c r="K581" s="50"/>
      <c r="L581" s="49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4"/>
    </row>
    <row r="582">
      <c r="A582" s="37"/>
      <c r="B582" s="38"/>
      <c r="C582" s="39"/>
      <c r="D582" s="39"/>
      <c r="E582" s="40"/>
      <c r="F582" s="41"/>
      <c r="G582" s="41"/>
      <c r="H582" s="42"/>
      <c r="I582" s="43"/>
      <c r="J582" s="44"/>
      <c r="K582" s="42"/>
      <c r="L582" s="41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1"/>
    </row>
    <row r="583">
      <c r="A583" s="45"/>
      <c r="B583" s="46"/>
      <c r="C583" s="47"/>
      <c r="D583" s="47"/>
      <c r="E583" s="48"/>
      <c r="F583" s="49"/>
      <c r="G583" s="49"/>
      <c r="H583" s="50"/>
      <c r="I583" s="51"/>
      <c r="J583" s="52"/>
      <c r="K583" s="50"/>
      <c r="L583" s="49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4"/>
    </row>
    <row r="584">
      <c r="A584" s="37"/>
      <c r="B584" s="38"/>
      <c r="C584" s="39"/>
      <c r="D584" s="39"/>
      <c r="E584" s="40"/>
      <c r="F584" s="41"/>
      <c r="G584" s="41"/>
      <c r="H584" s="42"/>
      <c r="I584" s="43"/>
      <c r="J584" s="44"/>
      <c r="K584" s="42"/>
      <c r="L584" s="41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1"/>
    </row>
    <row r="585">
      <c r="A585" s="45"/>
      <c r="B585" s="46"/>
      <c r="C585" s="47"/>
      <c r="D585" s="47"/>
      <c r="E585" s="48"/>
      <c r="F585" s="49"/>
      <c r="G585" s="49"/>
      <c r="H585" s="50"/>
      <c r="I585" s="51"/>
      <c r="J585" s="52"/>
      <c r="K585" s="50"/>
      <c r="L585" s="49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4"/>
    </row>
    <row r="586">
      <c r="A586" s="37"/>
      <c r="B586" s="38"/>
      <c r="C586" s="39"/>
      <c r="D586" s="39"/>
      <c r="E586" s="40"/>
      <c r="F586" s="41"/>
      <c r="G586" s="41"/>
      <c r="H586" s="42"/>
      <c r="I586" s="43"/>
      <c r="J586" s="44"/>
      <c r="K586" s="42"/>
      <c r="L586" s="41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1"/>
    </row>
    <row r="587">
      <c r="A587" s="45"/>
      <c r="B587" s="46"/>
      <c r="C587" s="47"/>
      <c r="D587" s="47"/>
      <c r="E587" s="48"/>
      <c r="F587" s="49"/>
      <c r="G587" s="49"/>
      <c r="H587" s="50"/>
      <c r="I587" s="51"/>
      <c r="J587" s="52"/>
      <c r="K587" s="50"/>
      <c r="L587" s="49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4"/>
    </row>
    <row r="588">
      <c r="A588" s="37"/>
      <c r="B588" s="38"/>
      <c r="C588" s="39"/>
      <c r="D588" s="39"/>
      <c r="E588" s="40"/>
      <c r="F588" s="41"/>
      <c r="G588" s="41"/>
      <c r="H588" s="42"/>
      <c r="I588" s="43"/>
      <c r="J588" s="44"/>
      <c r="K588" s="42"/>
      <c r="L588" s="41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1"/>
    </row>
    <row r="589">
      <c r="A589" s="45"/>
      <c r="B589" s="46"/>
      <c r="C589" s="47"/>
      <c r="D589" s="47"/>
      <c r="E589" s="48"/>
      <c r="F589" s="49"/>
      <c r="G589" s="49"/>
      <c r="H589" s="50"/>
      <c r="I589" s="51"/>
      <c r="J589" s="52"/>
      <c r="K589" s="50"/>
      <c r="L589" s="49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4"/>
    </row>
    <row r="590">
      <c r="A590" s="37"/>
      <c r="B590" s="38"/>
      <c r="C590" s="39"/>
      <c r="D590" s="39"/>
      <c r="E590" s="40"/>
      <c r="F590" s="41"/>
      <c r="G590" s="41"/>
      <c r="H590" s="42"/>
      <c r="I590" s="43"/>
      <c r="J590" s="44"/>
      <c r="K590" s="42"/>
      <c r="L590" s="41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1"/>
    </row>
    <row r="591">
      <c r="A591" s="45"/>
      <c r="B591" s="46"/>
      <c r="C591" s="47"/>
      <c r="D591" s="47"/>
      <c r="E591" s="48"/>
      <c r="F591" s="49"/>
      <c r="G591" s="49"/>
      <c r="H591" s="50"/>
      <c r="I591" s="51"/>
      <c r="J591" s="52"/>
      <c r="K591" s="50"/>
      <c r="L591" s="49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4"/>
    </row>
    <row r="592">
      <c r="A592" s="37"/>
      <c r="B592" s="38"/>
      <c r="C592" s="39"/>
      <c r="D592" s="39"/>
      <c r="E592" s="40"/>
      <c r="F592" s="41"/>
      <c r="G592" s="41"/>
      <c r="H592" s="42"/>
      <c r="I592" s="43"/>
      <c r="J592" s="44"/>
      <c r="K592" s="42"/>
      <c r="L592" s="41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1"/>
    </row>
    <row r="593">
      <c r="A593" s="45"/>
      <c r="B593" s="46"/>
      <c r="C593" s="47"/>
      <c r="D593" s="47"/>
      <c r="E593" s="48"/>
      <c r="F593" s="49"/>
      <c r="G593" s="49"/>
      <c r="H593" s="50"/>
      <c r="I593" s="51"/>
      <c r="J593" s="52"/>
      <c r="K593" s="50"/>
      <c r="L593" s="49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4"/>
    </row>
    <row r="594">
      <c r="A594" s="37"/>
      <c r="B594" s="38"/>
      <c r="C594" s="39"/>
      <c r="D594" s="39"/>
      <c r="E594" s="40"/>
      <c r="F594" s="41"/>
      <c r="G594" s="41"/>
      <c r="H594" s="42"/>
      <c r="I594" s="43"/>
      <c r="J594" s="44"/>
      <c r="K594" s="42"/>
      <c r="L594" s="41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1"/>
    </row>
    <row r="595">
      <c r="A595" s="45"/>
      <c r="B595" s="46"/>
      <c r="C595" s="47"/>
      <c r="D595" s="47"/>
      <c r="E595" s="48"/>
      <c r="F595" s="49"/>
      <c r="G595" s="49"/>
      <c r="H595" s="50"/>
      <c r="I595" s="51"/>
      <c r="J595" s="52"/>
      <c r="K595" s="50"/>
      <c r="L595" s="49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4"/>
    </row>
    <row r="596">
      <c r="A596" s="37"/>
      <c r="B596" s="38"/>
      <c r="C596" s="39"/>
      <c r="D596" s="39"/>
      <c r="E596" s="40"/>
      <c r="F596" s="41"/>
      <c r="G596" s="41"/>
      <c r="H596" s="42"/>
      <c r="I596" s="43"/>
      <c r="J596" s="44"/>
      <c r="K596" s="42"/>
      <c r="L596" s="41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1"/>
    </row>
    <row r="597">
      <c r="A597" s="45"/>
      <c r="B597" s="46"/>
      <c r="C597" s="47"/>
      <c r="D597" s="47"/>
      <c r="E597" s="48"/>
      <c r="F597" s="49"/>
      <c r="G597" s="49"/>
      <c r="H597" s="50"/>
      <c r="I597" s="51"/>
      <c r="J597" s="52"/>
      <c r="K597" s="50"/>
      <c r="L597" s="49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4"/>
    </row>
    <row r="598">
      <c r="A598" s="37"/>
      <c r="B598" s="38"/>
      <c r="C598" s="39"/>
      <c r="D598" s="39"/>
      <c r="E598" s="40"/>
      <c r="F598" s="41"/>
      <c r="G598" s="41"/>
      <c r="H598" s="42"/>
      <c r="I598" s="43"/>
      <c r="J598" s="44"/>
      <c r="K598" s="42"/>
      <c r="L598" s="41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1"/>
    </row>
    <row r="599">
      <c r="A599" s="45"/>
      <c r="B599" s="46"/>
      <c r="C599" s="47"/>
      <c r="D599" s="47"/>
      <c r="E599" s="48"/>
      <c r="F599" s="49"/>
      <c r="G599" s="49"/>
      <c r="H599" s="50"/>
      <c r="I599" s="51"/>
      <c r="J599" s="52"/>
      <c r="K599" s="50"/>
      <c r="L599" s="49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4"/>
    </row>
    <row r="600">
      <c r="A600" s="37"/>
      <c r="B600" s="38"/>
      <c r="C600" s="39"/>
      <c r="D600" s="39"/>
      <c r="E600" s="40"/>
      <c r="F600" s="41"/>
      <c r="G600" s="41"/>
      <c r="H600" s="42"/>
      <c r="I600" s="43"/>
      <c r="J600" s="44"/>
      <c r="K600" s="42"/>
      <c r="L600" s="41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1"/>
    </row>
    <row r="601">
      <c r="A601" s="45"/>
      <c r="B601" s="46"/>
      <c r="C601" s="47"/>
      <c r="D601" s="47"/>
      <c r="E601" s="48"/>
      <c r="F601" s="49"/>
      <c r="G601" s="49"/>
      <c r="H601" s="50"/>
      <c r="I601" s="51"/>
      <c r="J601" s="52"/>
      <c r="K601" s="50"/>
      <c r="L601" s="49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4"/>
    </row>
    <row r="602">
      <c r="A602" s="37"/>
      <c r="B602" s="38"/>
      <c r="C602" s="39"/>
      <c r="D602" s="39"/>
      <c r="E602" s="40"/>
      <c r="F602" s="41"/>
      <c r="G602" s="41"/>
      <c r="H602" s="42"/>
      <c r="I602" s="43"/>
      <c r="J602" s="44"/>
      <c r="K602" s="42"/>
      <c r="L602" s="41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1"/>
    </row>
    <row r="603">
      <c r="A603" s="45"/>
      <c r="B603" s="46"/>
      <c r="C603" s="47"/>
      <c r="D603" s="47"/>
      <c r="E603" s="48"/>
      <c r="F603" s="49"/>
      <c r="G603" s="49"/>
      <c r="H603" s="50"/>
      <c r="I603" s="51"/>
      <c r="J603" s="52"/>
      <c r="K603" s="50"/>
      <c r="L603" s="49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4"/>
    </row>
    <row r="604">
      <c r="A604" s="37"/>
      <c r="B604" s="38"/>
      <c r="C604" s="39"/>
      <c r="D604" s="39"/>
      <c r="E604" s="40"/>
      <c r="F604" s="41"/>
      <c r="G604" s="41"/>
      <c r="H604" s="42"/>
      <c r="I604" s="43"/>
      <c r="J604" s="44"/>
      <c r="K604" s="42"/>
      <c r="L604" s="41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1"/>
    </row>
    <row r="605">
      <c r="A605" s="45"/>
      <c r="B605" s="46"/>
      <c r="C605" s="47"/>
      <c r="D605" s="47"/>
      <c r="E605" s="48"/>
      <c r="F605" s="49"/>
      <c r="G605" s="49"/>
      <c r="H605" s="50"/>
      <c r="I605" s="51"/>
      <c r="J605" s="52"/>
      <c r="K605" s="50"/>
      <c r="L605" s="49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4"/>
    </row>
    <row r="606">
      <c r="A606" s="37"/>
      <c r="B606" s="38"/>
      <c r="C606" s="39"/>
      <c r="D606" s="39"/>
      <c r="E606" s="40"/>
      <c r="F606" s="41"/>
      <c r="G606" s="41"/>
      <c r="H606" s="42"/>
      <c r="I606" s="43"/>
      <c r="J606" s="44"/>
      <c r="K606" s="42"/>
      <c r="L606" s="41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1"/>
    </row>
    <row r="607">
      <c r="A607" s="45"/>
      <c r="B607" s="46"/>
      <c r="C607" s="47"/>
      <c r="D607" s="47"/>
      <c r="E607" s="48"/>
      <c r="F607" s="49"/>
      <c r="G607" s="49"/>
      <c r="H607" s="50"/>
      <c r="I607" s="51"/>
      <c r="J607" s="52"/>
      <c r="K607" s="50"/>
      <c r="L607" s="49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4"/>
    </row>
    <row r="608">
      <c r="A608" s="37"/>
      <c r="B608" s="38"/>
      <c r="C608" s="39"/>
      <c r="D608" s="39"/>
      <c r="E608" s="40"/>
      <c r="F608" s="41"/>
      <c r="G608" s="41"/>
      <c r="H608" s="42"/>
      <c r="I608" s="43"/>
      <c r="J608" s="44"/>
      <c r="K608" s="42"/>
      <c r="L608" s="41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1"/>
    </row>
    <row r="609">
      <c r="A609" s="45"/>
      <c r="B609" s="46"/>
      <c r="C609" s="47"/>
      <c r="D609" s="47"/>
      <c r="E609" s="48"/>
      <c r="F609" s="49"/>
      <c r="G609" s="49"/>
      <c r="H609" s="50"/>
      <c r="I609" s="51"/>
      <c r="J609" s="52"/>
      <c r="K609" s="50"/>
      <c r="L609" s="49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4"/>
    </row>
    <row r="610">
      <c r="A610" s="37"/>
      <c r="B610" s="38"/>
      <c r="C610" s="39"/>
      <c r="D610" s="39"/>
      <c r="E610" s="40"/>
      <c r="F610" s="41"/>
      <c r="G610" s="41"/>
      <c r="H610" s="42"/>
      <c r="I610" s="43"/>
      <c r="J610" s="44"/>
      <c r="K610" s="42"/>
      <c r="L610" s="41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1"/>
    </row>
    <row r="611">
      <c r="A611" s="45"/>
      <c r="B611" s="46"/>
      <c r="C611" s="47"/>
      <c r="D611" s="47"/>
      <c r="E611" s="48"/>
      <c r="F611" s="49"/>
      <c r="G611" s="49"/>
      <c r="H611" s="50"/>
      <c r="I611" s="51"/>
      <c r="J611" s="52"/>
      <c r="K611" s="50"/>
      <c r="L611" s="49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4"/>
    </row>
    <row r="612">
      <c r="A612" s="37"/>
      <c r="B612" s="38"/>
      <c r="C612" s="39"/>
      <c r="D612" s="39"/>
      <c r="E612" s="40"/>
      <c r="F612" s="41"/>
      <c r="G612" s="41"/>
      <c r="H612" s="42"/>
      <c r="I612" s="43"/>
      <c r="J612" s="44"/>
      <c r="K612" s="42"/>
      <c r="L612" s="41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1"/>
    </row>
    <row r="613">
      <c r="A613" s="45"/>
      <c r="B613" s="46"/>
      <c r="C613" s="47"/>
      <c r="D613" s="47"/>
      <c r="E613" s="48"/>
      <c r="F613" s="49"/>
      <c r="G613" s="49"/>
      <c r="H613" s="50"/>
      <c r="I613" s="51"/>
      <c r="J613" s="52"/>
      <c r="K613" s="50"/>
      <c r="L613" s="49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4"/>
    </row>
    <row r="614">
      <c r="A614" s="37"/>
      <c r="B614" s="38"/>
      <c r="C614" s="39"/>
      <c r="D614" s="39"/>
      <c r="E614" s="40"/>
      <c r="F614" s="41"/>
      <c r="G614" s="41"/>
      <c r="H614" s="42"/>
      <c r="I614" s="43"/>
      <c r="J614" s="44"/>
      <c r="K614" s="42"/>
      <c r="L614" s="41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1"/>
    </row>
    <row r="615">
      <c r="A615" s="45"/>
      <c r="B615" s="46"/>
      <c r="C615" s="47"/>
      <c r="D615" s="47"/>
      <c r="E615" s="48"/>
      <c r="F615" s="49"/>
      <c r="G615" s="49"/>
      <c r="H615" s="50"/>
      <c r="I615" s="51"/>
      <c r="J615" s="52"/>
      <c r="K615" s="50"/>
      <c r="L615" s="49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4"/>
    </row>
    <row r="616">
      <c r="A616" s="37"/>
      <c r="B616" s="38"/>
      <c r="C616" s="39"/>
      <c r="D616" s="39"/>
      <c r="E616" s="40"/>
      <c r="F616" s="41"/>
      <c r="G616" s="41"/>
      <c r="H616" s="42"/>
      <c r="I616" s="43"/>
      <c r="J616" s="44"/>
      <c r="K616" s="42"/>
      <c r="L616" s="41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1"/>
    </row>
    <row r="617">
      <c r="A617" s="45"/>
      <c r="B617" s="46"/>
      <c r="C617" s="47"/>
      <c r="D617" s="47"/>
      <c r="E617" s="48"/>
      <c r="F617" s="49"/>
      <c r="G617" s="49"/>
      <c r="H617" s="50"/>
      <c r="I617" s="51"/>
      <c r="J617" s="52"/>
      <c r="K617" s="50"/>
      <c r="L617" s="49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4"/>
    </row>
    <row r="618">
      <c r="A618" s="37"/>
      <c r="B618" s="38"/>
      <c r="C618" s="39"/>
      <c r="D618" s="39"/>
      <c r="E618" s="40"/>
      <c r="F618" s="41"/>
      <c r="G618" s="41"/>
      <c r="H618" s="42"/>
      <c r="I618" s="43"/>
      <c r="J618" s="44"/>
      <c r="K618" s="42"/>
      <c r="L618" s="41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1"/>
    </row>
    <row r="619">
      <c r="A619" s="45"/>
      <c r="B619" s="46"/>
      <c r="C619" s="47"/>
      <c r="D619" s="47"/>
      <c r="E619" s="48"/>
      <c r="F619" s="49"/>
      <c r="G619" s="49"/>
      <c r="H619" s="50"/>
      <c r="I619" s="51"/>
      <c r="J619" s="52"/>
      <c r="K619" s="50"/>
      <c r="L619" s="49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4"/>
    </row>
    <row r="620">
      <c r="A620" s="37"/>
      <c r="B620" s="38"/>
      <c r="C620" s="39"/>
      <c r="D620" s="39"/>
      <c r="E620" s="40"/>
      <c r="F620" s="41"/>
      <c r="G620" s="41"/>
      <c r="H620" s="42"/>
      <c r="I620" s="43"/>
      <c r="J620" s="44"/>
      <c r="K620" s="42"/>
      <c r="L620" s="41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1"/>
    </row>
    <row r="621">
      <c r="A621" s="45"/>
      <c r="B621" s="46"/>
      <c r="C621" s="47"/>
      <c r="D621" s="47"/>
      <c r="E621" s="48"/>
      <c r="F621" s="49"/>
      <c r="G621" s="49"/>
      <c r="H621" s="50"/>
      <c r="I621" s="51"/>
      <c r="J621" s="52"/>
      <c r="K621" s="50"/>
      <c r="L621" s="49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4"/>
    </row>
    <row r="622">
      <c r="A622" s="37"/>
      <c r="B622" s="38"/>
      <c r="C622" s="39"/>
      <c r="D622" s="39"/>
      <c r="E622" s="40"/>
      <c r="F622" s="41"/>
      <c r="G622" s="41"/>
      <c r="H622" s="42"/>
      <c r="I622" s="43"/>
      <c r="J622" s="44"/>
      <c r="K622" s="42"/>
      <c r="L622" s="41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1"/>
    </row>
    <row r="623">
      <c r="A623" s="45"/>
      <c r="B623" s="46"/>
      <c r="C623" s="47"/>
      <c r="D623" s="47"/>
      <c r="E623" s="48"/>
      <c r="F623" s="49"/>
      <c r="G623" s="49"/>
      <c r="H623" s="50"/>
      <c r="I623" s="51"/>
      <c r="J623" s="52"/>
      <c r="K623" s="50"/>
      <c r="L623" s="49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4"/>
    </row>
    <row r="624">
      <c r="A624" s="37"/>
      <c r="B624" s="38"/>
      <c r="C624" s="39"/>
      <c r="D624" s="39"/>
      <c r="E624" s="40"/>
      <c r="F624" s="41"/>
      <c r="G624" s="41"/>
      <c r="H624" s="42"/>
      <c r="I624" s="43"/>
      <c r="J624" s="44"/>
      <c r="K624" s="42"/>
      <c r="L624" s="41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1"/>
    </row>
    <row r="625">
      <c r="A625" s="45"/>
      <c r="B625" s="46"/>
      <c r="C625" s="47"/>
      <c r="D625" s="47"/>
      <c r="E625" s="48"/>
      <c r="F625" s="49"/>
      <c r="G625" s="49"/>
      <c r="H625" s="50"/>
      <c r="I625" s="51"/>
      <c r="J625" s="52"/>
      <c r="K625" s="50"/>
      <c r="L625" s="49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4"/>
    </row>
    <row r="626">
      <c r="A626" s="37"/>
      <c r="B626" s="38"/>
      <c r="C626" s="39"/>
      <c r="D626" s="39"/>
      <c r="E626" s="40"/>
      <c r="F626" s="41"/>
      <c r="G626" s="41"/>
      <c r="H626" s="42"/>
      <c r="I626" s="43"/>
      <c r="J626" s="44"/>
      <c r="K626" s="42"/>
      <c r="L626" s="41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1"/>
    </row>
    <row r="627">
      <c r="A627" s="45"/>
      <c r="B627" s="46"/>
      <c r="C627" s="47"/>
      <c r="D627" s="47"/>
      <c r="E627" s="48"/>
      <c r="F627" s="49"/>
      <c r="G627" s="49"/>
      <c r="H627" s="50"/>
      <c r="I627" s="51"/>
      <c r="J627" s="52"/>
      <c r="K627" s="50"/>
      <c r="L627" s="49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4"/>
    </row>
    <row r="628">
      <c r="A628" s="37"/>
      <c r="B628" s="38"/>
      <c r="C628" s="39"/>
      <c r="D628" s="39"/>
      <c r="E628" s="40"/>
      <c r="F628" s="41"/>
      <c r="G628" s="41"/>
      <c r="H628" s="42"/>
      <c r="I628" s="43"/>
      <c r="J628" s="44"/>
      <c r="K628" s="42"/>
      <c r="L628" s="41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1"/>
    </row>
    <row r="629">
      <c r="A629" s="45"/>
      <c r="B629" s="46"/>
      <c r="C629" s="47"/>
      <c r="D629" s="47"/>
      <c r="E629" s="48"/>
      <c r="F629" s="49"/>
      <c r="G629" s="49"/>
      <c r="H629" s="50"/>
      <c r="I629" s="51"/>
      <c r="J629" s="52"/>
      <c r="K629" s="50"/>
      <c r="L629" s="49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4"/>
    </row>
    <row r="630">
      <c r="A630" s="37"/>
      <c r="B630" s="38"/>
      <c r="C630" s="39"/>
      <c r="D630" s="39"/>
      <c r="E630" s="40"/>
      <c r="F630" s="41"/>
      <c r="G630" s="41"/>
      <c r="H630" s="42"/>
      <c r="I630" s="43"/>
      <c r="J630" s="44"/>
      <c r="K630" s="42"/>
      <c r="L630" s="41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1"/>
    </row>
    <row r="631">
      <c r="A631" s="45"/>
      <c r="B631" s="46"/>
      <c r="C631" s="47"/>
      <c r="D631" s="47"/>
      <c r="E631" s="48"/>
      <c r="F631" s="49"/>
      <c r="G631" s="49"/>
      <c r="H631" s="50"/>
      <c r="I631" s="51"/>
      <c r="J631" s="52"/>
      <c r="K631" s="50"/>
      <c r="L631" s="49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4"/>
    </row>
    <row r="632">
      <c r="A632" s="37"/>
      <c r="B632" s="38"/>
      <c r="C632" s="39"/>
      <c r="D632" s="39"/>
      <c r="E632" s="40"/>
      <c r="F632" s="41"/>
      <c r="G632" s="41"/>
      <c r="H632" s="42"/>
      <c r="I632" s="43"/>
      <c r="J632" s="44"/>
      <c r="K632" s="42"/>
      <c r="L632" s="41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1"/>
    </row>
    <row r="633">
      <c r="A633" s="45"/>
      <c r="B633" s="46"/>
      <c r="C633" s="47"/>
      <c r="D633" s="47"/>
      <c r="E633" s="48"/>
      <c r="F633" s="49"/>
      <c r="G633" s="49"/>
      <c r="H633" s="50"/>
      <c r="I633" s="51"/>
      <c r="J633" s="52"/>
      <c r="K633" s="50"/>
      <c r="L633" s="49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4"/>
    </row>
    <row r="634">
      <c r="A634" s="37"/>
      <c r="B634" s="38"/>
      <c r="C634" s="39"/>
      <c r="D634" s="39"/>
      <c r="E634" s="40"/>
      <c r="F634" s="41"/>
      <c r="G634" s="41"/>
      <c r="H634" s="42"/>
      <c r="I634" s="43"/>
      <c r="J634" s="44"/>
      <c r="K634" s="42"/>
      <c r="L634" s="41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1"/>
    </row>
    <row r="635">
      <c r="A635" s="45"/>
      <c r="B635" s="46"/>
      <c r="C635" s="47"/>
      <c r="D635" s="47"/>
      <c r="E635" s="48"/>
      <c r="F635" s="49"/>
      <c r="G635" s="49"/>
      <c r="H635" s="50"/>
      <c r="I635" s="51"/>
      <c r="J635" s="52"/>
      <c r="K635" s="50"/>
      <c r="L635" s="49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4"/>
    </row>
    <row r="636">
      <c r="A636" s="37"/>
      <c r="B636" s="38"/>
      <c r="C636" s="39"/>
      <c r="D636" s="39"/>
      <c r="E636" s="40"/>
      <c r="F636" s="41"/>
      <c r="G636" s="41"/>
      <c r="H636" s="42"/>
      <c r="I636" s="43"/>
      <c r="J636" s="44"/>
      <c r="K636" s="42"/>
      <c r="L636" s="41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1"/>
    </row>
    <row r="637">
      <c r="A637" s="45"/>
      <c r="B637" s="46"/>
      <c r="C637" s="47"/>
      <c r="D637" s="47"/>
      <c r="E637" s="48"/>
      <c r="F637" s="49"/>
      <c r="G637" s="49"/>
      <c r="H637" s="50"/>
      <c r="I637" s="51"/>
      <c r="J637" s="52"/>
      <c r="K637" s="50"/>
      <c r="L637" s="49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4"/>
    </row>
    <row r="638">
      <c r="A638" s="37"/>
      <c r="B638" s="38"/>
      <c r="C638" s="39"/>
      <c r="D638" s="39"/>
      <c r="E638" s="40"/>
      <c r="F638" s="41"/>
      <c r="G638" s="41"/>
      <c r="H638" s="42"/>
      <c r="I638" s="43"/>
      <c r="J638" s="44"/>
      <c r="K638" s="42"/>
      <c r="L638" s="41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1"/>
    </row>
    <row r="639">
      <c r="A639" s="45"/>
      <c r="B639" s="46"/>
      <c r="C639" s="47"/>
      <c r="D639" s="47"/>
      <c r="E639" s="48"/>
      <c r="F639" s="49"/>
      <c r="G639" s="49"/>
      <c r="H639" s="50"/>
      <c r="I639" s="51"/>
      <c r="J639" s="52"/>
      <c r="K639" s="50"/>
      <c r="L639" s="49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4"/>
    </row>
    <row r="640">
      <c r="A640" s="37"/>
      <c r="B640" s="38"/>
      <c r="C640" s="39"/>
      <c r="D640" s="39"/>
      <c r="E640" s="40"/>
      <c r="F640" s="41"/>
      <c r="G640" s="41"/>
      <c r="H640" s="42"/>
      <c r="I640" s="43"/>
      <c r="J640" s="44"/>
      <c r="K640" s="42"/>
      <c r="L640" s="41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1"/>
    </row>
    <row r="641">
      <c r="A641" s="45"/>
      <c r="B641" s="46"/>
      <c r="C641" s="47"/>
      <c r="D641" s="47"/>
      <c r="E641" s="48"/>
      <c r="F641" s="49"/>
      <c r="G641" s="49"/>
      <c r="H641" s="50"/>
      <c r="I641" s="51"/>
      <c r="J641" s="52"/>
      <c r="K641" s="50"/>
      <c r="L641" s="49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4"/>
    </row>
    <row r="642">
      <c r="A642" s="37"/>
      <c r="B642" s="38"/>
      <c r="C642" s="39"/>
      <c r="D642" s="39"/>
      <c r="E642" s="40"/>
      <c r="F642" s="41"/>
      <c r="G642" s="41"/>
      <c r="H642" s="42"/>
      <c r="I642" s="43"/>
      <c r="J642" s="44"/>
      <c r="K642" s="42"/>
      <c r="L642" s="41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1"/>
    </row>
    <row r="643">
      <c r="A643" s="45"/>
      <c r="B643" s="46"/>
      <c r="C643" s="47"/>
      <c r="D643" s="47"/>
      <c r="E643" s="48"/>
      <c r="F643" s="49"/>
      <c r="G643" s="49"/>
      <c r="H643" s="50"/>
      <c r="I643" s="51"/>
      <c r="J643" s="52"/>
      <c r="K643" s="50"/>
      <c r="L643" s="49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4"/>
    </row>
    <row r="644">
      <c r="A644" s="37"/>
      <c r="B644" s="38"/>
      <c r="C644" s="39"/>
      <c r="D644" s="39"/>
      <c r="E644" s="40"/>
      <c r="F644" s="41"/>
      <c r="G644" s="41"/>
      <c r="H644" s="42"/>
      <c r="I644" s="43"/>
      <c r="J644" s="44"/>
      <c r="K644" s="42"/>
      <c r="L644" s="41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1"/>
    </row>
    <row r="645">
      <c r="A645" s="45"/>
      <c r="B645" s="46"/>
      <c r="C645" s="47"/>
      <c r="D645" s="47"/>
      <c r="E645" s="48"/>
      <c r="F645" s="49"/>
      <c r="G645" s="49"/>
      <c r="H645" s="50"/>
      <c r="I645" s="51"/>
      <c r="J645" s="52"/>
      <c r="K645" s="50"/>
      <c r="L645" s="49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4"/>
    </row>
    <row r="646">
      <c r="A646" s="37"/>
      <c r="B646" s="38"/>
      <c r="C646" s="39"/>
      <c r="D646" s="39"/>
      <c r="E646" s="40"/>
      <c r="F646" s="41"/>
      <c r="G646" s="41"/>
      <c r="H646" s="42"/>
      <c r="I646" s="43"/>
      <c r="J646" s="44"/>
      <c r="K646" s="42"/>
      <c r="L646" s="41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1"/>
    </row>
    <row r="647">
      <c r="A647" s="45"/>
      <c r="B647" s="46"/>
      <c r="C647" s="47"/>
      <c r="D647" s="47"/>
      <c r="E647" s="48"/>
      <c r="F647" s="49"/>
      <c r="G647" s="49"/>
      <c r="H647" s="50"/>
      <c r="I647" s="51"/>
      <c r="J647" s="52"/>
      <c r="K647" s="50"/>
      <c r="L647" s="49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4"/>
    </row>
    <row r="648">
      <c r="A648" s="37"/>
      <c r="B648" s="38"/>
      <c r="C648" s="39"/>
      <c r="D648" s="39"/>
      <c r="E648" s="40"/>
      <c r="F648" s="41"/>
      <c r="G648" s="41"/>
      <c r="H648" s="42"/>
      <c r="I648" s="43"/>
      <c r="J648" s="44"/>
      <c r="K648" s="42"/>
      <c r="L648" s="41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1"/>
    </row>
    <row r="649">
      <c r="A649" s="45"/>
      <c r="B649" s="46"/>
      <c r="C649" s="47"/>
      <c r="D649" s="47"/>
      <c r="E649" s="48"/>
      <c r="F649" s="49"/>
      <c r="G649" s="49"/>
      <c r="H649" s="50"/>
      <c r="I649" s="51"/>
      <c r="J649" s="52"/>
      <c r="K649" s="50"/>
      <c r="L649" s="49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4"/>
    </row>
    <row r="650">
      <c r="A650" s="37"/>
      <c r="B650" s="38"/>
      <c r="C650" s="39"/>
      <c r="D650" s="39"/>
      <c r="E650" s="40"/>
      <c r="F650" s="41"/>
      <c r="G650" s="41"/>
      <c r="H650" s="42"/>
      <c r="I650" s="43"/>
      <c r="J650" s="44"/>
      <c r="K650" s="42"/>
      <c r="L650" s="41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1"/>
    </row>
    <row r="651">
      <c r="A651" s="45"/>
      <c r="B651" s="46"/>
      <c r="C651" s="47"/>
      <c r="D651" s="47"/>
      <c r="E651" s="48"/>
      <c r="F651" s="49"/>
      <c r="G651" s="49"/>
      <c r="H651" s="50"/>
      <c r="I651" s="51"/>
      <c r="J651" s="52"/>
      <c r="K651" s="50"/>
      <c r="L651" s="49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4"/>
    </row>
    <row r="652">
      <c r="A652" s="37"/>
      <c r="B652" s="38"/>
      <c r="C652" s="39"/>
      <c r="D652" s="39"/>
      <c r="E652" s="40"/>
      <c r="F652" s="41"/>
      <c r="G652" s="41"/>
      <c r="H652" s="42"/>
      <c r="I652" s="43"/>
      <c r="J652" s="44"/>
      <c r="K652" s="42"/>
      <c r="L652" s="41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1"/>
    </row>
    <row r="653">
      <c r="A653" s="45"/>
      <c r="B653" s="46"/>
      <c r="C653" s="47"/>
      <c r="D653" s="47"/>
      <c r="E653" s="48"/>
      <c r="F653" s="49"/>
      <c r="G653" s="49"/>
      <c r="H653" s="50"/>
      <c r="I653" s="51"/>
      <c r="J653" s="52"/>
      <c r="K653" s="50"/>
      <c r="L653" s="49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4"/>
    </row>
    <row r="654">
      <c r="A654" s="37"/>
      <c r="B654" s="38"/>
      <c r="C654" s="39"/>
      <c r="D654" s="39"/>
      <c r="E654" s="40"/>
      <c r="F654" s="41"/>
      <c r="G654" s="41"/>
      <c r="H654" s="42"/>
      <c r="I654" s="43"/>
      <c r="J654" s="44"/>
      <c r="K654" s="42"/>
      <c r="L654" s="41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1"/>
    </row>
    <row r="655">
      <c r="A655" s="45"/>
      <c r="B655" s="46"/>
      <c r="C655" s="47"/>
      <c r="D655" s="47"/>
      <c r="E655" s="48"/>
      <c r="F655" s="49"/>
      <c r="G655" s="49"/>
      <c r="H655" s="50"/>
      <c r="I655" s="51"/>
      <c r="J655" s="52"/>
      <c r="K655" s="50"/>
      <c r="L655" s="49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4"/>
    </row>
    <row r="656">
      <c r="A656" s="37"/>
      <c r="B656" s="38"/>
      <c r="C656" s="39"/>
      <c r="D656" s="39"/>
      <c r="E656" s="40"/>
      <c r="F656" s="41"/>
      <c r="G656" s="41"/>
      <c r="H656" s="42"/>
      <c r="I656" s="43"/>
      <c r="J656" s="44"/>
      <c r="K656" s="42"/>
      <c r="L656" s="41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1"/>
    </row>
    <row r="657">
      <c r="A657" s="45"/>
      <c r="B657" s="46"/>
      <c r="C657" s="47"/>
      <c r="D657" s="47"/>
      <c r="E657" s="48"/>
      <c r="F657" s="49"/>
      <c r="G657" s="49"/>
      <c r="H657" s="50"/>
      <c r="I657" s="51"/>
      <c r="J657" s="52"/>
      <c r="K657" s="50"/>
      <c r="L657" s="49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4"/>
    </row>
    <row r="658">
      <c r="A658" s="37"/>
      <c r="B658" s="38"/>
      <c r="C658" s="39"/>
      <c r="D658" s="39"/>
      <c r="E658" s="40"/>
      <c r="F658" s="41"/>
      <c r="G658" s="41"/>
      <c r="H658" s="42"/>
      <c r="I658" s="43"/>
      <c r="J658" s="44"/>
      <c r="K658" s="42"/>
      <c r="L658" s="41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1"/>
    </row>
    <row r="659">
      <c r="A659" s="45"/>
      <c r="B659" s="46"/>
      <c r="C659" s="47"/>
      <c r="D659" s="47"/>
      <c r="E659" s="48"/>
      <c r="F659" s="49"/>
      <c r="G659" s="49"/>
      <c r="H659" s="50"/>
      <c r="I659" s="51"/>
      <c r="J659" s="52"/>
      <c r="K659" s="50"/>
      <c r="L659" s="49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4"/>
    </row>
    <row r="660">
      <c r="A660" s="37"/>
      <c r="B660" s="38"/>
      <c r="C660" s="39"/>
      <c r="D660" s="39"/>
      <c r="E660" s="40"/>
      <c r="F660" s="41"/>
      <c r="G660" s="41"/>
      <c r="H660" s="42"/>
      <c r="I660" s="43"/>
      <c r="J660" s="44"/>
      <c r="K660" s="42"/>
      <c r="L660" s="41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1"/>
    </row>
    <row r="661">
      <c r="A661" s="45"/>
      <c r="B661" s="46"/>
      <c r="C661" s="47"/>
      <c r="D661" s="47"/>
      <c r="E661" s="48"/>
      <c r="F661" s="49"/>
      <c r="G661" s="49"/>
      <c r="H661" s="50"/>
      <c r="I661" s="51"/>
      <c r="J661" s="52"/>
      <c r="K661" s="50"/>
      <c r="L661" s="49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4"/>
    </row>
    <row r="662">
      <c r="A662" s="37"/>
      <c r="B662" s="38"/>
      <c r="C662" s="39"/>
      <c r="D662" s="39"/>
      <c r="E662" s="40"/>
      <c r="F662" s="41"/>
      <c r="G662" s="41"/>
      <c r="H662" s="42"/>
      <c r="I662" s="43"/>
      <c r="J662" s="44"/>
      <c r="K662" s="42"/>
      <c r="L662" s="41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1"/>
    </row>
    <row r="663">
      <c r="A663" s="45"/>
      <c r="B663" s="46"/>
      <c r="C663" s="47"/>
      <c r="D663" s="47"/>
      <c r="E663" s="48"/>
      <c r="F663" s="49"/>
      <c r="G663" s="49"/>
      <c r="H663" s="50"/>
      <c r="I663" s="51"/>
      <c r="J663" s="52"/>
      <c r="K663" s="50"/>
      <c r="L663" s="49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4"/>
    </row>
    <row r="664">
      <c r="A664" s="37"/>
      <c r="B664" s="38"/>
      <c r="C664" s="39"/>
      <c r="D664" s="39"/>
      <c r="E664" s="40"/>
      <c r="F664" s="41"/>
      <c r="G664" s="41"/>
      <c r="H664" s="42"/>
      <c r="I664" s="43"/>
      <c r="J664" s="44"/>
      <c r="K664" s="42"/>
      <c r="L664" s="41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1"/>
    </row>
    <row r="665">
      <c r="A665" s="45"/>
      <c r="B665" s="46"/>
      <c r="C665" s="47"/>
      <c r="D665" s="47"/>
      <c r="E665" s="48"/>
      <c r="F665" s="49"/>
      <c r="G665" s="49"/>
      <c r="H665" s="50"/>
      <c r="I665" s="51"/>
      <c r="J665" s="52"/>
      <c r="K665" s="50"/>
      <c r="L665" s="49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4"/>
    </row>
    <row r="666">
      <c r="A666" s="37"/>
      <c r="B666" s="38"/>
      <c r="C666" s="39"/>
      <c r="D666" s="39"/>
      <c r="E666" s="40"/>
      <c r="F666" s="41"/>
      <c r="G666" s="41"/>
      <c r="H666" s="42"/>
      <c r="I666" s="43"/>
      <c r="J666" s="44"/>
      <c r="K666" s="42"/>
      <c r="L666" s="41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1"/>
    </row>
    <row r="667">
      <c r="A667" s="45"/>
      <c r="B667" s="46"/>
      <c r="C667" s="47"/>
      <c r="D667" s="47"/>
      <c r="E667" s="48"/>
      <c r="F667" s="49"/>
      <c r="G667" s="49"/>
      <c r="H667" s="50"/>
      <c r="I667" s="51"/>
      <c r="J667" s="52"/>
      <c r="K667" s="50"/>
      <c r="L667" s="49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4"/>
    </row>
    <row r="668">
      <c r="A668" s="37"/>
      <c r="B668" s="38"/>
      <c r="C668" s="39"/>
      <c r="D668" s="39"/>
      <c r="E668" s="40"/>
      <c r="F668" s="41"/>
      <c r="G668" s="41"/>
      <c r="H668" s="42"/>
      <c r="I668" s="43"/>
      <c r="J668" s="44"/>
      <c r="K668" s="42"/>
      <c r="L668" s="41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1"/>
    </row>
    <row r="669">
      <c r="A669" s="45"/>
      <c r="B669" s="46"/>
      <c r="C669" s="47"/>
      <c r="D669" s="47"/>
      <c r="E669" s="48"/>
      <c r="F669" s="49"/>
      <c r="G669" s="49"/>
      <c r="H669" s="50"/>
      <c r="I669" s="51"/>
      <c r="J669" s="52"/>
      <c r="K669" s="50"/>
      <c r="L669" s="49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4"/>
    </row>
    <row r="670">
      <c r="A670" s="37"/>
      <c r="B670" s="38"/>
      <c r="C670" s="39"/>
      <c r="D670" s="39"/>
      <c r="E670" s="40"/>
      <c r="F670" s="41"/>
      <c r="G670" s="41"/>
      <c r="H670" s="42"/>
      <c r="I670" s="43"/>
      <c r="J670" s="44"/>
      <c r="K670" s="42"/>
      <c r="L670" s="41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1"/>
    </row>
    <row r="671">
      <c r="A671" s="45"/>
      <c r="B671" s="46"/>
      <c r="C671" s="47"/>
      <c r="D671" s="47"/>
      <c r="E671" s="48"/>
      <c r="F671" s="49"/>
      <c r="G671" s="49"/>
      <c r="H671" s="50"/>
      <c r="I671" s="51"/>
      <c r="J671" s="52"/>
      <c r="K671" s="50"/>
      <c r="L671" s="49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4"/>
    </row>
    <row r="672">
      <c r="A672" s="37"/>
      <c r="B672" s="38"/>
      <c r="C672" s="39"/>
      <c r="D672" s="39"/>
      <c r="E672" s="40"/>
      <c r="F672" s="41"/>
      <c r="G672" s="41"/>
      <c r="H672" s="42"/>
      <c r="I672" s="43"/>
      <c r="J672" s="44"/>
      <c r="K672" s="42"/>
      <c r="L672" s="41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1"/>
    </row>
    <row r="673">
      <c r="A673" s="45"/>
      <c r="B673" s="46"/>
      <c r="C673" s="47"/>
      <c r="D673" s="47"/>
      <c r="E673" s="48"/>
      <c r="F673" s="49"/>
      <c r="G673" s="49"/>
      <c r="H673" s="50"/>
      <c r="I673" s="51"/>
      <c r="J673" s="52"/>
      <c r="K673" s="50"/>
      <c r="L673" s="49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4"/>
    </row>
    <row r="674">
      <c r="A674" s="37"/>
      <c r="B674" s="38"/>
      <c r="C674" s="39"/>
      <c r="D674" s="39"/>
      <c r="E674" s="40"/>
      <c r="F674" s="41"/>
      <c r="G674" s="41"/>
      <c r="H674" s="42"/>
      <c r="I674" s="43"/>
      <c r="J674" s="44"/>
      <c r="K674" s="42"/>
      <c r="L674" s="41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1"/>
    </row>
    <row r="675">
      <c r="A675" s="45"/>
      <c r="B675" s="46"/>
      <c r="C675" s="47"/>
      <c r="D675" s="47"/>
      <c r="E675" s="48"/>
      <c r="F675" s="49"/>
      <c r="G675" s="49"/>
      <c r="H675" s="50"/>
      <c r="I675" s="51"/>
      <c r="J675" s="52"/>
      <c r="K675" s="50"/>
      <c r="L675" s="49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4"/>
    </row>
    <row r="676">
      <c r="A676" s="37"/>
      <c r="B676" s="38"/>
      <c r="C676" s="39"/>
      <c r="D676" s="39"/>
      <c r="E676" s="40"/>
      <c r="F676" s="41"/>
      <c r="G676" s="41"/>
      <c r="H676" s="42"/>
      <c r="I676" s="43"/>
      <c r="J676" s="44"/>
      <c r="K676" s="42"/>
      <c r="L676" s="41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1"/>
    </row>
    <row r="677">
      <c r="A677" s="45"/>
      <c r="B677" s="46"/>
      <c r="C677" s="47"/>
      <c r="D677" s="47"/>
      <c r="E677" s="48"/>
      <c r="F677" s="49"/>
      <c r="G677" s="49"/>
      <c r="H677" s="50"/>
      <c r="I677" s="51"/>
      <c r="J677" s="52"/>
      <c r="K677" s="50"/>
      <c r="L677" s="49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4"/>
    </row>
    <row r="678">
      <c r="A678" s="37"/>
      <c r="B678" s="38"/>
      <c r="C678" s="39"/>
      <c r="D678" s="39"/>
      <c r="E678" s="40"/>
      <c r="F678" s="41"/>
      <c r="G678" s="41"/>
      <c r="H678" s="42"/>
      <c r="I678" s="43"/>
      <c r="J678" s="44"/>
      <c r="K678" s="42"/>
      <c r="L678" s="41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1"/>
    </row>
    <row r="679">
      <c r="A679" s="45"/>
      <c r="B679" s="46"/>
      <c r="C679" s="47"/>
      <c r="D679" s="47"/>
      <c r="E679" s="48"/>
      <c r="F679" s="49"/>
      <c r="G679" s="49"/>
      <c r="H679" s="50"/>
      <c r="I679" s="51"/>
      <c r="J679" s="52"/>
      <c r="K679" s="50"/>
      <c r="L679" s="49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4"/>
    </row>
    <row r="680">
      <c r="A680" s="37"/>
      <c r="B680" s="38"/>
      <c r="C680" s="39"/>
      <c r="D680" s="39"/>
      <c r="E680" s="40"/>
      <c r="F680" s="41"/>
      <c r="G680" s="41"/>
      <c r="H680" s="42"/>
      <c r="I680" s="43"/>
      <c r="J680" s="44"/>
      <c r="K680" s="42"/>
      <c r="L680" s="41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1"/>
    </row>
    <row r="681">
      <c r="A681" s="45"/>
      <c r="B681" s="46"/>
      <c r="C681" s="47"/>
      <c r="D681" s="47"/>
      <c r="E681" s="48"/>
      <c r="F681" s="49"/>
      <c r="G681" s="49"/>
      <c r="H681" s="50"/>
      <c r="I681" s="51"/>
      <c r="J681" s="52"/>
      <c r="K681" s="50"/>
      <c r="L681" s="49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4"/>
    </row>
    <row r="682">
      <c r="A682" s="37"/>
      <c r="B682" s="38"/>
      <c r="C682" s="39"/>
      <c r="D682" s="39"/>
      <c r="E682" s="40"/>
      <c r="F682" s="41"/>
      <c r="G682" s="41"/>
      <c r="H682" s="42"/>
      <c r="I682" s="43"/>
      <c r="J682" s="44"/>
      <c r="K682" s="42"/>
      <c r="L682" s="41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1"/>
    </row>
    <row r="683">
      <c r="A683" s="45"/>
      <c r="B683" s="46"/>
      <c r="C683" s="47"/>
      <c r="D683" s="47"/>
      <c r="E683" s="48"/>
      <c r="F683" s="49"/>
      <c r="G683" s="49"/>
      <c r="H683" s="50"/>
      <c r="I683" s="51"/>
      <c r="J683" s="52"/>
      <c r="K683" s="50"/>
      <c r="L683" s="49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4"/>
    </row>
    <row r="684">
      <c r="A684" s="37"/>
      <c r="B684" s="38"/>
      <c r="C684" s="39"/>
      <c r="D684" s="39"/>
      <c r="E684" s="40"/>
      <c r="F684" s="41"/>
      <c r="G684" s="41"/>
      <c r="H684" s="42"/>
      <c r="I684" s="43"/>
      <c r="J684" s="44"/>
      <c r="K684" s="42"/>
      <c r="L684" s="41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1"/>
    </row>
    <row r="685">
      <c r="A685" s="45"/>
      <c r="B685" s="46"/>
      <c r="C685" s="47"/>
      <c r="D685" s="47"/>
      <c r="E685" s="48"/>
      <c r="F685" s="49"/>
      <c r="G685" s="49"/>
      <c r="H685" s="50"/>
      <c r="I685" s="51"/>
      <c r="J685" s="52"/>
      <c r="K685" s="50"/>
      <c r="L685" s="49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4"/>
    </row>
    <row r="686">
      <c r="A686" s="37"/>
      <c r="B686" s="38"/>
      <c r="C686" s="39"/>
      <c r="D686" s="39"/>
      <c r="E686" s="40"/>
      <c r="F686" s="41"/>
      <c r="G686" s="41"/>
      <c r="H686" s="42"/>
      <c r="I686" s="43"/>
      <c r="J686" s="44"/>
      <c r="K686" s="42"/>
      <c r="L686" s="41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1"/>
    </row>
    <row r="687">
      <c r="A687" s="45"/>
      <c r="B687" s="46"/>
      <c r="C687" s="47"/>
      <c r="D687" s="47"/>
      <c r="E687" s="48"/>
      <c r="F687" s="49"/>
      <c r="G687" s="49"/>
      <c r="H687" s="50"/>
      <c r="I687" s="51"/>
      <c r="J687" s="52"/>
      <c r="K687" s="50"/>
      <c r="L687" s="49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4"/>
    </row>
    <row r="688">
      <c r="A688" s="37"/>
      <c r="B688" s="38"/>
      <c r="C688" s="39"/>
      <c r="D688" s="39"/>
      <c r="E688" s="40"/>
      <c r="F688" s="41"/>
      <c r="G688" s="41"/>
      <c r="H688" s="42"/>
      <c r="I688" s="43"/>
      <c r="J688" s="44"/>
      <c r="K688" s="42"/>
      <c r="L688" s="41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1"/>
    </row>
    <row r="689">
      <c r="A689" s="45"/>
      <c r="B689" s="46"/>
      <c r="C689" s="47"/>
      <c r="D689" s="47"/>
      <c r="E689" s="48"/>
      <c r="F689" s="49"/>
      <c r="G689" s="49"/>
      <c r="H689" s="50"/>
      <c r="I689" s="51"/>
      <c r="J689" s="52"/>
      <c r="K689" s="50"/>
      <c r="L689" s="49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4"/>
    </row>
    <row r="690">
      <c r="A690" s="37"/>
      <c r="B690" s="38"/>
      <c r="C690" s="39"/>
      <c r="D690" s="39"/>
      <c r="E690" s="40"/>
      <c r="F690" s="41"/>
      <c r="G690" s="41"/>
      <c r="H690" s="42"/>
      <c r="I690" s="43"/>
      <c r="J690" s="44"/>
      <c r="K690" s="42"/>
      <c r="L690" s="41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1"/>
    </row>
    <row r="691">
      <c r="A691" s="45"/>
      <c r="B691" s="46"/>
      <c r="C691" s="47"/>
      <c r="D691" s="47"/>
      <c r="E691" s="48"/>
      <c r="F691" s="49"/>
      <c r="G691" s="49"/>
      <c r="H691" s="50"/>
      <c r="I691" s="51"/>
      <c r="J691" s="52"/>
      <c r="K691" s="50"/>
      <c r="L691" s="49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4"/>
    </row>
    <row r="692">
      <c r="A692" s="37"/>
      <c r="B692" s="38"/>
      <c r="C692" s="39"/>
      <c r="D692" s="39"/>
      <c r="E692" s="40"/>
      <c r="F692" s="41"/>
      <c r="G692" s="41"/>
      <c r="H692" s="42"/>
      <c r="I692" s="43"/>
      <c r="J692" s="44"/>
      <c r="K692" s="42"/>
      <c r="L692" s="41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1"/>
    </row>
    <row r="693">
      <c r="A693" s="45"/>
      <c r="B693" s="46"/>
      <c r="C693" s="47"/>
      <c r="D693" s="47"/>
      <c r="E693" s="48"/>
      <c r="F693" s="49"/>
      <c r="G693" s="49"/>
      <c r="H693" s="50"/>
      <c r="I693" s="51"/>
      <c r="J693" s="52"/>
      <c r="K693" s="50"/>
      <c r="L693" s="49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4"/>
    </row>
    <row r="694">
      <c r="A694" s="37"/>
      <c r="B694" s="38"/>
      <c r="C694" s="39"/>
      <c r="D694" s="39"/>
      <c r="E694" s="40"/>
      <c r="F694" s="41"/>
      <c r="G694" s="41"/>
      <c r="H694" s="42"/>
      <c r="I694" s="43"/>
      <c r="J694" s="44"/>
      <c r="K694" s="42"/>
      <c r="L694" s="41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1"/>
    </row>
    <row r="695">
      <c r="A695" s="45"/>
      <c r="B695" s="46"/>
      <c r="C695" s="47"/>
      <c r="D695" s="47"/>
      <c r="E695" s="48"/>
      <c r="F695" s="49"/>
      <c r="G695" s="49"/>
      <c r="H695" s="50"/>
      <c r="I695" s="51"/>
      <c r="J695" s="52"/>
      <c r="K695" s="50"/>
      <c r="L695" s="49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4"/>
    </row>
    <row r="696">
      <c r="A696" s="37"/>
      <c r="B696" s="38"/>
      <c r="C696" s="39"/>
      <c r="D696" s="39"/>
      <c r="E696" s="40"/>
      <c r="F696" s="41"/>
      <c r="G696" s="41"/>
      <c r="H696" s="42"/>
      <c r="I696" s="43"/>
      <c r="J696" s="44"/>
      <c r="K696" s="42"/>
      <c r="L696" s="41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1"/>
    </row>
    <row r="697">
      <c r="A697" s="45"/>
      <c r="B697" s="46"/>
      <c r="C697" s="47"/>
      <c r="D697" s="47"/>
      <c r="E697" s="48"/>
      <c r="F697" s="49"/>
      <c r="G697" s="49"/>
      <c r="H697" s="50"/>
      <c r="I697" s="51"/>
      <c r="J697" s="52"/>
      <c r="K697" s="50"/>
      <c r="L697" s="49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4"/>
    </row>
    <row r="698">
      <c r="A698" s="37"/>
      <c r="B698" s="38"/>
      <c r="C698" s="39"/>
      <c r="D698" s="39"/>
      <c r="E698" s="40"/>
      <c r="F698" s="41"/>
      <c r="G698" s="41"/>
      <c r="H698" s="42"/>
      <c r="I698" s="43"/>
      <c r="J698" s="44"/>
      <c r="K698" s="42"/>
      <c r="L698" s="41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1"/>
    </row>
    <row r="699">
      <c r="A699" s="45"/>
      <c r="B699" s="46"/>
      <c r="C699" s="47"/>
      <c r="D699" s="47"/>
      <c r="E699" s="48"/>
      <c r="F699" s="49"/>
      <c r="G699" s="49"/>
      <c r="H699" s="50"/>
      <c r="I699" s="51"/>
      <c r="J699" s="52"/>
      <c r="K699" s="50"/>
      <c r="L699" s="49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4"/>
    </row>
    <row r="700">
      <c r="A700" s="37"/>
      <c r="B700" s="38"/>
      <c r="C700" s="39"/>
      <c r="D700" s="39"/>
      <c r="E700" s="40"/>
      <c r="F700" s="41"/>
      <c r="G700" s="41"/>
      <c r="H700" s="42"/>
      <c r="I700" s="43"/>
      <c r="J700" s="44"/>
      <c r="K700" s="42"/>
      <c r="L700" s="41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1"/>
    </row>
    <row r="701">
      <c r="A701" s="45"/>
      <c r="B701" s="46"/>
      <c r="C701" s="47"/>
      <c r="D701" s="47"/>
      <c r="E701" s="48"/>
      <c r="F701" s="49"/>
      <c r="G701" s="49"/>
      <c r="H701" s="50"/>
      <c r="I701" s="51"/>
      <c r="J701" s="52"/>
      <c r="K701" s="50"/>
      <c r="L701" s="49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4"/>
    </row>
    <row r="702">
      <c r="A702" s="37"/>
      <c r="B702" s="38"/>
      <c r="C702" s="39"/>
      <c r="D702" s="39"/>
      <c r="E702" s="40"/>
      <c r="F702" s="41"/>
      <c r="G702" s="41"/>
      <c r="H702" s="42"/>
      <c r="I702" s="43"/>
      <c r="J702" s="44"/>
      <c r="K702" s="42"/>
      <c r="L702" s="41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1"/>
    </row>
    <row r="703">
      <c r="A703" s="45"/>
      <c r="B703" s="46"/>
      <c r="C703" s="47"/>
      <c r="D703" s="47"/>
      <c r="E703" s="48"/>
      <c r="F703" s="49"/>
      <c r="G703" s="49"/>
      <c r="H703" s="50"/>
      <c r="I703" s="51"/>
      <c r="J703" s="52"/>
      <c r="K703" s="50"/>
      <c r="L703" s="49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4"/>
    </row>
    <row r="704">
      <c r="A704" s="37"/>
      <c r="B704" s="38"/>
      <c r="C704" s="39"/>
      <c r="D704" s="39"/>
      <c r="E704" s="40"/>
      <c r="F704" s="41"/>
      <c r="G704" s="41"/>
      <c r="H704" s="42"/>
      <c r="I704" s="43"/>
      <c r="J704" s="44"/>
      <c r="K704" s="42"/>
      <c r="L704" s="41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1"/>
    </row>
    <row r="705">
      <c r="A705" s="45"/>
      <c r="B705" s="46"/>
      <c r="C705" s="47"/>
      <c r="D705" s="47"/>
      <c r="E705" s="48"/>
      <c r="F705" s="49"/>
      <c r="G705" s="49"/>
      <c r="H705" s="50"/>
      <c r="I705" s="51"/>
      <c r="J705" s="52"/>
      <c r="K705" s="50"/>
      <c r="L705" s="49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4"/>
    </row>
    <row r="706">
      <c r="A706" s="37"/>
      <c r="B706" s="38"/>
      <c r="C706" s="39"/>
      <c r="D706" s="39"/>
      <c r="E706" s="40"/>
      <c r="F706" s="41"/>
      <c r="G706" s="41"/>
      <c r="H706" s="42"/>
      <c r="I706" s="43"/>
      <c r="J706" s="44"/>
      <c r="K706" s="42"/>
      <c r="L706" s="41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1"/>
    </row>
    <row r="707">
      <c r="A707" s="45"/>
      <c r="B707" s="46"/>
      <c r="C707" s="47"/>
      <c r="D707" s="47"/>
      <c r="E707" s="48"/>
      <c r="F707" s="49"/>
      <c r="G707" s="49"/>
      <c r="H707" s="50"/>
      <c r="I707" s="51"/>
      <c r="J707" s="52"/>
      <c r="K707" s="50"/>
      <c r="L707" s="49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4"/>
    </row>
    <row r="708">
      <c r="A708" s="37"/>
      <c r="B708" s="38"/>
      <c r="C708" s="39"/>
      <c r="D708" s="39"/>
      <c r="E708" s="40"/>
      <c r="F708" s="41"/>
      <c r="G708" s="41"/>
      <c r="H708" s="42"/>
      <c r="I708" s="43"/>
      <c r="J708" s="44"/>
      <c r="K708" s="42"/>
      <c r="L708" s="41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1"/>
    </row>
    <row r="709">
      <c r="A709" s="45"/>
      <c r="B709" s="46"/>
      <c r="C709" s="47"/>
      <c r="D709" s="47"/>
      <c r="E709" s="48"/>
      <c r="F709" s="49"/>
      <c r="G709" s="49"/>
      <c r="H709" s="50"/>
      <c r="I709" s="51"/>
      <c r="J709" s="52"/>
      <c r="K709" s="50"/>
      <c r="L709" s="49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4"/>
    </row>
    <row r="710">
      <c r="A710" s="37"/>
      <c r="B710" s="38"/>
      <c r="C710" s="39"/>
      <c r="D710" s="39"/>
      <c r="E710" s="40"/>
      <c r="F710" s="41"/>
      <c r="G710" s="41"/>
      <c r="H710" s="42"/>
      <c r="I710" s="43"/>
      <c r="J710" s="44"/>
      <c r="K710" s="42"/>
      <c r="L710" s="41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1"/>
    </row>
    <row r="711">
      <c r="A711" s="45"/>
      <c r="B711" s="46"/>
      <c r="C711" s="47"/>
      <c r="D711" s="47"/>
      <c r="E711" s="48"/>
      <c r="F711" s="49"/>
      <c r="G711" s="49"/>
      <c r="H711" s="50"/>
      <c r="I711" s="51"/>
      <c r="J711" s="52"/>
      <c r="K711" s="50"/>
      <c r="L711" s="49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4"/>
    </row>
    <row r="712">
      <c r="A712" s="37"/>
      <c r="B712" s="38"/>
      <c r="C712" s="39"/>
      <c r="D712" s="39"/>
      <c r="E712" s="40"/>
      <c r="F712" s="41"/>
      <c r="G712" s="41"/>
      <c r="H712" s="42"/>
      <c r="I712" s="43"/>
      <c r="J712" s="44"/>
      <c r="K712" s="42"/>
      <c r="L712" s="41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1"/>
    </row>
    <row r="713">
      <c r="A713" s="45"/>
      <c r="B713" s="46"/>
      <c r="C713" s="47"/>
      <c r="D713" s="47"/>
      <c r="E713" s="48"/>
      <c r="F713" s="49"/>
      <c r="G713" s="49"/>
      <c r="H713" s="50"/>
      <c r="I713" s="51"/>
      <c r="J713" s="52"/>
      <c r="K713" s="50"/>
      <c r="L713" s="49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4"/>
    </row>
    <row r="714">
      <c r="A714" s="37"/>
      <c r="B714" s="38"/>
      <c r="C714" s="39"/>
      <c r="D714" s="39"/>
      <c r="E714" s="40"/>
      <c r="F714" s="41"/>
      <c r="G714" s="41"/>
      <c r="H714" s="42"/>
      <c r="I714" s="43"/>
      <c r="J714" s="44"/>
      <c r="K714" s="42"/>
      <c r="L714" s="41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1"/>
    </row>
    <row r="715">
      <c r="A715" s="45"/>
      <c r="B715" s="46"/>
      <c r="C715" s="47"/>
      <c r="D715" s="47"/>
      <c r="E715" s="48"/>
      <c r="F715" s="49"/>
      <c r="G715" s="49"/>
      <c r="H715" s="50"/>
      <c r="I715" s="51"/>
      <c r="J715" s="52"/>
      <c r="K715" s="50"/>
      <c r="L715" s="49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4"/>
    </row>
    <row r="716">
      <c r="A716" s="37"/>
      <c r="B716" s="38"/>
      <c r="C716" s="39"/>
      <c r="D716" s="39"/>
      <c r="E716" s="40"/>
      <c r="F716" s="41"/>
      <c r="G716" s="41"/>
      <c r="H716" s="42"/>
      <c r="I716" s="43"/>
      <c r="J716" s="44"/>
      <c r="K716" s="42"/>
      <c r="L716" s="41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1"/>
    </row>
    <row r="717">
      <c r="A717" s="45"/>
      <c r="B717" s="46"/>
      <c r="C717" s="47"/>
      <c r="D717" s="47"/>
      <c r="E717" s="48"/>
      <c r="F717" s="49"/>
      <c r="G717" s="49"/>
      <c r="H717" s="50"/>
      <c r="I717" s="51"/>
      <c r="J717" s="52"/>
      <c r="K717" s="50"/>
      <c r="L717" s="49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4"/>
    </row>
    <row r="718">
      <c r="A718" s="37"/>
      <c r="B718" s="38"/>
      <c r="C718" s="39"/>
      <c r="D718" s="39"/>
      <c r="E718" s="40"/>
      <c r="F718" s="41"/>
      <c r="G718" s="41"/>
      <c r="H718" s="42"/>
      <c r="I718" s="43"/>
      <c r="J718" s="44"/>
      <c r="K718" s="42"/>
      <c r="L718" s="41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1"/>
    </row>
    <row r="719">
      <c r="A719" s="45"/>
      <c r="B719" s="46"/>
      <c r="C719" s="47"/>
      <c r="D719" s="47"/>
      <c r="E719" s="48"/>
      <c r="F719" s="49"/>
      <c r="G719" s="49"/>
      <c r="H719" s="50"/>
      <c r="I719" s="51"/>
      <c r="J719" s="52"/>
      <c r="K719" s="50"/>
      <c r="L719" s="49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4"/>
    </row>
    <row r="720">
      <c r="A720" s="37"/>
      <c r="B720" s="38"/>
      <c r="C720" s="39"/>
      <c r="D720" s="39"/>
      <c r="E720" s="40"/>
      <c r="F720" s="41"/>
      <c r="G720" s="41"/>
      <c r="H720" s="42"/>
      <c r="I720" s="43"/>
      <c r="J720" s="44"/>
      <c r="K720" s="42"/>
      <c r="L720" s="41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1"/>
    </row>
    <row r="721">
      <c r="A721" s="45"/>
      <c r="B721" s="46"/>
      <c r="C721" s="47"/>
      <c r="D721" s="47"/>
      <c r="E721" s="48"/>
      <c r="F721" s="49"/>
      <c r="G721" s="49"/>
      <c r="H721" s="50"/>
      <c r="I721" s="51"/>
      <c r="J721" s="52"/>
      <c r="K721" s="50"/>
      <c r="L721" s="49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4"/>
    </row>
    <row r="722">
      <c r="A722" s="37"/>
      <c r="B722" s="38"/>
      <c r="C722" s="39"/>
      <c r="D722" s="39"/>
      <c r="E722" s="40"/>
      <c r="F722" s="41"/>
      <c r="G722" s="41"/>
      <c r="H722" s="42"/>
      <c r="I722" s="43"/>
      <c r="J722" s="44"/>
      <c r="K722" s="42"/>
      <c r="L722" s="41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1"/>
    </row>
    <row r="723">
      <c r="A723" s="45"/>
      <c r="B723" s="46"/>
      <c r="C723" s="47"/>
      <c r="D723" s="47"/>
      <c r="E723" s="48"/>
      <c r="F723" s="49"/>
      <c r="G723" s="49"/>
      <c r="H723" s="50"/>
      <c r="I723" s="51"/>
      <c r="J723" s="52"/>
      <c r="K723" s="50"/>
      <c r="L723" s="49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4"/>
    </row>
    <row r="724">
      <c r="A724" s="37"/>
      <c r="B724" s="38"/>
      <c r="C724" s="39"/>
      <c r="D724" s="39"/>
      <c r="E724" s="40"/>
      <c r="F724" s="41"/>
      <c r="G724" s="41"/>
      <c r="H724" s="42"/>
      <c r="I724" s="43"/>
      <c r="J724" s="44"/>
      <c r="K724" s="42"/>
      <c r="L724" s="41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1"/>
    </row>
    <row r="725">
      <c r="A725" s="45"/>
      <c r="B725" s="46"/>
      <c r="C725" s="47"/>
      <c r="D725" s="47"/>
      <c r="E725" s="48"/>
      <c r="F725" s="49"/>
      <c r="G725" s="49"/>
      <c r="H725" s="50"/>
      <c r="I725" s="51"/>
      <c r="J725" s="52"/>
      <c r="K725" s="50"/>
      <c r="L725" s="49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4"/>
    </row>
    <row r="726">
      <c r="A726" s="37"/>
      <c r="B726" s="38"/>
      <c r="C726" s="39"/>
      <c r="D726" s="39"/>
      <c r="E726" s="40"/>
      <c r="F726" s="41"/>
      <c r="G726" s="41"/>
      <c r="H726" s="42"/>
      <c r="I726" s="43"/>
      <c r="J726" s="44"/>
      <c r="K726" s="42"/>
      <c r="L726" s="41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1"/>
    </row>
    <row r="727">
      <c r="A727" s="45"/>
      <c r="B727" s="46"/>
      <c r="C727" s="47"/>
      <c r="D727" s="47"/>
      <c r="E727" s="48"/>
      <c r="F727" s="49"/>
      <c r="G727" s="49"/>
      <c r="H727" s="50"/>
      <c r="I727" s="51"/>
      <c r="J727" s="52"/>
      <c r="K727" s="50"/>
      <c r="L727" s="49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4"/>
    </row>
    <row r="728">
      <c r="A728" s="37"/>
      <c r="B728" s="38"/>
      <c r="C728" s="39"/>
      <c r="D728" s="39"/>
      <c r="E728" s="40"/>
      <c r="F728" s="41"/>
      <c r="G728" s="41"/>
      <c r="H728" s="42"/>
      <c r="I728" s="43"/>
      <c r="J728" s="44"/>
      <c r="K728" s="42"/>
      <c r="L728" s="41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1"/>
    </row>
    <row r="729">
      <c r="A729" s="45"/>
      <c r="B729" s="46"/>
      <c r="C729" s="47"/>
      <c r="D729" s="47"/>
      <c r="E729" s="48"/>
      <c r="F729" s="49"/>
      <c r="G729" s="49"/>
      <c r="H729" s="50"/>
      <c r="I729" s="51"/>
      <c r="J729" s="52"/>
      <c r="K729" s="50"/>
      <c r="L729" s="49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4"/>
    </row>
    <row r="730">
      <c r="A730" s="37"/>
      <c r="B730" s="38"/>
      <c r="C730" s="39"/>
      <c r="D730" s="39"/>
      <c r="E730" s="40"/>
      <c r="F730" s="41"/>
      <c r="G730" s="41"/>
      <c r="H730" s="42"/>
      <c r="I730" s="43"/>
      <c r="J730" s="44"/>
      <c r="K730" s="42"/>
      <c r="L730" s="41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1"/>
    </row>
    <row r="731">
      <c r="A731" s="45"/>
      <c r="B731" s="46"/>
      <c r="C731" s="47"/>
      <c r="D731" s="47"/>
      <c r="E731" s="48"/>
      <c r="F731" s="49"/>
      <c r="G731" s="49"/>
      <c r="H731" s="50"/>
      <c r="I731" s="51"/>
      <c r="J731" s="52"/>
      <c r="K731" s="50"/>
      <c r="L731" s="49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4"/>
    </row>
    <row r="732">
      <c r="A732" s="37"/>
      <c r="B732" s="38"/>
      <c r="C732" s="39"/>
      <c r="D732" s="39"/>
      <c r="E732" s="40"/>
      <c r="F732" s="41"/>
      <c r="G732" s="41"/>
      <c r="H732" s="42"/>
      <c r="I732" s="43"/>
      <c r="J732" s="44"/>
      <c r="K732" s="42"/>
      <c r="L732" s="41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1"/>
    </row>
    <row r="733">
      <c r="A733" s="45"/>
      <c r="B733" s="46"/>
      <c r="C733" s="47"/>
      <c r="D733" s="47"/>
      <c r="E733" s="48"/>
      <c r="F733" s="49"/>
      <c r="G733" s="49"/>
      <c r="H733" s="50"/>
      <c r="I733" s="51"/>
      <c r="J733" s="52"/>
      <c r="K733" s="50"/>
      <c r="L733" s="49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4"/>
    </row>
    <row r="734">
      <c r="A734" s="37"/>
      <c r="B734" s="38"/>
      <c r="C734" s="39"/>
      <c r="D734" s="39"/>
      <c r="E734" s="40"/>
      <c r="F734" s="41"/>
      <c r="G734" s="41"/>
      <c r="H734" s="42"/>
      <c r="I734" s="43"/>
      <c r="J734" s="44"/>
      <c r="K734" s="42"/>
      <c r="L734" s="41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1"/>
    </row>
    <row r="735">
      <c r="A735" s="45"/>
      <c r="B735" s="46"/>
      <c r="C735" s="47"/>
      <c r="D735" s="47"/>
      <c r="E735" s="48"/>
      <c r="F735" s="49"/>
      <c r="G735" s="49"/>
      <c r="H735" s="50"/>
      <c r="I735" s="51"/>
      <c r="J735" s="52"/>
      <c r="K735" s="50"/>
      <c r="L735" s="49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4"/>
    </row>
    <row r="736">
      <c r="A736" s="37"/>
      <c r="B736" s="38"/>
      <c r="C736" s="39"/>
      <c r="D736" s="39"/>
      <c r="E736" s="40"/>
      <c r="F736" s="41"/>
      <c r="G736" s="41"/>
      <c r="H736" s="42"/>
      <c r="I736" s="43"/>
      <c r="J736" s="44"/>
      <c r="K736" s="42"/>
      <c r="L736" s="41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1"/>
    </row>
    <row r="737">
      <c r="A737" s="45"/>
      <c r="B737" s="46"/>
      <c r="C737" s="47"/>
      <c r="D737" s="47"/>
      <c r="E737" s="48"/>
      <c r="F737" s="49"/>
      <c r="G737" s="49"/>
      <c r="H737" s="50"/>
      <c r="I737" s="51"/>
      <c r="J737" s="52"/>
      <c r="K737" s="50"/>
      <c r="L737" s="49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4"/>
    </row>
    <row r="738">
      <c r="A738" s="37"/>
      <c r="B738" s="38"/>
      <c r="C738" s="39"/>
      <c r="D738" s="39"/>
      <c r="E738" s="40"/>
      <c r="F738" s="41"/>
      <c r="G738" s="41"/>
      <c r="H738" s="42"/>
      <c r="I738" s="43"/>
      <c r="J738" s="44"/>
      <c r="K738" s="42"/>
      <c r="L738" s="41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1"/>
    </row>
    <row r="739">
      <c r="A739" s="45"/>
      <c r="B739" s="46"/>
      <c r="C739" s="47"/>
      <c r="D739" s="47"/>
      <c r="E739" s="48"/>
      <c r="F739" s="49"/>
      <c r="G739" s="49"/>
      <c r="H739" s="50"/>
      <c r="I739" s="51"/>
      <c r="J739" s="52"/>
      <c r="K739" s="50"/>
      <c r="L739" s="49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4"/>
    </row>
    <row r="740">
      <c r="A740" s="37"/>
      <c r="B740" s="38"/>
      <c r="C740" s="39"/>
      <c r="D740" s="39"/>
      <c r="E740" s="40"/>
      <c r="F740" s="41"/>
      <c r="G740" s="41"/>
      <c r="H740" s="42"/>
      <c r="I740" s="43"/>
      <c r="J740" s="44"/>
      <c r="K740" s="42"/>
      <c r="L740" s="41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1"/>
    </row>
    <row r="741">
      <c r="A741" s="45"/>
      <c r="B741" s="46"/>
      <c r="C741" s="47"/>
      <c r="D741" s="47"/>
      <c r="E741" s="48"/>
      <c r="F741" s="49"/>
      <c r="G741" s="49"/>
      <c r="H741" s="50"/>
      <c r="I741" s="51"/>
      <c r="J741" s="52"/>
      <c r="K741" s="50"/>
      <c r="L741" s="49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4"/>
    </row>
    <row r="742">
      <c r="A742" s="37"/>
      <c r="B742" s="38"/>
      <c r="C742" s="39"/>
      <c r="D742" s="39"/>
      <c r="E742" s="40"/>
      <c r="F742" s="41"/>
      <c r="G742" s="41"/>
      <c r="H742" s="42"/>
      <c r="I742" s="43"/>
      <c r="J742" s="44"/>
      <c r="K742" s="42"/>
      <c r="L742" s="41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1"/>
    </row>
    <row r="743">
      <c r="A743" s="45"/>
      <c r="B743" s="46"/>
      <c r="C743" s="47"/>
      <c r="D743" s="47"/>
      <c r="E743" s="48"/>
      <c r="F743" s="49"/>
      <c r="G743" s="49"/>
      <c r="H743" s="50"/>
      <c r="I743" s="51"/>
      <c r="J743" s="52"/>
      <c r="K743" s="50"/>
      <c r="L743" s="49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4"/>
    </row>
    <row r="744">
      <c r="A744" s="37"/>
      <c r="B744" s="38"/>
      <c r="C744" s="39"/>
      <c r="D744" s="39"/>
      <c r="E744" s="40"/>
      <c r="F744" s="41"/>
      <c r="G744" s="41"/>
      <c r="H744" s="42"/>
      <c r="I744" s="43"/>
      <c r="J744" s="44"/>
      <c r="K744" s="42"/>
      <c r="L744" s="41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1"/>
    </row>
    <row r="745">
      <c r="A745" s="45"/>
      <c r="B745" s="46"/>
      <c r="C745" s="47"/>
      <c r="D745" s="47"/>
      <c r="E745" s="48"/>
      <c r="F745" s="49"/>
      <c r="G745" s="49"/>
      <c r="H745" s="50"/>
      <c r="I745" s="51"/>
      <c r="J745" s="52"/>
      <c r="K745" s="50"/>
      <c r="L745" s="49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4"/>
    </row>
    <row r="746">
      <c r="A746" s="37"/>
      <c r="B746" s="38"/>
      <c r="C746" s="39"/>
      <c r="D746" s="39"/>
      <c r="E746" s="40"/>
      <c r="F746" s="41"/>
      <c r="G746" s="41"/>
      <c r="H746" s="42"/>
      <c r="I746" s="43"/>
      <c r="J746" s="44"/>
      <c r="K746" s="42"/>
      <c r="L746" s="41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1"/>
    </row>
    <row r="747">
      <c r="A747" s="45"/>
      <c r="B747" s="46"/>
      <c r="C747" s="47"/>
      <c r="D747" s="47"/>
      <c r="E747" s="48"/>
      <c r="F747" s="49"/>
      <c r="G747" s="49"/>
      <c r="H747" s="50"/>
      <c r="I747" s="51"/>
      <c r="J747" s="52"/>
      <c r="K747" s="50"/>
      <c r="L747" s="49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4"/>
    </row>
    <row r="748">
      <c r="A748" s="37"/>
      <c r="B748" s="38"/>
      <c r="C748" s="39"/>
      <c r="D748" s="39"/>
      <c r="E748" s="40"/>
      <c r="F748" s="41"/>
      <c r="G748" s="41"/>
      <c r="H748" s="42"/>
      <c r="I748" s="43"/>
      <c r="J748" s="44"/>
      <c r="K748" s="42"/>
      <c r="L748" s="41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1"/>
    </row>
    <row r="749">
      <c r="A749" s="45"/>
      <c r="B749" s="46"/>
      <c r="C749" s="47"/>
      <c r="D749" s="47"/>
      <c r="E749" s="48"/>
      <c r="F749" s="49"/>
      <c r="G749" s="49"/>
      <c r="H749" s="50"/>
      <c r="I749" s="51"/>
      <c r="J749" s="52"/>
      <c r="K749" s="50"/>
      <c r="L749" s="49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4"/>
    </row>
    <row r="750">
      <c r="A750" s="37"/>
      <c r="B750" s="38"/>
      <c r="C750" s="39"/>
      <c r="D750" s="39"/>
      <c r="E750" s="40"/>
      <c r="F750" s="41"/>
      <c r="G750" s="41"/>
      <c r="H750" s="42"/>
      <c r="I750" s="43"/>
      <c r="J750" s="44"/>
      <c r="K750" s="42"/>
      <c r="L750" s="41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1"/>
    </row>
    <row r="751">
      <c r="A751" s="45"/>
      <c r="B751" s="46"/>
      <c r="C751" s="47"/>
      <c r="D751" s="47"/>
      <c r="E751" s="48"/>
      <c r="F751" s="49"/>
      <c r="G751" s="49"/>
      <c r="H751" s="50"/>
      <c r="I751" s="51"/>
      <c r="J751" s="52"/>
      <c r="K751" s="50"/>
      <c r="L751" s="49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4"/>
    </row>
    <row r="752">
      <c r="A752" s="37"/>
      <c r="B752" s="38"/>
      <c r="C752" s="39"/>
      <c r="D752" s="39"/>
      <c r="E752" s="40"/>
      <c r="F752" s="41"/>
      <c r="G752" s="41"/>
      <c r="H752" s="42"/>
      <c r="I752" s="43"/>
      <c r="J752" s="44"/>
      <c r="K752" s="42"/>
      <c r="L752" s="41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1"/>
    </row>
    <row r="753">
      <c r="A753" s="45"/>
      <c r="B753" s="46"/>
      <c r="C753" s="47"/>
      <c r="D753" s="47"/>
      <c r="E753" s="48"/>
      <c r="F753" s="49"/>
      <c r="G753" s="49"/>
      <c r="H753" s="50"/>
      <c r="I753" s="51"/>
      <c r="J753" s="52"/>
      <c r="K753" s="50"/>
      <c r="L753" s="49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4"/>
    </row>
    <row r="754">
      <c r="A754" s="37"/>
      <c r="B754" s="38"/>
      <c r="C754" s="39"/>
      <c r="D754" s="39"/>
      <c r="E754" s="40"/>
      <c r="F754" s="41"/>
      <c r="G754" s="41"/>
      <c r="H754" s="42"/>
      <c r="I754" s="43"/>
      <c r="J754" s="44"/>
      <c r="K754" s="42"/>
      <c r="L754" s="41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1"/>
    </row>
    <row r="755">
      <c r="A755" s="45"/>
      <c r="B755" s="46"/>
      <c r="C755" s="47"/>
      <c r="D755" s="47"/>
      <c r="E755" s="48"/>
      <c r="F755" s="49"/>
      <c r="G755" s="49"/>
      <c r="H755" s="50"/>
      <c r="I755" s="51"/>
      <c r="J755" s="52"/>
      <c r="K755" s="50"/>
      <c r="L755" s="49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4"/>
    </row>
    <row r="756">
      <c r="A756" s="37"/>
      <c r="B756" s="38"/>
      <c r="C756" s="39"/>
      <c r="D756" s="39"/>
      <c r="E756" s="40"/>
      <c r="F756" s="41"/>
      <c r="G756" s="41"/>
      <c r="H756" s="42"/>
      <c r="I756" s="43"/>
      <c r="J756" s="44"/>
      <c r="K756" s="42"/>
      <c r="L756" s="41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1"/>
    </row>
    <row r="757">
      <c r="A757" s="45"/>
      <c r="B757" s="46"/>
      <c r="C757" s="47"/>
      <c r="D757" s="47"/>
      <c r="E757" s="48"/>
      <c r="F757" s="49"/>
      <c r="G757" s="49"/>
      <c r="H757" s="50"/>
      <c r="I757" s="51"/>
      <c r="J757" s="52"/>
      <c r="K757" s="50"/>
      <c r="L757" s="49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4"/>
    </row>
    <row r="758">
      <c r="A758" s="37"/>
      <c r="B758" s="38"/>
      <c r="C758" s="39"/>
      <c r="D758" s="39"/>
      <c r="E758" s="40"/>
      <c r="F758" s="41"/>
      <c r="G758" s="41"/>
      <c r="H758" s="42"/>
      <c r="I758" s="43"/>
      <c r="J758" s="44"/>
      <c r="K758" s="42"/>
      <c r="L758" s="41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1"/>
    </row>
    <row r="759">
      <c r="A759" s="45"/>
      <c r="B759" s="46"/>
      <c r="C759" s="47"/>
      <c r="D759" s="47"/>
      <c r="E759" s="48"/>
      <c r="F759" s="49"/>
      <c r="G759" s="49"/>
      <c r="H759" s="50"/>
      <c r="I759" s="51"/>
      <c r="J759" s="52"/>
      <c r="K759" s="50"/>
      <c r="L759" s="49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4"/>
    </row>
    <row r="760">
      <c r="A760" s="37"/>
      <c r="B760" s="38"/>
      <c r="C760" s="39"/>
      <c r="D760" s="39"/>
      <c r="E760" s="40"/>
      <c r="F760" s="41"/>
      <c r="G760" s="41"/>
      <c r="H760" s="42"/>
      <c r="I760" s="43"/>
      <c r="J760" s="44"/>
      <c r="K760" s="42"/>
      <c r="L760" s="41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1"/>
    </row>
    <row r="761">
      <c r="A761" s="45"/>
      <c r="B761" s="46"/>
      <c r="C761" s="47"/>
      <c r="D761" s="47"/>
      <c r="E761" s="48"/>
      <c r="F761" s="49"/>
      <c r="G761" s="49"/>
      <c r="H761" s="50"/>
      <c r="I761" s="51"/>
      <c r="J761" s="52"/>
      <c r="K761" s="50"/>
      <c r="L761" s="49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4"/>
    </row>
    <row r="762">
      <c r="A762" s="37"/>
      <c r="B762" s="38"/>
      <c r="C762" s="39"/>
      <c r="D762" s="39"/>
      <c r="E762" s="40"/>
      <c r="F762" s="41"/>
      <c r="G762" s="41"/>
      <c r="H762" s="42"/>
      <c r="I762" s="43"/>
      <c r="J762" s="44"/>
      <c r="K762" s="42"/>
      <c r="L762" s="41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1"/>
    </row>
    <row r="763">
      <c r="A763" s="45"/>
      <c r="B763" s="46"/>
      <c r="C763" s="47"/>
      <c r="D763" s="47"/>
      <c r="E763" s="48"/>
      <c r="F763" s="49"/>
      <c r="G763" s="49"/>
      <c r="H763" s="50"/>
      <c r="I763" s="51"/>
      <c r="J763" s="52"/>
      <c r="K763" s="50"/>
      <c r="L763" s="49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4"/>
    </row>
    <row r="764">
      <c r="A764" s="37"/>
      <c r="B764" s="38"/>
      <c r="C764" s="39"/>
      <c r="D764" s="39"/>
      <c r="E764" s="40"/>
      <c r="F764" s="41"/>
      <c r="G764" s="41"/>
      <c r="H764" s="42"/>
      <c r="I764" s="43"/>
      <c r="J764" s="44"/>
      <c r="K764" s="42"/>
      <c r="L764" s="41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1"/>
    </row>
    <row r="765">
      <c r="A765" s="45"/>
      <c r="B765" s="46"/>
      <c r="C765" s="47"/>
      <c r="D765" s="47"/>
      <c r="E765" s="48"/>
      <c r="F765" s="49"/>
      <c r="G765" s="49"/>
      <c r="H765" s="50"/>
      <c r="I765" s="51"/>
      <c r="J765" s="52"/>
      <c r="K765" s="50"/>
      <c r="L765" s="49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4"/>
    </row>
    <row r="766">
      <c r="A766" s="37"/>
      <c r="B766" s="38"/>
      <c r="C766" s="39"/>
      <c r="D766" s="39"/>
      <c r="E766" s="40"/>
      <c r="F766" s="41"/>
      <c r="G766" s="41"/>
      <c r="H766" s="42"/>
      <c r="I766" s="43"/>
      <c r="J766" s="44"/>
      <c r="K766" s="42"/>
      <c r="L766" s="41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1"/>
    </row>
    <row r="767">
      <c r="A767" s="45"/>
      <c r="B767" s="46"/>
      <c r="C767" s="47"/>
      <c r="D767" s="47"/>
      <c r="E767" s="48"/>
      <c r="F767" s="49"/>
      <c r="G767" s="49"/>
      <c r="H767" s="50"/>
      <c r="I767" s="51"/>
      <c r="J767" s="52"/>
      <c r="K767" s="50"/>
      <c r="L767" s="49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4"/>
    </row>
    <row r="768">
      <c r="A768" s="37"/>
      <c r="B768" s="38"/>
      <c r="C768" s="39"/>
      <c r="D768" s="39"/>
      <c r="E768" s="40"/>
      <c r="F768" s="41"/>
      <c r="G768" s="41"/>
      <c r="H768" s="42"/>
      <c r="I768" s="43"/>
      <c r="J768" s="44"/>
      <c r="K768" s="42"/>
      <c r="L768" s="41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1"/>
    </row>
    <row r="769">
      <c r="A769" s="45"/>
      <c r="B769" s="46"/>
      <c r="C769" s="47"/>
      <c r="D769" s="47"/>
      <c r="E769" s="48"/>
      <c r="F769" s="49"/>
      <c r="G769" s="49"/>
      <c r="H769" s="50"/>
      <c r="I769" s="51"/>
      <c r="J769" s="52"/>
      <c r="K769" s="50"/>
      <c r="L769" s="49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4"/>
    </row>
    <row r="770">
      <c r="A770" s="37"/>
      <c r="B770" s="38"/>
      <c r="C770" s="39"/>
      <c r="D770" s="39"/>
      <c r="E770" s="40"/>
      <c r="F770" s="41"/>
      <c r="G770" s="41"/>
      <c r="H770" s="42"/>
      <c r="I770" s="43"/>
      <c r="J770" s="44"/>
      <c r="K770" s="42"/>
      <c r="L770" s="41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1"/>
    </row>
    <row r="771">
      <c r="A771" s="45"/>
      <c r="B771" s="46"/>
      <c r="C771" s="47"/>
      <c r="D771" s="47"/>
      <c r="E771" s="48"/>
      <c r="F771" s="49"/>
      <c r="G771" s="49"/>
      <c r="H771" s="50"/>
      <c r="I771" s="51"/>
      <c r="J771" s="52"/>
      <c r="K771" s="50"/>
      <c r="L771" s="49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4"/>
    </row>
    <row r="772">
      <c r="A772" s="37"/>
      <c r="B772" s="38"/>
      <c r="C772" s="39"/>
      <c r="D772" s="39"/>
      <c r="E772" s="40"/>
      <c r="F772" s="41"/>
      <c r="G772" s="41"/>
      <c r="H772" s="42"/>
      <c r="I772" s="43"/>
      <c r="J772" s="44"/>
      <c r="K772" s="42"/>
      <c r="L772" s="41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1"/>
    </row>
    <row r="773">
      <c r="A773" s="45"/>
      <c r="B773" s="46"/>
      <c r="C773" s="47"/>
      <c r="D773" s="47"/>
      <c r="E773" s="48"/>
      <c r="F773" s="49"/>
      <c r="G773" s="49"/>
      <c r="H773" s="50"/>
      <c r="I773" s="51"/>
      <c r="J773" s="52"/>
      <c r="K773" s="50"/>
      <c r="L773" s="49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4"/>
    </row>
    <row r="774">
      <c r="A774" s="37"/>
      <c r="B774" s="38"/>
      <c r="C774" s="39"/>
      <c r="D774" s="39"/>
      <c r="E774" s="40"/>
      <c r="F774" s="41"/>
      <c r="G774" s="41"/>
      <c r="H774" s="42"/>
      <c r="I774" s="43"/>
      <c r="J774" s="44"/>
      <c r="K774" s="42"/>
      <c r="L774" s="41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1"/>
    </row>
    <row r="775">
      <c r="A775" s="45"/>
      <c r="B775" s="46"/>
      <c r="C775" s="47"/>
      <c r="D775" s="47"/>
      <c r="E775" s="48"/>
      <c r="F775" s="49"/>
      <c r="G775" s="49"/>
      <c r="H775" s="50"/>
      <c r="I775" s="51"/>
      <c r="J775" s="52"/>
      <c r="K775" s="50"/>
      <c r="L775" s="49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4"/>
    </row>
    <row r="776">
      <c r="A776" s="37"/>
      <c r="B776" s="38"/>
      <c r="C776" s="39"/>
      <c r="D776" s="39"/>
      <c r="E776" s="40"/>
      <c r="F776" s="41"/>
      <c r="G776" s="41"/>
      <c r="H776" s="42"/>
      <c r="I776" s="43"/>
      <c r="J776" s="44"/>
      <c r="K776" s="42"/>
      <c r="L776" s="41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1"/>
    </row>
    <row r="777">
      <c r="A777" s="45"/>
      <c r="B777" s="46"/>
      <c r="C777" s="47"/>
      <c r="D777" s="47"/>
      <c r="E777" s="48"/>
      <c r="F777" s="49"/>
      <c r="G777" s="49"/>
      <c r="H777" s="50"/>
      <c r="I777" s="51"/>
      <c r="J777" s="52"/>
      <c r="K777" s="50"/>
      <c r="L777" s="49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4"/>
    </row>
    <row r="778">
      <c r="A778" s="37"/>
      <c r="B778" s="38"/>
      <c r="C778" s="39"/>
      <c r="D778" s="39"/>
      <c r="E778" s="40"/>
      <c r="F778" s="41"/>
      <c r="G778" s="41"/>
      <c r="H778" s="42"/>
      <c r="I778" s="43"/>
      <c r="J778" s="44"/>
      <c r="K778" s="42"/>
      <c r="L778" s="41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1"/>
    </row>
    <row r="779">
      <c r="A779" s="45"/>
      <c r="B779" s="46"/>
      <c r="C779" s="47"/>
      <c r="D779" s="47"/>
      <c r="E779" s="48"/>
      <c r="F779" s="49"/>
      <c r="G779" s="49"/>
      <c r="H779" s="50"/>
      <c r="I779" s="51"/>
      <c r="J779" s="52"/>
      <c r="K779" s="50"/>
      <c r="L779" s="49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4"/>
    </row>
    <row r="780">
      <c r="A780" s="37"/>
      <c r="B780" s="38"/>
      <c r="C780" s="39"/>
      <c r="D780" s="39"/>
      <c r="E780" s="40"/>
      <c r="F780" s="41"/>
      <c r="G780" s="41"/>
      <c r="H780" s="42"/>
      <c r="I780" s="43"/>
      <c r="J780" s="44"/>
      <c r="K780" s="42"/>
      <c r="L780" s="41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1"/>
    </row>
    <row r="781">
      <c r="A781" s="45"/>
      <c r="B781" s="46"/>
      <c r="C781" s="47"/>
      <c r="D781" s="47"/>
      <c r="E781" s="48"/>
      <c r="F781" s="49"/>
      <c r="G781" s="49"/>
      <c r="H781" s="50"/>
      <c r="I781" s="51"/>
      <c r="J781" s="52"/>
      <c r="K781" s="50"/>
      <c r="L781" s="49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4"/>
    </row>
    <row r="782">
      <c r="A782" s="37"/>
      <c r="B782" s="38"/>
      <c r="C782" s="39"/>
      <c r="D782" s="39"/>
      <c r="E782" s="40"/>
      <c r="F782" s="41"/>
      <c r="G782" s="41"/>
      <c r="H782" s="42"/>
      <c r="I782" s="43"/>
      <c r="J782" s="44"/>
      <c r="K782" s="42"/>
      <c r="L782" s="41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1"/>
    </row>
    <row r="783">
      <c r="A783" s="45"/>
      <c r="B783" s="46"/>
      <c r="C783" s="47"/>
      <c r="D783" s="47"/>
      <c r="E783" s="48"/>
      <c r="F783" s="49"/>
      <c r="G783" s="49"/>
      <c r="H783" s="50"/>
      <c r="I783" s="51"/>
      <c r="J783" s="52"/>
      <c r="K783" s="50"/>
      <c r="L783" s="49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4"/>
    </row>
    <row r="784">
      <c r="A784" s="37"/>
      <c r="B784" s="38"/>
      <c r="C784" s="39"/>
      <c r="D784" s="39"/>
      <c r="E784" s="40"/>
      <c r="F784" s="41"/>
      <c r="G784" s="41"/>
      <c r="H784" s="42"/>
      <c r="I784" s="43"/>
      <c r="J784" s="44"/>
      <c r="K784" s="42"/>
      <c r="L784" s="41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1"/>
    </row>
    <row r="785">
      <c r="A785" s="45"/>
      <c r="B785" s="46"/>
      <c r="C785" s="47"/>
      <c r="D785" s="47"/>
      <c r="E785" s="48"/>
      <c r="F785" s="49"/>
      <c r="G785" s="49"/>
      <c r="H785" s="50"/>
      <c r="I785" s="51"/>
      <c r="J785" s="52"/>
      <c r="K785" s="50"/>
      <c r="L785" s="49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4"/>
    </row>
    <row r="786">
      <c r="A786" s="37"/>
      <c r="B786" s="38"/>
      <c r="C786" s="39"/>
      <c r="D786" s="39"/>
      <c r="E786" s="40"/>
      <c r="F786" s="41"/>
      <c r="G786" s="41"/>
      <c r="H786" s="42"/>
      <c r="I786" s="43"/>
      <c r="J786" s="44"/>
      <c r="K786" s="42"/>
      <c r="L786" s="41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1"/>
    </row>
    <row r="787">
      <c r="A787" s="45"/>
      <c r="B787" s="46"/>
      <c r="C787" s="47"/>
      <c r="D787" s="47"/>
      <c r="E787" s="48"/>
      <c r="F787" s="49"/>
      <c r="G787" s="49"/>
      <c r="H787" s="50"/>
      <c r="I787" s="51"/>
      <c r="J787" s="52"/>
      <c r="K787" s="50"/>
      <c r="L787" s="49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4"/>
    </row>
    <row r="788">
      <c r="A788" s="37"/>
      <c r="B788" s="38"/>
      <c r="C788" s="39"/>
      <c r="D788" s="39"/>
      <c r="E788" s="40"/>
      <c r="F788" s="41"/>
      <c r="G788" s="41"/>
      <c r="H788" s="42"/>
      <c r="I788" s="43"/>
      <c r="J788" s="44"/>
      <c r="K788" s="42"/>
      <c r="L788" s="41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1"/>
    </row>
    <row r="789">
      <c r="A789" s="45"/>
      <c r="B789" s="46"/>
      <c r="C789" s="47"/>
      <c r="D789" s="47"/>
      <c r="E789" s="48"/>
      <c r="F789" s="49"/>
      <c r="G789" s="49"/>
      <c r="H789" s="50"/>
      <c r="I789" s="51"/>
      <c r="J789" s="52"/>
      <c r="K789" s="50"/>
      <c r="L789" s="49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4"/>
    </row>
    <row r="790">
      <c r="A790" s="37"/>
      <c r="B790" s="38"/>
      <c r="C790" s="39"/>
      <c r="D790" s="39"/>
      <c r="E790" s="40"/>
      <c r="F790" s="41"/>
      <c r="G790" s="41"/>
      <c r="H790" s="42"/>
      <c r="I790" s="43"/>
      <c r="J790" s="44"/>
      <c r="K790" s="42"/>
      <c r="L790" s="41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1"/>
    </row>
    <row r="791">
      <c r="A791" s="45"/>
      <c r="B791" s="46"/>
      <c r="C791" s="47"/>
      <c r="D791" s="47"/>
      <c r="E791" s="48"/>
      <c r="F791" s="49"/>
      <c r="G791" s="49"/>
      <c r="H791" s="50"/>
      <c r="I791" s="51"/>
      <c r="J791" s="52"/>
      <c r="K791" s="50"/>
      <c r="L791" s="49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4"/>
    </row>
    <row r="792">
      <c r="A792" s="37"/>
      <c r="B792" s="38"/>
      <c r="C792" s="39"/>
      <c r="D792" s="39"/>
      <c r="E792" s="40"/>
      <c r="F792" s="41"/>
      <c r="G792" s="41"/>
      <c r="H792" s="42"/>
      <c r="I792" s="43"/>
      <c r="J792" s="44"/>
      <c r="K792" s="42"/>
      <c r="L792" s="41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1"/>
    </row>
    <row r="793">
      <c r="A793" s="45"/>
      <c r="B793" s="46"/>
      <c r="C793" s="47"/>
      <c r="D793" s="47"/>
      <c r="E793" s="48"/>
      <c r="F793" s="49"/>
      <c r="G793" s="49"/>
      <c r="H793" s="50"/>
      <c r="I793" s="51"/>
      <c r="J793" s="52"/>
      <c r="K793" s="50"/>
      <c r="L793" s="49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4"/>
    </row>
    <row r="794">
      <c r="A794" s="37"/>
      <c r="B794" s="38"/>
      <c r="C794" s="39"/>
      <c r="D794" s="39"/>
      <c r="E794" s="40"/>
      <c r="F794" s="41"/>
      <c r="G794" s="41"/>
      <c r="H794" s="42"/>
      <c r="I794" s="43"/>
      <c r="J794" s="44"/>
      <c r="K794" s="42"/>
      <c r="L794" s="41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1"/>
    </row>
    <row r="795">
      <c r="A795" s="45"/>
      <c r="B795" s="46"/>
      <c r="C795" s="47"/>
      <c r="D795" s="47"/>
      <c r="E795" s="48"/>
      <c r="F795" s="49"/>
      <c r="G795" s="49"/>
      <c r="H795" s="50"/>
      <c r="I795" s="51"/>
      <c r="J795" s="52"/>
      <c r="K795" s="50"/>
      <c r="L795" s="49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4"/>
    </row>
    <row r="796">
      <c r="A796" s="37"/>
      <c r="B796" s="38"/>
      <c r="C796" s="39"/>
      <c r="D796" s="39"/>
      <c r="E796" s="40"/>
      <c r="F796" s="41"/>
      <c r="G796" s="41"/>
      <c r="H796" s="42"/>
      <c r="I796" s="43"/>
      <c r="J796" s="44"/>
      <c r="K796" s="42"/>
      <c r="L796" s="41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1"/>
    </row>
    <row r="797">
      <c r="A797" s="45"/>
      <c r="B797" s="46"/>
      <c r="C797" s="47"/>
      <c r="D797" s="47"/>
      <c r="E797" s="48"/>
      <c r="F797" s="49"/>
      <c r="G797" s="49"/>
      <c r="H797" s="50"/>
      <c r="I797" s="51"/>
      <c r="J797" s="52"/>
      <c r="K797" s="50"/>
      <c r="L797" s="49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4"/>
    </row>
    <row r="798">
      <c r="A798" s="37"/>
      <c r="B798" s="38"/>
      <c r="C798" s="39"/>
      <c r="D798" s="39"/>
      <c r="E798" s="40"/>
      <c r="F798" s="41"/>
      <c r="G798" s="41"/>
      <c r="H798" s="42"/>
      <c r="I798" s="43"/>
      <c r="J798" s="44"/>
      <c r="K798" s="42"/>
      <c r="L798" s="41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1"/>
    </row>
    <row r="799">
      <c r="A799" s="45"/>
      <c r="B799" s="46"/>
      <c r="C799" s="47"/>
      <c r="D799" s="47"/>
      <c r="E799" s="48"/>
      <c r="F799" s="49"/>
      <c r="G799" s="49"/>
      <c r="H799" s="50"/>
      <c r="I799" s="51"/>
      <c r="J799" s="52"/>
      <c r="K799" s="50"/>
      <c r="L799" s="49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4"/>
    </row>
    <row r="800">
      <c r="A800" s="37"/>
      <c r="B800" s="38"/>
      <c r="C800" s="39"/>
      <c r="D800" s="39"/>
      <c r="E800" s="40"/>
      <c r="F800" s="41"/>
      <c r="G800" s="41"/>
      <c r="H800" s="42"/>
      <c r="I800" s="43"/>
      <c r="J800" s="44"/>
      <c r="K800" s="42"/>
      <c r="L800" s="41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1"/>
    </row>
    <row r="801">
      <c r="A801" s="45"/>
      <c r="B801" s="46"/>
      <c r="C801" s="47"/>
      <c r="D801" s="47"/>
      <c r="E801" s="48"/>
      <c r="F801" s="49"/>
      <c r="G801" s="49"/>
      <c r="H801" s="50"/>
      <c r="I801" s="51"/>
      <c r="J801" s="52"/>
      <c r="K801" s="50"/>
      <c r="L801" s="49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4"/>
    </row>
    <row r="802">
      <c r="A802" s="37"/>
      <c r="B802" s="38"/>
      <c r="C802" s="39"/>
      <c r="D802" s="39"/>
      <c r="E802" s="40"/>
      <c r="F802" s="41"/>
      <c r="G802" s="41"/>
      <c r="H802" s="42"/>
      <c r="I802" s="43"/>
      <c r="J802" s="44"/>
      <c r="K802" s="42"/>
      <c r="L802" s="41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1"/>
    </row>
    <row r="803">
      <c r="A803" s="45"/>
      <c r="B803" s="46"/>
      <c r="C803" s="47"/>
      <c r="D803" s="47"/>
      <c r="E803" s="48"/>
      <c r="F803" s="49"/>
      <c r="G803" s="49"/>
      <c r="H803" s="50"/>
      <c r="I803" s="51"/>
      <c r="J803" s="52"/>
      <c r="K803" s="50"/>
      <c r="L803" s="49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4"/>
    </row>
    <row r="804">
      <c r="A804" s="37"/>
      <c r="B804" s="38"/>
      <c r="C804" s="39"/>
      <c r="D804" s="39"/>
      <c r="E804" s="40"/>
      <c r="F804" s="41"/>
      <c r="G804" s="41"/>
      <c r="H804" s="42"/>
      <c r="I804" s="43"/>
      <c r="J804" s="44"/>
      <c r="K804" s="42"/>
      <c r="L804" s="41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1"/>
    </row>
    <row r="805">
      <c r="A805" s="45"/>
      <c r="B805" s="46"/>
      <c r="C805" s="47"/>
      <c r="D805" s="47"/>
      <c r="E805" s="48"/>
      <c r="F805" s="49"/>
      <c r="G805" s="49"/>
      <c r="H805" s="50"/>
      <c r="I805" s="51"/>
      <c r="J805" s="52"/>
      <c r="K805" s="50"/>
      <c r="L805" s="49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4"/>
    </row>
    <row r="806">
      <c r="A806" s="37"/>
      <c r="B806" s="38"/>
      <c r="C806" s="39"/>
      <c r="D806" s="39"/>
      <c r="E806" s="40"/>
      <c r="F806" s="41"/>
      <c r="G806" s="41"/>
      <c r="H806" s="42"/>
      <c r="I806" s="43"/>
      <c r="J806" s="44"/>
      <c r="K806" s="42"/>
      <c r="L806" s="41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1"/>
    </row>
    <row r="807">
      <c r="A807" s="45"/>
      <c r="B807" s="46"/>
      <c r="C807" s="47"/>
      <c r="D807" s="47"/>
      <c r="E807" s="48"/>
      <c r="F807" s="49"/>
      <c r="G807" s="49"/>
      <c r="H807" s="50"/>
      <c r="I807" s="51"/>
      <c r="J807" s="52"/>
      <c r="K807" s="50"/>
      <c r="L807" s="49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4"/>
    </row>
    <row r="808">
      <c r="A808" s="37"/>
      <c r="B808" s="38"/>
      <c r="C808" s="39"/>
      <c r="D808" s="39"/>
      <c r="E808" s="40"/>
      <c r="F808" s="41"/>
      <c r="G808" s="41"/>
      <c r="H808" s="42"/>
      <c r="I808" s="43"/>
      <c r="J808" s="44"/>
      <c r="K808" s="42"/>
      <c r="L808" s="41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1"/>
    </row>
    <row r="809">
      <c r="A809" s="45"/>
      <c r="B809" s="46"/>
      <c r="C809" s="47"/>
      <c r="D809" s="47"/>
      <c r="E809" s="48"/>
      <c r="F809" s="49"/>
      <c r="G809" s="49"/>
      <c r="H809" s="50"/>
      <c r="I809" s="51"/>
      <c r="J809" s="52"/>
      <c r="K809" s="50"/>
      <c r="L809" s="49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4"/>
    </row>
    <row r="810">
      <c r="A810" s="37"/>
      <c r="B810" s="38"/>
      <c r="C810" s="39"/>
      <c r="D810" s="39"/>
      <c r="E810" s="40"/>
      <c r="F810" s="41"/>
      <c r="G810" s="41"/>
      <c r="H810" s="42"/>
      <c r="I810" s="43"/>
      <c r="J810" s="44"/>
      <c r="K810" s="42"/>
      <c r="L810" s="41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1"/>
    </row>
    <row r="811">
      <c r="A811" s="45"/>
      <c r="B811" s="46"/>
      <c r="C811" s="47"/>
      <c r="D811" s="47"/>
      <c r="E811" s="48"/>
      <c r="F811" s="49"/>
      <c r="G811" s="49"/>
      <c r="H811" s="50"/>
      <c r="I811" s="51"/>
      <c r="J811" s="52"/>
      <c r="K811" s="50"/>
      <c r="L811" s="49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4"/>
    </row>
    <row r="812">
      <c r="A812" s="37"/>
      <c r="B812" s="38"/>
      <c r="C812" s="39"/>
      <c r="D812" s="39"/>
      <c r="E812" s="40"/>
      <c r="F812" s="41"/>
      <c r="G812" s="41"/>
      <c r="H812" s="42"/>
      <c r="I812" s="43"/>
      <c r="J812" s="44"/>
      <c r="K812" s="42"/>
      <c r="L812" s="41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1"/>
    </row>
    <row r="813">
      <c r="A813" s="45"/>
      <c r="B813" s="46"/>
      <c r="C813" s="47"/>
      <c r="D813" s="47"/>
      <c r="E813" s="48"/>
      <c r="F813" s="49"/>
      <c r="G813" s="49"/>
      <c r="H813" s="50"/>
      <c r="I813" s="51"/>
      <c r="J813" s="52"/>
      <c r="K813" s="50"/>
      <c r="L813" s="49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4"/>
    </row>
    <row r="814">
      <c r="A814" s="37"/>
      <c r="B814" s="38"/>
      <c r="C814" s="39"/>
      <c r="D814" s="39"/>
      <c r="E814" s="40"/>
      <c r="F814" s="41"/>
      <c r="G814" s="41"/>
      <c r="H814" s="42"/>
      <c r="I814" s="43"/>
      <c r="J814" s="44"/>
      <c r="K814" s="42"/>
      <c r="L814" s="41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1"/>
    </row>
    <row r="815">
      <c r="A815" s="45"/>
      <c r="B815" s="46"/>
      <c r="C815" s="47"/>
      <c r="D815" s="47"/>
      <c r="E815" s="48"/>
      <c r="F815" s="49"/>
      <c r="G815" s="49"/>
      <c r="H815" s="50"/>
      <c r="I815" s="51"/>
      <c r="J815" s="52"/>
      <c r="K815" s="50"/>
      <c r="L815" s="49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4"/>
    </row>
    <row r="816">
      <c r="A816" s="37"/>
      <c r="B816" s="38"/>
      <c r="C816" s="39"/>
      <c r="D816" s="39"/>
      <c r="E816" s="40"/>
      <c r="F816" s="41"/>
      <c r="G816" s="41"/>
      <c r="H816" s="42"/>
      <c r="I816" s="43"/>
      <c r="J816" s="44"/>
      <c r="K816" s="42"/>
      <c r="L816" s="41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1"/>
    </row>
    <row r="817">
      <c r="A817" s="45"/>
      <c r="B817" s="46"/>
      <c r="C817" s="47"/>
      <c r="D817" s="47"/>
      <c r="E817" s="48"/>
      <c r="F817" s="49"/>
      <c r="G817" s="49"/>
      <c r="H817" s="50"/>
      <c r="I817" s="51"/>
      <c r="J817" s="52"/>
      <c r="K817" s="50"/>
      <c r="L817" s="49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4"/>
    </row>
    <row r="818">
      <c r="A818" s="37"/>
      <c r="B818" s="38"/>
      <c r="C818" s="39"/>
      <c r="D818" s="39"/>
      <c r="E818" s="40"/>
      <c r="F818" s="41"/>
      <c r="G818" s="41"/>
      <c r="H818" s="42"/>
      <c r="I818" s="43"/>
      <c r="J818" s="44"/>
      <c r="K818" s="42"/>
      <c r="L818" s="41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1"/>
    </row>
    <row r="819">
      <c r="A819" s="45"/>
      <c r="B819" s="46"/>
      <c r="C819" s="47"/>
      <c r="D819" s="47"/>
      <c r="E819" s="48"/>
      <c r="F819" s="49"/>
      <c r="G819" s="49"/>
      <c r="H819" s="50"/>
      <c r="I819" s="51"/>
      <c r="J819" s="52"/>
      <c r="K819" s="50"/>
      <c r="L819" s="49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4"/>
    </row>
    <row r="820">
      <c r="A820" s="37"/>
      <c r="B820" s="38"/>
      <c r="C820" s="39"/>
      <c r="D820" s="39"/>
      <c r="E820" s="40"/>
      <c r="F820" s="41"/>
      <c r="G820" s="41"/>
      <c r="H820" s="42"/>
      <c r="I820" s="43"/>
      <c r="J820" s="44"/>
      <c r="K820" s="42"/>
      <c r="L820" s="41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1"/>
    </row>
    <row r="821">
      <c r="A821" s="45"/>
      <c r="B821" s="46"/>
      <c r="C821" s="47"/>
      <c r="D821" s="47"/>
      <c r="E821" s="48"/>
      <c r="F821" s="49"/>
      <c r="G821" s="49"/>
      <c r="H821" s="50"/>
      <c r="I821" s="51"/>
      <c r="J821" s="52"/>
      <c r="K821" s="50"/>
      <c r="L821" s="49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4"/>
    </row>
    <row r="822">
      <c r="A822" s="37"/>
      <c r="B822" s="38"/>
      <c r="C822" s="39"/>
      <c r="D822" s="39"/>
      <c r="E822" s="40"/>
      <c r="F822" s="41"/>
      <c r="G822" s="41"/>
      <c r="H822" s="42"/>
      <c r="I822" s="43"/>
      <c r="J822" s="44"/>
      <c r="K822" s="42"/>
      <c r="L822" s="41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1"/>
    </row>
    <row r="823">
      <c r="A823" s="45"/>
      <c r="B823" s="46"/>
      <c r="C823" s="47"/>
      <c r="D823" s="47"/>
      <c r="E823" s="48"/>
      <c r="F823" s="49"/>
      <c r="G823" s="49"/>
      <c r="H823" s="50"/>
      <c r="I823" s="51"/>
      <c r="J823" s="52"/>
      <c r="K823" s="50"/>
      <c r="L823" s="49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4"/>
    </row>
    <row r="824">
      <c r="A824" s="37"/>
      <c r="B824" s="38"/>
      <c r="C824" s="39"/>
      <c r="D824" s="39"/>
      <c r="E824" s="40"/>
      <c r="F824" s="41"/>
      <c r="G824" s="41"/>
      <c r="H824" s="42"/>
      <c r="I824" s="43"/>
      <c r="J824" s="44"/>
      <c r="K824" s="42"/>
      <c r="L824" s="41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1"/>
    </row>
    <row r="825">
      <c r="A825" s="45"/>
      <c r="B825" s="46"/>
      <c r="C825" s="47"/>
      <c r="D825" s="47"/>
      <c r="E825" s="48"/>
      <c r="F825" s="49"/>
      <c r="G825" s="49"/>
      <c r="H825" s="50"/>
      <c r="I825" s="51"/>
      <c r="J825" s="52"/>
      <c r="K825" s="50"/>
      <c r="L825" s="49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4"/>
    </row>
    <row r="826">
      <c r="A826" s="37"/>
      <c r="B826" s="38"/>
      <c r="C826" s="39"/>
      <c r="D826" s="39"/>
      <c r="E826" s="40"/>
      <c r="F826" s="41"/>
      <c r="G826" s="41"/>
      <c r="H826" s="42"/>
      <c r="I826" s="43"/>
      <c r="J826" s="44"/>
      <c r="K826" s="42"/>
      <c r="L826" s="41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1"/>
    </row>
    <row r="827">
      <c r="A827" s="45"/>
      <c r="B827" s="46"/>
      <c r="C827" s="47"/>
      <c r="D827" s="47"/>
      <c r="E827" s="48"/>
      <c r="F827" s="49"/>
      <c r="G827" s="49"/>
      <c r="H827" s="50"/>
      <c r="I827" s="51"/>
      <c r="J827" s="52"/>
      <c r="K827" s="50"/>
      <c r="L827" s="49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4"/>
    </row>
    <row r="828">
      <c r="A828" s="37"/>
      <c r="B828" s="38"/>
      <c r="C828" s="39"/>
      <c r="D828" s="39"/>
      <c r="E828" s="40"/>
      <c r="F828" s="41"/>
      <c r="G828" s="41"/>
      <c r="H828" s="42"/>
      <c r="I828" s="43"/>
      <c r="J828" s="44"/>
      <c r="K828" s="42"/>
      <c r="L828" s="41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1"/>
    </row>
    <row r="829">
      <c r="A829" s="45"/>
      <c r="B829" s="46"/>
      <c r="C829" s="47"/>
      <c r="D829" s="47"/>
      <c r="E829" s="48"/>
      <c r="F829" s="49"/>
      <c r="G829" s="49"/>
      <c r="H829" s="50"/>
      <c r="I829" s="51"/>
      <c r="J829" s="52"/>
      <c r="K829" s="50"/>
      <c r="L829" s="49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4"/>
    </row>
    <row r="830">
      <c r="A830" s="37"/>
      <c r="B830" s="38"/>
      <c r="C830" s="39"/>
      <c r="D830" s="39"/>
      <c r="E830" s="40"/>
      <c r="F830" s="41"/>
      <c r="G830" s="41"/>
      <c r="H830" s="42"/>
      <c r="I830" s="43"/>
      <c r="J830" s="44"/>
      <c r="K830" s="42"/>
      <c r="L830" s="41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1"/>
    </row>
    <row r="831">
      <c r="A831" s="45"/>
      <c r="B831" s="46"/>
      <c r="C831" s="47"/>
      <c r="D831" s="47"/>
      <c r="E831" s="48"/>
      <c r="F831" s="49"/>
      <c r="G831" s="49"/>
      <c r="H831" s="50"/>
      <c r="I831" s="51"/>
      <c r="J831" s="52"/>
      <c r="K831" s="50"/>
      <c r="L831" s="49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4"/>
    </row>
    <row r="832">
      <c r="A832" s="37"/>
      <c r="B832" s="38"/>
      <c r="C832" s="39"/>
      <c r="D832" s="39"/>
      <c r="E832" s="40"/>
      <c r="F832" s="41"/>
      <c r="G832" s="41"/>
      <c r="H832" s="42"/>
      <c r="I832" s="43"/>
      <c r="J832" s="44"/>
      <c r="K832" s="42"/>
      <c r="L832" s="41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1"/>
    </row>
    <row r="833">
      <c r="A833" s="45"/>
      <c r="B833" s="46"/>
      <c r="C833" s="47"/>
      <c r="D833" s="47"/>
      <c r="E833" s="48"/>
      <c r="F833" s="49"/>
      <c r="G833" s="49"/>
      <c r="H833" s="50"/>
      <c r="I833" s="51"/>
      <c r="J833" s="52"/>
      <c r="K833" s="50"/>
      <c r="L833" s="49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4"/>
    </row>
    <row r="834">
      <c r="A834" s="37"/>
      <c r="B834" s="38"/>
      <c r="C834" s="39"/>
      <c r="D834" s="39"/>
      <c r="E834" s="40"/>
      <c r="F834" s="41"/>
      <c r="G834" s="41"/>
      <c r="H834" s="42"/>
      <c r="I834" s="43"/>
      <c r="J834" s="44"/>
      <c r="K834" s="42"/>
      <c r="L834" s="41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1"/>
    </row>
    <row r="835">
      <c r="A835" s="45"/>
      <c r="B835" s="46"/>
      <c r="C835" s="47"/>
      <c r="D835" s="47"/>
      <c r="E835" s="48"/>
      <c r="F835" s="49"/>
      <c r="G835" s="49"/>
      <c r="H835" s="50"/>
      <c r="I835" s="51"/>
      <c r="J835" s="52"/>
      <c r="K835" s="50"/>
      <c r="L835" s="49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4"/>
    </row>
    <row r="836">
      <c r="A836" s="37"/>
      <c r="B836" s="38"/>
      <c r="C836" s="39"/>
      <c r="D836" s="39"/>
      <c r="E836" s="40"/>
      <c r="F836" s="41"/>
      <c r="G836" s="41"/>
      <c r="H836" s="42"/>
      <c r="I836" s="43"/>
      <c r="J836" s="44"/>
      <c r="K836" s="42"/>
      <c r="L836" s="41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1"/>
    </row>
    <row r="837">
      <c r="A837" s="45"/>
      <c r="B837" s="46"/>
      <c r="C837" s="47"/>
      <c r="D837" s="47"/>
      <c r="E837" s="48"/>
      <c r="F837" s="49"/>
      <c r="G837" s="49"/>
      <c r="H837" s="50"/>
      <c r="I837" s="51"/>
      <c r="J837" s="52"/>
      <c r="K837" s="50"/>
      <c r="L837" s="49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4"/>
    </row>
    <row r="838">
      <c r="A838" s="37"/>
      <c r="B838" s="38"/>
      <c r="C838" s="39"/>
      <c r="D838" s="39"/>
      <c r="E838" s="40"/>
      <c r="F838" s="41"/>
      <c r="G838" s="41"/>
      <c r="H838" s="42"/>
      <c r="I838" s="43"/>
      <c r="J838" s="44"/>
      <c r="K838" s="42"/>
      <c r="L838" s="41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1"/>
    </row>
    <row r="839">
      <c r="A839" s="45"/>
      <c r="B839" s="46"/>
      <c r="C839" s="47"/>
      <c r="D839" s="47"/>
      <c r="E839" s="48"/>
      <c r="F839" s="49"/>
      <c r="G839" s="49"/>
      <c r="H839" s="50"/>
      <c r="I839" s="51"/>
      <c r="J839" s="52"/>
      <c r="K839" s="50"/>
      <c r="L839" s="49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4"/>
    </row>
    <row r="840">
      <c r="A840" s="37"/>
      <c r="B840" s="38"/>
      <c r="C840" s="39"/>
      <c r="D840" s="39"/>
      <c r="E840" s="40"/>
      <c r="F840" s="41"/>
      <c r="G840" s="41"/>
      <c r="H840" s="42"/>
      <c r="I840" s="43"/>
      <c r="J840" s="44"/>
      <c r="K840" s="42"/>
      <c r="L840" s="41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1"/>
    </row>
    <row r="841">
      <c r="A841" s="45"/>
      <c r="B841" s="46"/>
      <c r="C841" s="47"/>
      <c r="D841" s="47"/>
      <c r="E841" s="48"/>
      <c r="F841" s="49"/>
      <c r="G841" s="49"/>
      <c r="H841" s="50"/>
      <c r="I841" s="51"/>
      <c r="J841" s="52"/>
      <c r="K841" s="50"/>
      <c r="L841" s="49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4"/>
    </row>
    <row r="842">
      <c r="A842" s="37"/>
      <c r="B842" s="38"/>
      <c r="C842" s="39"/>
      <c r="D842" s="39"/>
      <c r="E842" s="40"/>
      <c r="F842" s="41"/>
      <c r="G842" s="41"/>
      <c r="H842" s="42"/>
      <c r="I842" s="43"/>
      <c r="J842" s="44"/>
      <c r="K842" s="42"/>
      <c r="L842" s="41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1"/>
    </row>
    <row r="843">
      <c r="A843" s="45"/>
      <c r="B843" s="46"/>
      <c r="C843" s="47"/>
      <c r="D843" s="47"/>
      <c r="E843" s="48"/>
      <c r="F843" s="49"/>
      <c r="G843" s="49"/>
      <c r="H843" s="50"/>
      <c r="I843" s="51"/>
      <c r="J843" s="52"/>
      <c r="K843" s="50"/>
      <c r="L843" s="49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4"/>
    </row>
    <row r="844">
      <c r="A844" s="37"/>
      <c r="B844" s="38"/>
      <c r="C844" s="39"/>
      <c r="D844" s="39"/>
      <c r="E844" s="40"/>
      <c r="F844" s="41"/>
      <c r="G844" s="41"/>
      <c r="H844" s="42"/>
      <c r="I844" s="43"/>
      <c r="J844" s="44"/>
      <c r="K844" s="42"/>
      <c r="L844" s="41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1"/>
    </row>
    <row r="845">
      <c r="A845" s="45"/>
      <c r="B845" s="46"/>
      <c r="C845" s="47"/>
      <c r="D845" s="47"/>
      <c r="E845" s="48"/>
      <c r="F845" s="49"/>
      <c r="G845" s="49"/>
      <c r="H845" s="50"/>
      <c r="I845" s="51"/>
      <c r="J845" s="52"/>
      <c r="K845" s="50"/>
      <c r="L845" s="49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4"/>
    </row>
    <row r="846">
      <c r="A846" s="37"/>
      <c r="B846" s="38"/>
      <c r="C846" s="39"/>
      <c r="D846" s="39"/>
      <c r="E846" s="40"/>
      <c r="F846" s="41"/>
      <c r="G846" s="41"/>
      <c r="H846" s="42"/>
      <c r="I846" s="43"/>
      <c r="J846" s="44"/>
      <c r="K846" s="42"/>
      <c r="L846" s="41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1"/>
    </row>
    <row r="847">
      <c r="A847" s="45"/>
      <c r="B847" s="46"/>
      <c r="C847" s="47"/>
      <c r="D847" s="47"/>
      <c r="E847" s="48"/>
      <c r="F847" s="49"/>
      <c r="G847" s="49"/>
      <c r="H847" s="50"/>
      <c r="I847" s="51"/>
      <c r="J847" s="52"/>
      <c r="K847" s="50"/>
      <c r="L847" s="49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4"/>
    </row>
    <row r="848">
      <c r="A848" s="37"/>
      <c r="B848" s="38"/>
      <c r="C848" s="39"/>
      <c r="D848" s="39"/>
      <c r="E848" s="40"/>
      <c r="F848" s="41"/>
      <c r="G848" s="41"/>
      <c r="H848" s="42"/>
      <c r="I848" s="43"/>
      <c r="J848" s="44"/>
      <c r="K848" s="42"/>
      <c r="L848" s="41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1"/>
    </row>
    <row r="849">
      <c r="A849" s="45"/>
      <c r="B849" s="46"/>
      <c r="C849" s="47"/>
      <c r="D849" s="47"/>
      <c r="E849" s="48"/>
      <c r="F849" s="49"/>
      <c r="G849" s="49"/>
      <c r="H849" s="50"/>
      <c r="I849" s="51"/>
      <c r="J849" s="52"/>
      <c r="K849" s="50"/>
      <c r="L849" s="49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4"/>
    </row>
    <row r="850">
      <c r="A850" s="37"/>
      <c r="B850" s="38"/>
      <c r="C850" s="39"/>
      <c r="D850" s="39"/>
      <c r="E850" s="40"/>
      <c r="F850" s="41"/>
      <c r="G850" s="41"/>
      <c r="H850" s="42"/>
      <c r="I850" s="43"/>
      <c r="J850" s="44"/>
      <c r="K850" s="42"/>
      <c r="L850" s="41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1"/>
    </row>
    <row r="851">
      <c r="A851" s="45"/>
      <c r="B851" s="46"/>
      <c r="C851" s="47"/>
      <c r="D851" s="47"/>
      <c r="E851" s="48"/>
      <c r="F851" s="49"/>
      <c r="G851" s="49"/>
      <c r="H851" s="50"/>
      <c r="I851" s="51"/>
      <c r="J851" s="52"/>
      <c r="K851" s="50"/>
      <c r="L851" s="49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4"/>
    </row>
    <row r="852">
      <c r="A852" s="37"/>
      <c r="B852" s="38"/>
      <c r="C852" s="39"/>
      <c r="D852" s="39"/>
      <c r="E852" s="40"/>
      <c r="F852" s="41"/>
      <c r="G852" s="41"/>
      <c r="H852" s="42"/>
      <c r="I852" s="43"/>
      <c r="J852" s="44"/>
      <c r="K852" s="42"/>
      <c r="L852" s="41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1"/>
    </row>
    <row r="853">
      <c r="A853" s="45"/>
      <c r="B853" s="46"/>
      <c r="C853" s="47"/>
      <c r="D853" s="47"/>
      <c r="E853" s="48"/>
      <c r="F853" s="49"/>
      <c r="G853" s="49"/>
      <c r="H853" s="50"/>
      <c r="I853" s="51"/>
      <c r="J853" s="52"/>
      <c r="K853" s="50"/>
      <c r="L853" s="49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4"/>
    </row>
    <row r="854">
      <c r="A854" s="37"/>
      <c r="B854" s="38"/>
      <c r="C854" s="39"/>
      <c r="D854" s="39"/>
      <c r="E854" s="40"/>
      <c r="F854" s="41"/>
      <c r="G854" s="41"/>
      <c r="H854" s="42"/>
      <c r="I854" s="43"/>
      <c r="J854" s="44"/>
      <c r="K854" s="42"/>
      <c r="L854" s="41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1"/>
    </row>
    <row r="855">
      <c r="A855" s="45"/>
      <c r="B855" s="46"/>
      <c r="C855" s="47"/>
      <c r="D855" s="47"/>
      <c r="E855" s="48"/>
      <c r="F855" s="49"/>
      <c r="G855" s="49"/>
      <c r="H855" s="50"/>
      <c r="I855" s="51"/>
      <c r="J855" s="52"/>
      <c r="K855" s="50"/>
      <c r="L855" s="49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4"/>
    </row>
    <row r="856">
      <c r="A856" s="37"/>
      <c r="B856" s="38"/>
      <c r="C856" s="39"/>
      <c r="D856" s="39"/>
      <c r="E856" s="40"/>
      <c r="F856" s="41"/>
      <c r="G856" s="41"/>
      <c r="H856" s="42"/>
      <c r="I856" s="43"/>
      <c r="J856" s="44"/>
      <c r="K856" s="42"/>
      <c r="L856" s="41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1"/>
    </row>
    <row r="857">
      <c r="A857" s="45"/>
      <c r="B857" s="46"/>
      <c r="C857" s="47"/>
      <c r="D857" s="47"/>
      <c r="E857" s="48"/>
      <c r="F857" s="49"/>
      <c r="G857" s="49"/>
      <c r="H857" s="50"/>
      <c r="I857" s="51"/>
      <c r="J857" s="52"/>
      <c r="K857" s="50"/>
      <c r="L857" s="49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4"/>
    </row>
    <row r="858">
      <c r="A858" s="37"/>
      <c r="B858" s="38"/>
      <c r="C858" s="39"/>
      <c r="D858" s="39"/>
      <c r="E858" s="40"/>
      <c r="F858" s="41"/>
      <c r="G858" s="41"/>
      <c r="H858" s="42"/>
      <c r="I858" s="43"/>
      <c r="J858" s="44"/>
      <c r="K858" s="42"/>
      <c r="L858" s="41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1"/>
    </row>
    <row r="859">
      <c r="A859" s="45"/>
      <c r="B859" s="46"/>
      <c r="C859" s="47"/>
      <c r="D859" s="47"/>
      <c r="E859" s="48"/>
      <c r="F859" s="49"/>
      <c r="G859" s="49"/>
      <c r="H859" s="50"/>
      <c r="I859" s="51"/>
      <c r="J859" s="52"/>
      <c r="K859" s="50"/>
      <c r="L859" s="49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4"/>
    </row>
    <row r="860">
      <c r="A860" s="37"/>
      <c r="B860" s="38"/>
      <c r="C860" s="39"/>
      <c r="D860" s="39"/>
      <c r="E860" s="40"/>
      <c r="F860" s="41"/>
      <c r="G860" s="41"/>
      <c r="H860" s="42"/>
      <c r="I860" s="43"/>
      <c r="J860" s="44"/>
      <c r="K860" s="42"/>
      <c r="L860" s="41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1"/>
    </row>
    <row r="861">
      <c r="A861" s="45"/>
      <c r="B861" s="46"/>
      <c r="C861" s="47"/>
      <c r="D861" s="47"/>
      <c r="E861" s="48"/>
      <c r="F861" s="49"/>
      <c r="G861" s="49"/>
      <c r="H861" s="50"/>
      <c r="I861" s="51"/>
      <c r="J861" s="52"/>
      <c r="K861" s="50"/>
      <c r="L861" s="49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4"/>
    </row>
    <row r="862">
      <c r="A862" s="37"/>
      <c r="B862" s="38"/>
      <c r="C862" s="39"/>
      <c r="D862" s="39"/>
      <c r="E862" s="40"/>
      <c r="F862" s="41"/>
      <c r="G862" s="41"/>
      <c r="H862" s="42"/>
      <c r="I862" s="43"/>
      <c r="J862" s="44"/>
      <c r="K862" s="42"/>
      <c r="L862" s="41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1"/>
    </row>
    <row r="863">
      <c r="A863" s="45"/>
      <c r="B863" s="46"/>
      <c r="C863" s="47"/>
      <c r="D863" s="47"/>
      <c r="E863" s="48"/>
      <c r="F863" s="49"/>
      <c r="G863" s="49"/>
      <c r="H863" s="50"/>
      <c r="I863" s="51"/>
      <c r="J863" s="52"/>
      <c r="K863" s="50"/>
      <c r="L863" s="49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4"/>
    </row>
    <row r="864">
      <c r="A864" s="37"/>
      <c r="B864" s="38"/>
      <c r="C864" s="39"/>
      <c r="D864" s="39"/>
      <c r="E864" s="40"/>
      <c r="F864" s="41"/>
      <c r="G864" s="41"/>
      <c r="H864" s="42"/>
      <c r="I864" s="43"/>
      <c r="J864" s="44"/>
      <c r="K864" s="42"/>
      <c r="L864" s="41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1"/>
    </row>
    <row r="865">
      <c r="A865" s="45"/>
      <c r="B865" s="46"/>
      <c r="C865" s="47"/>
      <c r="D865" s="47"/>
      <c r="E865" s="48"/>
      <c r="F865" s="49"/>
      <c r="G865" s="49"/>
      <c r="H865" s="50"/>
      <c r="I865" s="51"/>
      <c r="J865" s="52"/>
      <c r="K865" s="50"/>
      <c r="L865" s="49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4"/>
    </row>
    <row r="866">
      <c r="A866" s="37"/>
      <c r="B866" s="38"/>
      <c r="C866" s="39"/>
      <c r="D866" s="39"/>
      <c r="E866" s="40"/>
      <c r="F866" s="41"/>
      <c r="G866" s="41"/>
      <c r="H866" s="42"/>
      <c r="I866" s="43"/>
      <c r="J866" s="44"/>
      <c r="K866" s="42"/>
      <c r="L866" s="41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1"/>
    </row>
    <row r="867">
      <c r="A867" s="45"/>
      <c r="B867" s="46"/>
      <c r="C867" s="47"/>
      <c r="D867" s="47"/>
      <c r="E867" s="48"/>
      <c r="F867" s="49"/>
      <c r="G867" s="49"/>
      <c r="H867" s="50"/>
      <c r="I867" s="51"/>
      <c r="J867" s="52"/>
      <c r="K867" s="50"/>
      <c r="L867" s="49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4"/>
    </row>
    <row r="868">
      <c r="A868" s="37"/>
      <c r="B868" s="38"/>
      <c r="C868" s="39"/>
      <c r="D868" s="39"/>
      <c r="E868" s="40"/>
      <c r="F868" s="41"/>
      <c r="G868" s="41"/>
      <c r="H868" s="42"/>
      <c r="I868" s="43"/>
      <c r="J868" s="44"/>
      <c r="K868" s="42"/>
      <c r="L868" s="41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1"/>
    </row>
    <row r="869">
      <c r="A869" s="45"/>
      <c r="B869" s="46"/>
      <c r="C869" s="47"/>
      <c r="D869" s="47"/>
      <c r="E869" s="48"/>
      <c r="F869" s="49"/>
      <c r="G869" s="49"/>
      <c r="H869" s="50"/>
      <c r="I869" s="51"/>
      <c r="J869" s="52"/>
      <c r="K869" s="50"/>
      <c r="L869" s="49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4"/>
    </row>
    <row r="870">
      <c r="A870" s="37"/>
      <c r="B870" s="38"/>
      <c r="C870" s="39"/>
      <c r="D870" s="39"/>
      <c r="E870" s="40"/>
      <c r="F870" s="41"/>
      <c r="G870" s="41"/>
      <c r="H870" s="42"/>
      <c r="I870" s="43"/>
      <c r="J870" s="44"/>
      <c r="K870" s="42"/>
      <c r="L870" s="41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1"/>
    </row>
    <row r="871">
      <c r="A871" s="45"/>
      <c r="B871" s="46"/>
      <c r="C871" s="47"/>
      <c r="D871" s="47"/>
      <c r="E871" s="48"/>
      <c r="F871" s="49"/>
      <c r="G871" s="49"/>
      <c r="H871" s="50"/>
      <c r="I871" s="51"/>
      <c r="J871" s="52"/>
      <c r="K871" s="50"/>
      <c r="L871" s="49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4"/>
    </row>
    <row r="872">
      <c r="A872" s="37"/>
      <c r="B872" s="38"/>
      <c r="C872" s="39"/>
      <c r="D872" s="39"/>
      <c r="E872" s="40"/>
      <c r="F872" s="41"/>
      <c r="G872" s="41"/>
      <c r="H872" s="42"/>
      <c r="I872" s="43"/>
      <c r="J872" s="44"/>
      <c r="K872" s="42"/>
      <c r="L872" s="41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1"/>
    </row>
    <row r="873">
      <c r="A873" s="45"/>
      <c r="B873" s="46"/>
      <c r="C873" s="47"/>
      <c r="D873" s="47"/>
      <c r="E873" s="48"/>
      <c r="F873" s="49"/>
      <c r="G873" s="49"/>
      <c r="H873" s="50"/>
      <c r="I873" s="51"/>
      <c r="J873" s="52"/>
      <c r="K873" s="50"/>
      <c r="L873" s="49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4"/>
    </row>
    <row r="874">
      <c r="A874" s="37"/>
      <c r="B874" s="38"/>
      <c r="C874" s="39"/>
      <c r="D874" s="39"/>
      <c r="E874" s="40"/>
      <c r="F874" s="41"/>
      <c r="G874" s="41"/>
      <c r="H874" s="42"/>
      <c r="I874" s="43"/>
      <c r="J874" s="44"/>
      <c r="K874" s="42"/>
      <c r="L874" s="41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1"/>
    </row>
    <row r="875">
      <c r="A875" s="45"/>
      <c r="B875" s="46"/>
      <c r="C875" s="47"/>
      <c r="D875" s="47"/>
      <c r="E875" s="48"/>
      <c r="F875" s="49"/>
      <c r="G875" s="49"/>
      <c r="H875" s="50"/>
      <c r="I875" s="51"/>
      <c r="J875" s="52"/>
      <c r="K875" s="50"/>
      <c r="L875" s="49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4"/>
    </row>
    <row r="876">
      <c r="A876" s="37"/>
      <c r="B876" s="38"/>
      <c r="C876" s="39"/>
      <c r="D876" s="39"/>
      <c r="E876" s="40"/>
      <c r="F876" s="41"/>
      <c r="G876" s="41"/>
      <c r="H876" s="42"/>
      <c r="I876" s="43"/>
      <c r="J876" s="44"/>
      <c r="K876" s="42"/>
      <c r="L876" s="41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1"/>
    </row>
    <row r="877">
      <c r="A877" s="45"/>
      <c r="B877" s="46"/>
      <c r="C877" s="47"/>
      <c r="D877" s="47"/>
      <c r="E877" s="48"/>
      <c r="F877" s="49"/>
      <c r="G877" s="49"/>
      <c r="H877" s="50"/>
      <c r="I877" s="51"/>
      <c r="J877" s="52"/>
      <c r="K877" s="50"/>
      <c r="L877" s="49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4"/>
    </row>
    <row r="878">
      <c r="A878" s="37"/>
      <c r="B878" s="38"/>
      <c r="C878" s="39"/>
      <c r="D878" s="39"/>
      <c r="E878" s="40"/>
      <c r="F878" s="41"/>
      <c r="G878" s="41"/>
      <c r="H878" s="42"/>
      <c r="I878" s="43"/>
      <c r="J878" s="44"/>
      <c r="K878" s="42"/>
      <c r="L878" s="41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1"/>
    </row>
    <row r="879">
      <c r="A879" s="45"/>
      <c r="B879" s="46"/>
      <c r="C879" s="47"/>
      <c r="D879" s="47"/>
      <c r="E879" s="48"/>
      <c r="F879" s="49"/>
      <c r="G879" s="49"/>
      <c r="H879" s="50"/>
      <c r="I879" s="51"/>
      <c r="J879" s="52"/>
      <c r="K879" s="50"/>
      <c r="L879" s="49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4"/>
    </row>
    <row r="880">
      <c r="A880" s="37"/>
      <c r="B880" s="38"/>
      <c r="C880" s="39"/>
      <c r="D880" s="39"/>
      <c r="E880" s="40"/>
      <c r="F880" s="41"/>
      <c r="G880" s="41"/>
      <c r="H880" s="42"/>
      <c r="I880" s="43"/>
      <c r="J880" s="44"/>
      <c r="K880" s="42"/>
      <c r="L880" s="41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1"/>
    </row>
    <row r="881">
      <c r="A881" s="45"/>
      <c r="B881" s="46"/>
      <c r="C881" s="47"/>
      <c r="D881" s="47"/>
      <c r="E881" s="48"/>
      <c r="F881" s="49"/>
      <c r="G881" s="49"/>
      <c r="H881" s="50"/>
      <c r="I881" s="51"/>
      <c r="J881" s="52"/>
      <c r="K881" s="50"/>
      <c r="L881" s="49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4"/>
    </row>
    <row r="882">
      <c r="A882" s="37"/>
      <c r="B882" s="38"/>
      <c r="C882" s="39"/>
      <c r="D882" s="39"/>
      <c r="E882" s="40"/>
      <c r="F882" s="41"/>
      <c r="G882" s="41"/>
      <c r="H882" s="42"/>
      <c r="I882" s="43"/>
      <c r="J882" s="44"/>
      <c r="K882" s="42"/>
      <c r="L882" s="41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1"/>
    </row>
    <row r="883">
      <c r="A883" s="45"/>
      <c r="B883" s="46"/>
      <c r="C883" s="47"/>
      <c r="D883" s="47"/>
      <c r="E883" s="48"/>
      <c r="F883" s="49"/>
      <c r="G883" s="49"/>
      <c r="H883" s="50"/>
      <c r="I883" s="51"/>
      <c r="J883" s="52"/>
      <c r="K883" s="50"/>
      <c r="L883" s="49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4"/>
    </row>
    <row r="884">
      <c r="A884" s="37"/>
      <c r="B884" s="38"/>
      <c r="C884" s="39"/>
      <c r="D884" s="39"/>
      <c r="E884" s="40"/>
      <c r="F884" s="41"/>
      <c r="G884" s="41"/>
      <c r="H884" s="42"/>
      <c r="I884" s="43"/>
      <c r="J884" s="44"/>
      <c r="K884" s="42"/>
      <c r="L884" s="41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1"/>
    </row>
    <row r="885">
      <c r="A885" s="45"/>
      <c r="B885" s="46"/>
      <c r="C885" s="47"/>
      <c r="D885" s="47"/>
      <c r="E885" s="48"/>
      <c r="F885" s="49"/>
      <c r="G885" s="49"/>
      <c r="H885" s="50"/>
      <c r="I885" s="51"/>
      <c r="J885" s="52"/>
      <c r="K885" s="50"/>
      <c r="L885" s="49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4"/>
    </row>
    <row r="886">
      <c r="A886" s="37"/>
      <c r="B886" s="38"/>
      <c r="C886" s="39"/>
      <c r="D886" s="39"/>
      <c r="E886" s="40"/>
      <c r="F886" s="41"/>
      <c r="G886" s="41"/>
      <c r="H886" s="42"/>
      <c r="I886" s="43"/>
      <c r="J886" s="44"/>
      <c r="K886" s="42"/>
      <c r="L886" s="41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1"/>
    </row>
    <row r="887">
      <c r="A887" s="45"/>
      <c r="B887" s="46"/>
      <c r="C887" s="47"/>
      <c r="D887" s="47"/>
      <c r="E887" s="48"/>
      <c r="F887" s="49"/>
      <c r="G887" s="49"/>
      <c r="H887" s="50"/>
      <c r="I887" s="51"/>
      <c r="J887" s="52"/>
      <c r="K887" s="50"/>
      <c r="L887" s="49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4"/>
    </row>
    <row r="888">
      <c r="A888" s="37"/>
      <c r="B888" s="38"/>
      <c r="C888" s="39"/>
      <c r="D888" s="39"/>
      <c r="E888" s="40"/>
      <c r="F888" s="41"/>
      <c r="G888" s="41"/>
      <c r="H888" s="42"/>
      <c r="I888" s="43"/>
      <c r="J888" s="44"/>
      <c r="K888" s="42"/>
      <c r="L888" s="41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1"/>
    </row>
    <row r="889">
      <c r="A889" s="45"/>
      <c r="B889" s="46"/>
      <c r="C889" s="47"/>
      <c r="D889" s="47"/>
      <c r="E889" s="48"/>
      <c r="F889" s="49"/>
      <c r="G889" s="49"/>
      <c r="H889" s="50"/>
      <c r="I889" s="51"/>
      <c r="J889" s="52"/>
      <c r="K889" s="50"/>
      <c r="L889" s="49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4"/>
    </row>
    <row r="890">
      <c r="A890" s="37"/>
      <c r="B890" s="38"/>
      <c r="C890" s="39"/>
      <c r="D890" s="39"/>
      <c r="E890" s="40"/>
      <c r="F890" s="41"/>
      <c r="G890" s="41"/>
      <c r="H890" s="42"/>
      <c r="I890" s="43"/>
      <c r="J890" s="44"/>
      <c r="K890" s="42"/>
      <c r="L890" s="41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1"/>
    </row>
    <row r="891">
      <c r="A891" s="45"/>
      <c r="B891" s="46"/>
      <c r="C891" s="47"/>
      <c r="D891" s="47"/>
      <c r="E891" s="48"/>
      <c r="F891" s="49"/>
      <c r="G891" s="49"/>
      <c r="H891" s="50"/>
      <c r="I891" s="51"/>
      <c r="J891" s="52"/>
      <c r="K891" s="50"/>
      <c r="L891" s="49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4"/>
    </row>
    <row r="892">
      <c r="A892" s="37"/>
      <c r="B892" s="38"/>
      <c r="C892" s="39"/>
      <c r="D892" s="39"/>
      <c r="E892" s="40"/>
      <c r="F892" s="41"/>
      <c r="G892" s="41"/>
      <c r="H892" s="42"/>
      <c r="I892" s="43"/>
      <c r="J892" s="44"/>
      <c r="K892" s="42"/>
      <c r="L892" s="41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1"/>
    </row>
    <row r="893">
      <c r="A893" s="45"/>
      <c r="B893" s="46"/>
      <c r="C893" s="47"/>
      <c r="D893" s="47"/>
      <c r="E893" s="48"/>
      <c r="F893" s="49"/>
      <c r="G893" s="49"/>
      <c r="H893" s="50"/>
      <c r="I893" s="51"/>
      <c r="J893" s="52"/>
      <c r="K893" s="50"/>
      <c r="L893" s="49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4"/>
    </row>
    <row r="894">
      <c r="A894" s="37"/>
      <c r="B894" s="38"/>
      <c r="C894" s="39"/>
      <c r="D894" s="39"/>
      <c r="E894" s="40"/>
      <c r="F894" s="41"/>
      <c r="G894" s="41"/>
      <c r="H894" s="42"/>
      <c r="I894" s="43"/>
      <c r="J894" s="44"/>
      <c r="K894" s="42"/>
      <c r="L894" s="41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1"/>
    </row>
    <row r="895">
      <c r="A895" s="45"/>
      <c r="B895" s="46"/>
      <c r="C895" s="47"/>
      <c r="D895" s="47"/>
      <c r="E895" s="48"/>
      <c r="F895" s="49"/>
      <c r="G895" s="49"/>
      <c r="H895" s="50"/>
      <c r="I895" s="51"/>
      <c r="J895" s="52"/>
      <c r="K895" s="50"/>
      <c r="L895" s="49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4"/>
    </row>
    <row r="896">
      <c r="A896" s="37"/>
      <c r="B896" s="38"/>
      <c r="C896" s="39"/>
      <c r="D896" s="39"/>
      <c r="E896" s="40"/>
      <c r="F896" s="41"/>
      <c r="G896" s="41"/>
      <c r="H896" s="42"/>
      <c r="I896" s="43"/>
      <c r="J896" s="44"/>
      <c r="K896" s="42"/>
      <c r="L896" s="41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1"/>
    </row>
    <row r="897">
      <c r="A897" s="45"/>
      <c r="B897" s="46"/>
      <c r="C897" s="47"/>
      <c r="D897" s="47"/>
      <c r="E897" s="48"/>
      <c r="F897" s="49"/>
      <c r="G897" s="49"/>
      <c r="H897" s="50"/>
      <c r="I897" s="51"/>
      <c r="J897" s="52"/>
      <c r="K897" s="50"/>
      <c r="L897" s="49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4"/>
    </row>
    <row r="898">
      <c r="A898" s="37"/>
      <c r="B898" s="38"/>
      <c r="C898" s="39"/>
      <c r="D898" s="39"/>
      <c r="E898" s="40"/>
      <c r="F898" s="41"/>
      <c r="G898" s="41"/>
      <c r="H898" s="42"/>
      <c r="I898" s="43"/>
      <c r="J898" s="44"/>
      <c r="K898" s="42"/>
      <c r="L898" s="41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1"/>
    </row>
    <row r="899">
      <c r="A899" s="45"/>
      <c r="B899" s="46"/>
      <c r="C899" s="47"/>
      <c r="D899" s="47"/>
      <c r="E899" s="48"/>
      <c r="F899" s="49"/>
      <c r="G899" s="49"/>
      <c r="H899" s="50"/>
      <c r="I899" s="51"/>
      <c r="J899" s="52"/>
      <c r="K899" s="50"/>
      <c r="L899" s="49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4"/>
    </row>
    <row r="900">
      <c r="A900" s="37"/>
      <c r="B900" s="38"/>
      <c r="C900" s="39"/>
      <c r="D900" s="39"/>
      <c r="E900" s="40"/>
      <c r="F900" s="41"/>
      <c r="G900" s="41"/>
      <c r="H900" s="42"/>
      <c r="I900" s="43"/>
      <c r="J900" s="44"/>
      <c r="K900" s="42"/>
      <c r="L900" s="41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1"/>
    </row>
    <row r="901">
      <c r="A901" s="45"/>
      <c r="B901" s="46"/>
      <c r="C901" s="47"/>
      <c r="D901" s="47"/>
      <c r="E901" s="48"/>
      <c r="F901" s="49"/>
      <c r="G901" s="49"/>
      <c r="H901" s="50"/>
      <c r="I901" s="51"/>
      <c r="J901" s="52"/>
      <c r="K901" s="50"/>
      <c r="L901" s="49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4"/>
    </row>
    <row r="902">
      <c r="A902" s="37"/>
      <c r="B902" s="38"/>
      <c r="C902" s="39"/>
      <c r="D902" s="39"/>
      <c r="E902" s="40"/>
      <c r="F902" s="41"/>
      <c r="G902" s="41"/>
      <c r="H902" s="42"/>
      <c r="I902" s="43"/>
      <c r="J902" s="44"/>
      <c r="K902" s="42"/>
      <c r="L902" s="41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1"/>
    </row>
    <row r="903">
      <c r="A903" s="45"/>
      <c r="B903" s="46"/>
      <c r="C903" s="47"/>
      <c r="D903" s="47"/>
      <c r="E903" s="48"/>
      <c r="F903" s="49"/>
      <c r="G903" s="49"/>
      <c r="H903" s="50"/>
      <c r="I903" s="51"/>
      <c r="J903" s="52"/>
      <c r="K903" s="50"/>
      <c r="L903" s="49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4"/>
    </row>
    <row r="904">
      <c r="A904" s="37"/>
      <c r="B904" s="38"/>
      <c r="C904" s="39"/>
      <c r="D904" s="39"/>
      <c r="E904" s="40"/>
      <c r="F904" s="41"/>
      <c r="G904" s="41"/>
      <c r="H904" s="42"/>
      <c r="I904" s="43"/>
      <c r="J904" s="44"/>
      <c r="K904" s="42"/>
      <c r="L904" s="41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1"/>
    </row>
    <row r="905">
      <c r="A905" s="45"/>
      <c r="B905" s="46"/>
      <c r="C905" s="47"/>
      <c r="D905" s="47"/>
      <c r="E905" s="48"/>
      <c r="F905" s="49"/>
      <c r="G905" s="49"/>
      <c r="H905" s="50"/>
      <c r="I905" s="51"/>
      <c r="J905" s="52"/>
      <c r="K905" s="50"/>
      <c r="L905" s="49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4"/>
    </row>
    <row r="906">
      <c r="A906" s="37"/>
      <c r="B906" s="38"/>
      <c r="C906" s="39"/>
      <c r="D906" s="39"/>
      <c r="E906" s="40"/>
      <c r="F906" s="41"/>
      <c r="G906" s="41"/>
      <c r="H906" s="42"/>
      <c r="I906" s="43"/>
      <c r="J906" s="44"/>
      <c r="K906" s="42"/>
      <c r="L906" s="41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1"/>
    </row>
    <row r="907">
      <c r="A907" s="45"/>
      <c r="B907" s="46"/>
      <c r="C907" s="47"/>
      <c r="D907" s="47"/>
      <c r="E907" s="48"/>
      <c r="F907" s="49"/>
      <c r="G907" s="49"/>
      <c r="H907" s="50"/>
      <c r="I907" s="51"/>
      <c r="J907" s="52"/>
      <c r="K907" s="50"/>
      <c r="L907" s="49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4"/>
    </row>
    <row r="908">
      <c r="A908" s="37"/>
      <c r="B908" s="38"/>
      <c r="C908" s="39"/>
      <c r="D908" s="39"/>
      <c r="E908" s="40"/>
      <c r="F908" s="41"/>
      <c r="G908" s="41"/>
      <c r="H908" s="42"/>
      <c r="I908" s="43"/>
      <c r="J908" s="44"/>
      <c r="K908" s="42"/>
      <c r="L908" s="41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1"/>
    </row>
    <row r="909">
      <c r="A909" s="45"/>
      <c r="B909" s="46"/>
      <c r="C909" s="47"/>
      <c r="D909" s="47"/>
      <c r="E909" s="48"/>
      <c r="F909" s="49"/>
      <c r="G909" s="49"/>
      <c r="H909" s="50"/>
      <c r="I909" s="51"/>
      <c r="J909" s="52"/>
      <c r="K909" s="50"/>
      <c r="L909" s="49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4"/>
    </row>
    <row r="910">
      <c r="A910" s="37"/>
      <c r="B910" s="38"/>
      <c r="C910" s="39"/>
      <c r="D910" s="39"/>
      <c r="E910" s="40"/>
      <c r="F910" s="41"/>
      <c r="G910" s="41"/>
      <c r="H910" s="42"/>
      <c r="I910" s="43"/>
      <c r="J910" s="44"/>
      <c r="K910" s="42"/>
      <c r="L910" s="41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1"/>
    </row>
    <row r="911">
      <c r="A911" s="45"/>
      <c r="B911" s="46"/>
      <c r="C911" s="47"/>
      <c r="D911" s="47"/>
      <c r="E911" s="48"/>
      <c r="F911" s="49"/>
      <c r="G911" s="49"/>
      <c r="H911" s="50"/>
      <c r="I911" s="51"/>
      <c r="J911" s="52"/>
      <c r="K911" s="50"/>
      <c r="L911" s="49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4"/>
    </row>
    <row r="912">
      <c r="A912" s="37"/>
      <c r="B912" s="38"/>
      <c r="C912" s="39"/>
      <c r="D912" s="39"/>
      <c r="E912" s="40"/>
      <c r="F912" s="41"/>
      <c r="G912" s="41"/>
      <c r="H912" s="42"/>
      <c r="I912" s="43"/>
      <c r="J912" s="44"/>
      <c r="K912" s="42"/>
      <c r="L912" s="41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1"/>
    </row>
    <row r="913">
      <c r="A913" s="45"/>
      <c r="B913" s="46"/>
      <c r="C913" s="47"/>
      <c r="D913" s="47"/>
      <c r="E913" s="48"/>
      <c r="F913" s="49"/>
      <c r="G913" s="49"/>
      <c r="H913" s="50"/>
      <c r="I913" s="51"/>
      <c r="J913" s="52"/>
      <c r="K913" s="50"/>
      <c r="L913" s="49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4"/>
    </row>
    <row r="914">
      <c r="A914" s="37"/>
      <c r="B914" s="38"/>
      <c r="C914" s="39"/>
      <c r="D914" s="39"/>
      <c r="E914" s="40"/>
      <c r="F914" s="41"/>
      <c r="G914" s="41"/>
      <c r="H914" s="42"/>
      <c r="I914" s="43"/>
      <c r="J914" s="44"/>
      <c r="K914" s="42"/>
      <c r="L914" s="41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1"/>
    </row>
    <row r="915">
      <c r="A915" s="45"/>
      <c r="B915" s="46"/>
      <c r="C915" s="47"/>
      <c r="D915" s="47"/>
      <c r="E915" s="48"/>
      <c r="F915" s="49"/>
      <c r="G915" s="49"/>
      <c r="H915" s="50"/>
      <c r="I915" s="51"/>
      <c r="J915" s="52"/>
      <c r="K915" s="50"/>
      <c r="L915" s="49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4"/>
    </row>
    <row r="916">
      <c r="A916" s="37"/>
      <c r="B916" s="38"/>
      <c r="C916" s="39"/>
      <c r="D916" s="39"/>
      <c r="E916" s="40"/>
      <c r="F916" s="41"/>
      <c r="G916" s="41"/>
      <c r="H916" s="42"/>
      <c r="I916" s="43"/>
      <c r="J916" s="44"/>
      <c r="K916" s="42"/>
      <c r="L916" s="41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1"/>
    </row>
    <row r="917">
      <c r="A917" s="45"/>
      <c r="B917" s="46"/>
      <c r="C917" s="47"/>
      <c r="D917" s="47"/>
      <c r="E917" s="48"/>
      <c r="F917" s="49"/>
      <c r="G917" s="49"/>
      <c r="H917" s="50"/>
      <c r="I917" s="51"/>
      <c r="J917" s="52"/>
      <c r="K917" s="50"/>
      <c r="L917" s="49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4"/>
    </row>
    <row r="918">
      <c r="A918" s="37"/>
      <c r="B918" s="38"/>
      <c r="C918" s="39"/>
      <c r="D918" s="39"/>
      <c r="E918" s="40"/>
      <c r="F918" s="41"/>
      <c r="G918" s="41"/>
      <c r="H918" s="42"/>
      <c r="I918" s="43"/>
      <c r="J918" s="44"/>
      <c r="K918" s="42"/>
      <c r="L918" s="41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1"/>
    </row>
    <row r="919">
      <c r="A919" s="45"/>
      <c r="B919" s="46"/>
      <c r="C919" s="47"/>
      <c r="D919" s="47"/>
      <c r="E919" s="48"/>
      <c r="F919" s="49"/>
      <c r="G919" s="49"/>
      <c r="H919" s="50"/>
      <c r="I919" s="51"/>
      <c r="J919" s="52"/>
      <c r="K919" s="50"/>
      <c r="L919" s="49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4"/>
    </row>
    <row r="920">
      <c r="A920" s="37"/>
      <c r="B920" s="38"/>
      <c r="C920" s="39"/>
      <c r="D920" s="39"/>
      <c r="E920" s="40"/>
      <c r="F920" s="41"/>
      <c r="G920" s="41"/>
      <c r="H920" s="42"/>
      <c r="I920" s="43"/>
      <c r="J920" s="44"/>
      <c r="K920" s="42"/>
      <c r="L920" s="41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1"/>
    </row>
    <row r="921">
      <c r="A921" s="45"/>
      <c r="B921" s="46"/>
      <c r="C921" s="47"/>
      <c r="D921" s="47"/>
      <c r="E921" s="48"/>
      <c r="F921" s="49"/>
      <c r="G921" s="49"/>
      <c r="H921" s="50"/>
      <c r="I921" s="51"/>
      <c r="J921" s="52"/>
      <c r="K921" s="50"/>
      <c r="L921" s="49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4"/>
    </row>
    <row r="922">
      <c r="A922" s="37"/>
      <c r="B922" s="38"/>
      <c r="C922" s="39"/>
      <c r="D922" s="39"/>
      <c r="E922" s="40"/>
      <c r="F922" s="41"/>
      <c r="G922" s="41"/>
      <c r="H922" s="42"/>
      <c r="I922" s="43"/>
      <c r="J922" s="44"/>
      <c r="K922" s="42"/>
      <c r="L922" s="41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1"/>
    </row>
    <row r="923">
      <c r="A923" s="45"/>
      <c r="B923" s="46"/>
      <c r="C923" s="47"/>
      <c r="D923" s="47"/>
      <c r="E923" s="48"/>
      <c r="F923" s="49"/>
      <c r="G923" s="49"/>
      <c r="H923" s="50"/>
      <c r="I923" s="51"/>
      <c r="J923" s="52"/>
      <c r="K923" s="50"/>
      <c r="L923" s="49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4"/>
    </row>
    <row r="924">
      <c r="A924" s="37"/>
      <c r="B924" s="38"/>
      <c r="C924" s="39"/>
      <c r="D924" s="39"/>
      <c r="E924" s="40"/>
      <c r="F924" s="41"/>
      <c r="G924" s="41"/>
      <c r="H924" s="42"/>
      <c r="I924" s="43"/>
      <c r="J924" s="44"/>
      <c r="K924" s="42"/>
      <c r="L924" s="41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1"/>
    </row>
    <row r="925">
      <c r="A925" s="45"/>
      <c r="B925" s="46"/>
      <c r="C925" s="47"/>
      <c r="D925" s="47"/>
      <c r="E925" s="48"/>
      <c r="F925" s="49"/>
      <c r="G925" s="49"/>
      <c r="H925" s="50"/>
      <c r="I925" s="51"/>
      <c r="J925" s="52"/>
      <c r="K925" s="50"/>
      <c r="L925" s="49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4"/>
    </row>
    <row r="926">
      <c r="A926" s="37"/>
      <c r="B926" s="38"/>
      <c r="C926" s="39"/>
      <c r="D926" s="39"/>
      <c r="E926" s="40"/>
      <c r="F926" s="41"/>
      <c r="G926" s="41"/>
      <c r="H926" s="42"/>
      <c r="I926" s="43"/>
      <c r="J926" s="44"/>
      <c r="K926" s="42"/>
      <c r="L926" s="41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1"/>
    </row>
    <row r="927">
      <c r="A927" s="45"/>
      <c r="B927" s="46"/>
      <c r="C927" s="47"/>
      <c r="D927" s="47"/>
      <c r="E927" s="48"/>
      <c r="F927" s="49"/>
      <c r="G927" s="49"/>
      <c r="H927" s="50"/>
      <c r="I927" s="51"/>
      <c r="J927" s="52"/>
      <c r="K927" s="50"/>
      <c r="L927" s="49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4"/>
    </row>
    <row r="928">
      <c r="A928" s="37"/>
      <c r="B928" s="38"/>
      <c r="C928" s="39"/>
      <c r="D928" s="39"/>
      <c r="E928" s="40"/>
      <c r="F928" s="41"/>
      <c r="G928" s="41"/>
      <c r="H928" s="42"/>
      <c r="I928" s="43"/>
      <c r="J928" s="44"/>
      <c r="K928" s="42"/>
      <c r="L928" s="41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1"/>
    </row>
    <row r="929">
      <c r="A929" s="45"/>
      <c r="B929" s="46"/>
      <c r="C929" s="47"/>
      <c r="D929" s="47"/>
      <c r="E929" s="48"/>
      <c r="F929" s="49"/>
      <c r="G929" s="49"/>
      <c r="H929" s="50"/>
      <c r="I929" s="51"/>
      <c r="J929" s="52"/>
      <c r="K929" s="50"/>
      <c r="L929" s="49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4"/>
    </row>
    <row r="930">
      <c r="A930" s="37"/>
      <c r="B930" s="38"/>
      <c r="C930" s="39"/>
      <c r="D930" s="39"/>
      <c r="E930" s="40"/>
      <c r="F930" s="41"/>
      <c r="G930" s="41"/>
      <c r="H930" s="42"/>
      <c r="I930" s="43"/>
      <c r="J930" s="44"/>
      <c r="K930" s="42"/>
      <c r="L930" s="41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1"/>
    </row>
    <row r="931">
      <c r="A931" s="45"/>
      <c r="B931" s="46"/>
      <c r="C931" s="47"/>
      <c r="D931" s="47"/>
      <c r="E931" s="48"/>
      <c r="F931" s="49"/>
      <c r="G931" s="49"/>
      <c r="H931" s="50"/>
      <c r="I931" s="51"/>
      <c r="J931" s="52"/>
      <c r="K931" s="50"/>
      <c r="L931" s="49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4"/>
    </row>
    <row r="932">
      <c r="A932" s="37"/>
      <c r="B932" s="38"/>
      <c r="C932" s="39"/>
      <c r="D932" s="39"/>
      <c r="E932" s="40"/>
      <c r="F932" s="41"/>
      <c r="G932" s="41"/>
      <c r="H932" s="42"/>
      <c r="I932" s="43"/>
      <c r="J932" s="44"/>
      <c r="K932" s="42"/>
      <c r="L932" s="41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1"/>
    </row>
    <row r="933">
      <c r="A933" s="45"/>
      <c r="B933" s="46"/>
      <c r="C933" s="47"/>
      <c r="D933" s="47"/>
      <c r="E933" s="48"/>
      <c r="F933" s="49"/>
      <c r="G933" s="49"/>
      <c r="H933" s="50"/>
      <c r="I933" s="51"/>
      <c r="J933" s="52"/>
      <c r="K933" s="50"/>
      <c r="L933" s="49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4"/>
    </row>
    <row r="934">
      <c r="A934" s="37"/>
      <c r="B934" s="38"/>
      <c r="C934" s="39"/>
      <c r="D934" s="39"/>
      <c r="E934" s="40"/>
      <c r="F934" s="41"/>
      <c r="G934" s="41"/>
      <c r="H934" s="42"/>
      <c r="I934" s="43"/>
      <c r="J934" s="44"/>
      <c r="K934" s="42"/>
      <c r="L934" s="41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1"/>
    </row>
    <row r="935">
      <c r="A935" s="45"/>
      <c r="B935" s="46"/>
      <c r="C935" s="47"/>
      <c r="D935" s="47"/>
      <c r="E935" s="48"/>
      <c r="F935" s="49"/>
      <c r="G935" s="49"/>
      <c r="H935" s="50"/>
      <c r="I935" s="51"/>
      <c r="J935" s="52"/>
      <c r="K935" s="50"/>
      <c r="L935" s="49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4"/>
    </row>
    <row r="936">
      <c r="A936" s="37"/>
      <c r="B936" s="38"/>
      <c r="C936" s="39"/>
      <c r="D936" s="39"/>
      <c r="E936" s="40"/>
      <c r="F936" s="41"/>
      <c r="G936" s="41"/>
      <c r="H936" s="42"/>
      <c r="I936" s="43"/>
      <c r="J936" s="44"/>
      <c r="K936" s="42"/>
      <c r="L936" s="41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1"/>
    </row>
    <row r="937">
      <c r="A937" s="45"/>
      <c r="B937" s="46"/>
      <c r="C937" s="47"/>
      <c r="D937" s="47"/>
      <c r="E937" s="48"/>
      <c r="F937" s="49"/>
      <c r="G937" s="49"/>
      <c r="H937" s="50"/>
      <c r="I937" s="51"/>
      <c r="J937" s="52"/>
      <c r="K937" s="50"/>
      <c r="L937" s="49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4"/>
    </row>
    <row r="938">
      <c r="A938" s="37"/>
      <c r="B938" s="38"/>
      <c r="C938" s="39"/>
      <c r="D938" s="39"/>
      <c r="E938" s="40"/>
      <c r="F938" s="41"/>
      <c r="G938" s="41"/>
      <c r="H938" s="42"/>
      <c r="I938" s="43"/>
      <c r="J938" s="44"/>
      <c r="K938" s="42"/>
      <c r="L938" s="41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1"/>
    </row>
    <row r="939">
      <c r="A939" s="45"/>
      <c r="B939" s="46"/>
      <c r="C939" s="47"/>
      <c r="D939" s="47"/>
      <c r="E939" s="48"/>
      <c r="F939" s="49"/>
      <c r="G939" s="49"/>
      <c r="H939" s="50"/>
      <c r="I939" s="51"/>
      <c r="J939" s="52"/>
      <c r="K939" s="50"/>
      <c r="L939" s="49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4"/>
    </row>
    <row r="940">
      <c r="A940" s="37"/>
      <c r="B940" s="38"/>
      <c r="C940" s="39"/>
      <c r="D940" s="39"/>
      <c r="E940" s="40"/>
      <c r="F940" s="41"/>
      <c r="G940" s="41"/>
      <c r="H940" s="42"/>
      <c r="I940" s="43"/>
      <c r="J940" s="44"/>
      <c r="K940" s="42"/>
      <c r="L940" s="41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1"/>
    </row>
    <row r="941">
      <c r="A941" s="45"/>
      <c r="B941" s="46"/>
      <c r="C941" s="47"/>
      <c r="D941" s="47"/>
      <c r="E941" s="48"/>
      <c r="F941" s="49"/>
      <c r="G941" s="49"/>
      <c r="H941" s="50"/>
      <c r="I941" s="51"/>
      <c r="J941" s="52"/>
      <c r="K941" s="50"/>
      <c r="L941" s="49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4"/>
    </row>
    <row r="942">
      <c r="A942" s="37"/>
      <c r="B942" s="38"/>
      <c r="C942" s="39"/>
      <c r="D942" s="39"/>
      <c r="E942" s="40"/>
      <c r="F942" s="41"/>
      <c r="G942" s="41"/>
      <c r="H942" s="42"/>
      <c r="I942" s="43"/>
      <c r="J942" s="44"/>
      <c r="K942" s="42"/>
      <c r="L942" s="41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1"/>
    </row>
    <row r="943">
      <c r="A943" s="45"/>
      <c r="B943" s="46"/>
      <c r="C943" s="47"/>
      <c r="D943" s="47"/>
      <c r="E943" s="48"/>
      <c r="F943" s="49"/>
      <c r="G943" s="49"/>
      <c r="H943" s="50"/>
      <c r="I943" s="51"/>
      <c r="J943" s="52"/>
      <c r="K943" s="50"/>
      <c r="L943" s="49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4"/>
    </row>
    <row r="944">
      <c r="A944" s="37"/>
      <c r="B944" s="38"/>
      <c r="C944" s="39"/>
      <c r="D944" s="39"/>
      <c r="E944" s="40"/>
      <c r="F944" s="41"/>
      <c r="G944" s="41"/>
      <c r="H944" s="42"/>
      <c r="I944" s="43"/>
      <c r="J944" s="44"/>
      <c r="K944" s="42"/>
      <c r="L944" s="41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1"/>
    </row>
    <row r="945">
      <c r="A945" s="45"/>
      <c r="B945" s="46"/>
      <c r="C945" s="47"/>
      <c r="D945" s="47"/>
      <c r="E945" s="48"/>
      <c r="F945" s="49"/>
      <c r="G945" s="49"/>
      <c r="H945" s="50"/>
      <c r="I945" s="51"/>
      <c r="J945" s="52"/>
      <c r="K945" s="50"/>
      <c r="L945" s="49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4"/>
    </row>
    <row r="946">
      <c r="A946" s="37"/>
      <c r="B946" s="38"/>
      <c r="C946" s="39"/>
      <c r="D946" s="39"/>
      <c r="E946" s="40"/>
      <c r="F946" s="41"/>
      <c r="G946" s="41"/>
      <c r="H946" s="42"/>
      <c r="I946" s="43"/>
      <c r="J946" s="44"/>
      <c r="K946" s="42"/>
      <c r="L946" s="41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1"/>
    </row>
    <row r="947">
      <c r="A947" s="45"/>
      <c r="B947" s="46"/>
      <c r="C947" s="47"/>
      <c r="D947" s="47"/>
      <c r="E947" s="48"/>
      <c r="F947" s="49"/>
      <c r="G947" s="49"/>
      <c r="H947" s="50"/>
      <c r="I947" s="51"/>
      <c r="J947" s="52"/>
      <c r="K947" s="50"/>
      <c r="L947" s="49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4"/>
    </row>
    <row r="948">
      <c r="A948" s="37"/>
      <c r="B948" s="38"/>
      <c r="C948" s="39"/>
      <c r="D948" s="39"/>
      <c r="E948" s="40"/>
      <c r="F948" s="41"/>
      <c r="G948" s="41"/>
      <c r="H948" s="42"/>
      <c r="I948" s="43"/>
      <c r="J948" s="44"/>
      <c r="K948" s="42"/>
      <c r="L948" s="41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1"/>
    </row>
    <row r="949">
      <c r="A949" s="45"/>
      <c r="B949" s="46"/>
      <c r="C949" s="47"/>
      <c r="D949" s="47"/>
      <c r="E949" s="48"/>
      <c r="F949" s="49"/>
      <c r="G949" s="49"/>
      <c r="H949" s="50"/>
      <c r="I949" s="51"/>
      <c r="J949" s="52"/>
      <c r="K949" s="50"/>
      <c r="L949" s="49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4"/>
    </row>
    <row r="950">
      <c r="A950" s="37"/>
      <c r="B950" s="38"/>
      <c r="C950" s="39"/>
      <c r="D950" s="39"/>
      <c r="E950" s="40"/>
      <c r="F950" s="41"/>
      <c r="G950" s="41"/>
      <c r="H950" s="42"/>
      <c r="I950" s="43"/>
      <c r="J950" s="44"/>
      <c r="K950" s="42"/>
      <c r="L950" s="41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1"/>
    </row>
    <row r="951">
      <c r="A951" s="45"/>
      <c r="B951" s="46"/>
      <c r="C951" s="47"/>
      <c r="D951" s="47"/>
      <c r="E951" s="48"/>
      <c r="F951" s="49"/>
      <c r="G951" s="49"/>
      <c r="H951" s="50"/>
      <c r="I951" s="51"/>
      <c r="J951" s="52"/>
      <c r="K951" s="50"/>
      <c r="L951" s="49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4"/>
    </row>
    <row r="952">
      <c r="A952" s="37"/>
      <c r="B952" s="38"/>
      <c r="C952" s="39"/>
      <c r="D952" s="39"/>
      <c r="E952" s="40"/>
      <c r="F952" s="41"/>
      <c r="G952" s="41"/>
      <c r="H952" s="42"/>
      <c r="I952" s="43"/>
      <c r="J952" s="44"/>
      <c r="K952" s="42"/>
      <c r="L952" s="41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1"/>
    </row>
    <row r="953">
      <c r="A953" s="45"/>
      <c r="B953" s="46"/>
      <c r="C953" s="47"/>
      <c r="D953" s="47"/>
      <c r="E953" s="48"/>
      <c r="F953" s="49"/>
      <c r="G953" s="49"/>
      <c r="H953" s="50"/>
      <c r="I953" s="51"/>
      <c r="J953" s="52"/>
      <c r="K953" s="50"/>
      <c r="L953" s="49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4"/>
    </row>
    <row r="954">
      <c r="A954" s="37"/>
      <c r="B954" s="38"/>
      <c r="C954" s="39"/>
      <c r="D954" s="39"/>
      <c r="E954" s="40"/>
      <c r="F954" s="41"/>
      <c r="G954" s="41"/>
      <c r="H954" s="42"/>
      <c r="I954" s="43"/>
      <c r="J954" s="44"/>
      <c r="K954" s="42"/>
      <c r="L954" s="41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1"/>
    </row>
    <row r="955">
      <c r="A955" s="45"/>
      <c r="B955" s="46"/>
      <c r="C955" s="47"/>
      <c r="D955" s="47"/>
      <c r="E955" s="48"/>
      <c r="F955" s="49"/>
      <c r="G955" s="49"/>
      <c r="H955" s="50"/>
      <c r="I955" s="51"/>
      <c r="J955" s="52"/>
      <c r="K955" s="50"/>
      <c r="L955" s="49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4"/>
    </row>
    <row r="956">
      <c r="A956" s="37"/>
      <c r="B956" s="38"/>
      <c r="C956" s="39"/>
      <c r="D956" s="39"/>
      <c r="E956" s="40"/>
      <c r="F956" s="41"/>
      <c r="G956" s="41"/>
      <c r="H956" s="42"/>
      <c r="I956" s="43"/>
      <c r="J956" s="44"/>
      <c r="K956" s="42"/>
      <c r="L956" s="41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1"/>
    </row>
    <row r="957">
      <c r="A957" s="45"/>
      <c r="B957" s="46"/>
      <c r="C957" s="47"/>
      <c r="D957" s="47"/>
      <c r="E957" s="48"/>
      <c r="F957" s="49"/>
      <c r="G957" s="49"/>
      <c r="H957" s="50"/>
      <c r="I957" s="51"/>
      <c r="J957" s="52"/>
      <c r="K957" s="50"/>
      <c r="L957" s="49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4"/>
    </row>
    <row r="958">
      <c r="A958" s="37"/>
      <c r="B958" s="38"/>
      <c r="C958" s="39"/>
      <c r="D958" s="39"/>
      <c r="E958" s="40"/>
      <c r="F958" s="41"/>
      <c r="G958" s="41"/>
      <c r="H958" s="42"/>
      <c r="I958" s="43"/>
      <c r="J958" s="44"/>
      <c r="K958" s="42"/>
      <c r="L958" s="41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1"/>
    </row>
    <row r="959">
      <c r="A959" s="45"/>
      <c r="B959" s="46"/>
      <c r="C959" s="47"/>
      <c r="D959" s="47"/>
      <c r="E959" s="48"/>
      <c r="F959" s="49"/>
      <c r="G959" s="49"/>
      <c r="H959" s="50"/>
      <c r="I959" s="51"/>
      <c r="J959" s="52"/>
      <c r="K959" s="50"/>
      <c r="L959" s="49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4"/>
    </row>
    <row r="960">
      <c r="A960" s="37"/>
      <c r="B960" s="38"/>
      <c r="C960" s="39"/>
      <c r="D960" s="39"/>
      <c r="E960" s="40"/>
      <c r="F960" s="41"/>
      <c r="G960" s="41"/>
      <c r="H960" s="42"/>
      <c r="I960" s="43"/>
      <c r="J960" s="44"/>
      <c r="K960" s="42"/>
      <c r="L960" s="41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1"/>
    </row>
    <row r="961">
      <c r="A961" s="45"/>
      <c r="B961" s="46"/>
      <c r="C961" s="47"/>
      <c r="D961" s="47"/>
      <c r="E961" s="48"/>
      <c r="F961" s="49"/>
      <c r="G961" s="49"/>
      <c r="H961" s="50"/>
      <c r="I961" s="51"/>
      <c r="J961" s="52"/>
      <c r="K961" s="50"/>
      <c r="L961" s="49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4"/>
    </row>
    <row r="962">
      <c r="A962" s="37"/>
      <c r="B962" s="38"/>
      <c r="C962" s="39"/>
      <c r="D962" s="39"/>
      <c r="E962" s="40"/>
      <c r="F962" s="41"/>
      <c r="G962" s="41"/>
      <c r="H962" s="42"/>
      <c r="I962" s="43"/>
      <c r="J962" s="44"/>
      <c r="K962" s="42"/>
      <c r="L962" s="41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1"/>
    </row>
    <row r="963">
      <c r="A963" s="45"/>
      <c r="B963" s="46"/>
      <c r="C963" s="47"/>
      <c r="D963" s="47"/>
      <c r="E963" s="48"/>
      <c r="F963" s="49"/>
      <c r="G963" s="49"/>
      <c r="H963" s="50"/>
      <c r="I963" s="51"/>
      <c r="J963" s="52"/>
      <c r="K963" s="50"/>
      <c r="L963" s="49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4"/>
    </row>
    <row r="964">
      <c r="A964" s="37"/>
      <c r="B964" s="38"/>
      <c r="C964" s="39"/>
      <c r="D964" s="39"/>
      <c r="E964" s="40"/>
      <c r="F964" s="41"/>
      <c r="G964" s="41"/>
      <c r="H964" s="42"/>
      <c r="I964" s="43"/>
      <c r="J964" s="44"/>
      <c r="K964" s="42"/>
      <c r="L964" s="41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1"/>
    </row>
    <row r="965">
      <c r="A965" s="45"/>
      <c r="B965" s="46"/>
      <c r="C965" s="47"/>
      <c r="D965" s="47"/>
      <c r="E965" s="48"/>
      <c r="F965" s="49"/>
      <c r="G965" s="49"/>
      <c r="H965" s="50"/>
      <c r="I965" s="51"/>
      <c r="J965" s="52"/>
      <c r="K965" s="50"/>
      <c r="L965" s="49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4"/>
    </row>
    <row r="966">
      <c r="A966" s="37"/>
      <c r="B966" s="38"/>
      <c r="C966" s="39"/>
      <c r="D966" s="39"/>
      <c r="E966" s="40"/>
      <c r="F966" s="41"/>
      <c r="G966" s="41"/>
      <c r="H966" s="42"/>
      <c r="I966" s="43"/>
      <c r="J966" s="44"/>
      <c r="K966" s="42"/>
      <c r="L966" s="41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1"/>
    </row>
    <row r="967">
      <c r="A967" s="45"/>
      <c r="B967" s="46"/>
      <c r="C967" s="47"/>
      <c r="D967" s="47"/>
      <c r="E967" s="48"/>
      <c r="F967" s="49"/>
      <c r="G967" s="49"/>
      <c r="H967" s="50"/>
      <c r="I967" s="51"/>
      <c r="J967" s="52"/>
      <c r="K967" s="50"/>
      <c r="L967" s="49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4"/>
    </row>
    <row r="968">
      <c r="A968" s="37"/>
      <c r="B968" s="38"/>
      <c r="C968" s="39"/>
      <c r="D968" s="39"/>
      <c r="E968" s="40"/>
      <c r="F968" s="41"/>
      <c r="G968" s="41"/>
      <c r="H968" s="42"/>
      <c r="I968" s="43"/>
      <c r="J968" s="44"/>
      <c r="K968" s="42"/>
      <c r="L968" s="41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1"/>
    </row>
    <row r="969">
      <c r="A969" s="45"/>
      <c r="B969" s="46"/>
      <c r="C969" s="47"/>
      <c r="D969" s="47"/>
      <c r="E969" s="48"/>
      <c r="F969" s="49"/>
      <c r="G969" s="49"/>
      <c r="H969" s="50"/>
      <c r="I969" s="51"/>
      <c r="J969" s="52"/>
      <c r="K969" s="50"/>
      <c r="L969" s="49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4"/>
    </row>
    <row r="970">
      <c r="A970" s="37"/>
      <c r="B970" s="38"/>
      <c r="C970" s="39"/>
      <c r="D970" s="39"/>
      <c r="E970" s="40"/>
      <c r="F970" s="41"/>
      <c r="G970" s="41"/>
      <c r="H970" s="42"/>
      <c r="I970" s="43"/>
      <c r="J970" s="44"/>
      <c r="K970" s="42"/>
      <c r="L970" s="41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1"/>
    </row>
    <row r="971">
      <c r="A971" s="45"/>
      <c r="B971" s="46"/>
      <c r="C971" s="47"/>
      <c r="D971" s="47"/>
      <c r="E971" s="48"/>
      <c r="F971" s="49"/>
      <c r="G971" s="49"/>
      <c r="H971" s="50"/>
      <c r="I971" s="51"/>
      <c r="J971" s="52"/>
      <c r="K971" s="50"/>
      <c r="L971" s="49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4"/>
    </row>
    <row r="972">
      <c r="A972" s="37"/>
      <c r="B972" s="38"/>
      <c r="C972" s="39"/>
      <c r="D972" s="39"/>
      <c r="E972" s="40"/>
      <c r="F972" s="41"/>
      <c r="G972" s="41"/>
      <c r="H972" s="42"/>
      <c r="I972" s="43"/>
      <c r="J972" s="44"/>
      <c r="K972" s="42"/>
      <c r="L972" s="41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1"/>
    </row>
    <row r="973">
      <c r="A973" s="45"/>
      <c r="B973" s="46"/>
      <c r="C973" s="47"/>
      <c r="D973" s="47"/>
      <c r="E973" s="48"/>
      <c r="F973" s="49"/>
      <c r="G973" s="49"/>
      <c r="H973" s="50"/>
      <c r="I973" s="51"/>
      <c r="J973" s="52"/>
      <c r="K973" s="50"/>
      <c r="L973" s="49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4"/>
    </row>
    <row r="974">
      <c r="A974" s="37"/>
      <c r="B974" s="38"/>
      <c r="C974" s="39"/>
      <c r="D974" s="39"/>
      <c r="E974" s="40"/>
      <c r="F974" s="41"/>
      <c r="G974" s="41"/>
      <c r="H974" s="42"/>
      <c r="I974" s="43"/>
      <c r="J974" s="44"/>
      <c r="K974" s="42"/>
      <c r="L974" s="41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1"/>
    </row>
    <row r="975">
      <c r="A975" s="45"/>
      <c r="B975" s="46"/>
      <c r="C975" s="47"/>
      <c r="D975" s="47"/>
      <c r="E975" s="48"/>
      <c r="F975" s="49"/>
      <c r="G975" s="49"/>
      <c r="H975" s="50"/>
      <c r="I975" s="51"/>
      <c r="J975" s="52"/>
      <c r="K975" s="50"/>
      <c r="L975" s="49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4"/>
    </row>
    <row r="976">
      <c r="A976" s="37"/>
      <c r="B976" s="38"/>
      <c r="C976" s="39"/>
      <c r="D976" s="39"/>
      <c r="E976" s="40"/>
      <c r="F976" s="41"/>
      <c r="G976" s="41"/>
      <c r="H976" s="42"/>
      <c r="I976" s="43"/>
      <c r="J976" s="44"/>
      <c r="K976" s="42"/>
      <c r="L976" s="41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1"/>
    </row>
    <row r="977">
      <c r="A977" s="45"/>
      <c r="B977" s="46"/>
      <c r="C977" s="47"/>
      <c r="D977" s="47"/>
      <c r="E977" s="48"/>
      <c r="F977" s="49"/>
      <c r="G977" s="49"/>
      <c r="H977" s="50"/>
      <c r="I977" s="51"/>
      <c r="J977" s="52"/>
      <c r="K977" s="50"/>
      <c r="L977" s="49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4"/>
    </row>
    <row r="978">
      <c r="A978" s="37"/>
      <c r="B978" s="38"/>
      <c r="C978" s="39"/>
      <c r="D978" s="39"/>
      <c r="E978" s="40"/>
      <c r="F978" s="41"/>
      <c r="G978" s="41"/>
      <c r="H978" s="42"/>
      <c r="I978" s="43"/>
      <c r="J978" s="44"/>
      <c r="K978" s="42"/>
      <c r="L978" s="41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1"/>
    </row>
    <row r="979">
      <c r="A979" s="45"/>
      <c r="B979" s="46"/>
      <c r="C979" s="47"/>
      <c r="D979" s="47"/>
      <c r="E979" s="48"/>
      <c r="F979" s="49"/>
      <c r="G979" s="49"/>
      <c r="H979" s="50"/>
      <c r="I979" s="51"/>
      <c r="J979" s="52"/>
      <c r="K979" s="50"/>
      <c r="L979" s="49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4"/>
    </row>
    <row r="980">
      <c r="A980" s="37"/>
      <c r="B980" s="38"/>
      <c r="C980" s="39"/>
      <c r="D980" s="39"/>
      <c r="E980" s="40"/>
      <c r="F980" s="41"/>
      <c r="G980" s="41"/>
      <c r="H980" s="42"/>
      <c r="I980" s="43"/>
      <c r="J980" s="44"/>
      <c r="K980" s="42"/>
      <c r="L980" s="41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1"/>
    </row>
    <row r="981">
      <c r="A981" s="45"/>
      <c r="B981" s="46"/>
      <c r="C981" s="47"/>
      <c r="D981" s="47"/>
      <c r="E981" s="48"/>
      <c r="F981" s="49"/>
      <c r="G981" s="49"/>
      <c r="H981" s="50"/>
      <c r="I981" s="51"/>
      <c r="J981" s="52"/>
      <c r="K981" s="50"/>
      <c r="L981" s="49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4"/>
    </row>
    <row r="982">
      <c r="A982" s="37"/>
      <c r="B982" s="38"/>
      <c r="C982" s="39"/>
      <c r="D982" s="39"/>
      <c r="E982" s="40"/>
      <c r="F982" s="41"/>
      <c r="G982" s="41"/>
      <c r="H982" s="42"/>
      <c r="I982" s="43"/>
      <c r="J982" s="44"/>
      <c r="K982" s="42"/>
      <c r="L982" s="41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1"/>
    </row>
    <row r="983">
      <c r="A983" s="45"/>
      <c r="B983" s="46"/>
      <c r="C983" s="47"/>
      <c r="D983" s="47"/>
      <c r="E983" s="48"/>
      <c r="F983" s="49"/>
      <c r="G983" s="49"/>
      <c r="H983" s="50"/>
      <c r="I983" s="51"/>
      <c r="J983" s="52"/>
      <c r="K983" s="50"/>
      <c r="L983" s="49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4"/>
    </row>
    <row r="984">
      <c r="A984" s="37"/>
      <c r="B984" s="38"/>
      <c r="C984" s="39"/>
      <c r="D984" s="39"/>
      <c r="E984" s="40"/>
      <c r="F984" s="41"/>
      <c r="G984" s="41"/>
      <c r="H984" s="42"/>
      <c r="I984" s="43"/>
      <c r="J984" s="44"/>
      <c r="K984" s="42"/>
      <c r="L984" s="41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1"/>
    </row>
    <row r="985">
      <c r="A985" s="45"/>
      <c r="B985" s="46"/>
      <c r="C985" s="47"/>
      <c r="D985" s="47"/>
      <c r="E985" s="48"/>
      <c r="F985" s="49"/>
      <c r="G985" s="49"/>
      <c r="H985" s="50"/>
      <c r="I985" s="51"/>
      <c r="J985" s="52"/>
      <c r="K985" s="50"/>
      <c r="L985" s="49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4"/>
    </row>
    <row r="986">
      <c r="A986" s="37"/>
      <c r="B986" s="38"/>
      <c r="C986" s="39"/>
      <c r="D986" s="39"/>
      <c r="E986" s="40"/>
      <c r="F986" s="41"/>
      <c r="G986" s="41"/>
      <c r="H986" s="42"/>
      <c r="I986" s="43"/>
      <c r="J986" s="44"/>
      <c r="K986" s="42"/>
      <c r="L986" s="41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1"/>
    </row>
    <row r="987">
      <c r="A987" s="45"/>
      <c r="B987" s="46"/>
      <c r="C987" s="47"/>
      <c r="D987" s="47"/>
      <c r="E987" s="48"/>
      <c r="F987" s="49"/>
      <c r="G987" s="49"/>
      <c r="H987" s="50"/>
      <c r="I987" s="51"/>
      <c r="J987" s="52"/>
      <c r="K987" s="50"/>
      <c r="L987" s="49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4"/>
    </row>
    <row r="988">
      <c r="A988" s="37"/>
      <c r="B988" s="38"/>
      <c r="C988" s="39"/>
      <c r="D988" s="39"/>
      <c r="E988" s="40"/>
      <c r="F988" s="41"/>
      <c r="G988" s="41"/>
      <c r="H988" s="42"/>
      <c r="I988" s="43"/>
      <c r="J988" s="44"/>
      <c r="K988" s="42"/>
      <c r="L988" s="41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1"/>
    </row>
    <row r="989">
      <c r="A989" s="45"/>
      <c r="B989" s="46"/>
      <c r="C989" s="47"/>
      <c r="D989" s="47"/>
      <c r="E989" s="48"/>
      <c r="F989" s="49"/>
      <c r="G989" s="49"/>
      <c r="H989" s="50"/>
      <c r="I989" s="51"/>
      <c r="J989" s="52"/>
      <c r="K989" s="50"/>
      <c r="L989" s="49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4"/>
    </row>
    <row r="990">
      <c r="A990" s="37"/>
      <c r="B990" s="38"/>
      <c r="C990" s="39"/>
      <c r="D990" s="39"/>
      <c r="E990" s="40"/>
      <c r="F990" s="41"/>
      <c r="G990" s="41"/>
      <c r="H990" s="42"/>
      <c r="I990" s="43"/>
      <c r="J990" s="44"/>
      <c r="K990" s="42"/>
      <c r="L990" s="41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1"/>
    </row>
    <row r="991">
      <c r="A991" s="45"/>
      <c r="B991" s="46"/>
      <c r="C991" s="47"/>
      <c r="D991" s="47"/>
      <c r="E991" s="48"/>
      <c r="F991" s="49"/>
      <c r="G991" s="49"/>
      <c r="H991" s="50"/>
      <c r="I991" s="51"/>
      <c r="J991" s="52"/>
      <c r="K991" s="50"/>
      <c r="L991" s="49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4"/>
    </row>
    <row r="992">
      <c r="A992" s="37"/>
      <c r="B992" s="38"/>
      <c r="C992" s="39"/>
      <c r="D992" s="39"/>
      <c r="E992" s="40"/>
      <c r="F992" s="41"/>
      <c r="G992" s="41"/>
      <c r="H992" s="42"/>
      <c r="I992" s="43"/>
      <c r="J992" s="44"/>
      <c r="K992" s="42"/>
      <c r="L992" s="41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1"/>
    </row>
    <row r="993">
      <c r="A993" s="45"/>
      <c r="B993" s="46"/>
      <c r="C993" s="47"/>
      <c r="D993" s="47"/>
      <c r="E993" s="48"/>
      <c r="F993" s="49"/>
      <c r="G993" s="49"/>
      <c r="H993" s="50"/>
      <c r="I993" s="51"/>
      <c r="J993" s="52"/>
      <c r="K993" s="50"/>
      <c r="L993" s="49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4"/>
    </row>
    <row r="994">
      <c r="A994" s="37"/>
      <c r="B994" s="38"/>
      <c r="C994" s="39"/>
      <c r="D994" s="39"/>
      <c r="E994" s="40"/>
      <c r="F994" s="41"/>
      <c r="G994" s="41"/>
      <c r="H994" s="42"/>
      <c r="I994" s="43"/>
      <c r="J994" s="44"/>
      <c r="K994" s="42"/>
      <c r="L994" s="41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1"/>
    </row>
    <row r="995">
      <c r="A995" s="45"/>
      <c r="B995" s="46"/>
      <c r="C995" s="47"/>
      <c r="D995" s="47"/>
      <c r="E995" s="48"/>
      <c r="F995" s="49"/>
      <c r="G995" s="49"/>
      <c r="H995" s="50"/>
      <c r="I995" s="51"/>
      <c r="J995" s="52"/>
      <c r="K995" s="50"/>
      <c r="L995" s="49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4"/>
    </row>
    <row r="996">
      <c r="A996" s="37"/>
      <c r="B996" s="38"/>
      <c r="C996" s="39"/>
      <c r="D996" s="39"/>
      <c r="E996" s="40"/>
      <c r="F996" s="41"/>
      <c r="G996" s="41"/>
      <c r="H996" s="42"/>
      <c r="I996" s="43"/>
      <c r="J996" s="44"/>
      <c r="K996" s="42"/>
      <c r="L996" s="41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1"/>
    </row>
    <row r="997">
      <c r="A997" s="45"/>
      <c r="B997" s="46"/>
      <c r="C997" s="47"/>
      <c r="D997" s="47"/>
      <c r="E997" s="48"/>
      <c r="F997" s="49"/>
      <c r="G997" s="49"/>
      <c r="H997" s="50"/>
      <c r="I997" s="51"/>
      <c r="J997" s="52"/>
      <c r="K997" s="50"/>
      <c r="L997" s="49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4"/>
    </row>
    <row r="998">
      <c r="A998" s="37"/>
      <c r="B998" s="38"/>
      <c r="C998" s="39"/>
      <c r="D998" s="39"/>
      <c r="E998" s="40"/>
      <c r="F998" s="41"/>
      <c r="G998" s="41"/>
      <c r="H998" s="42"/>
      <c r="I998" s="43"/>
      <c r="J998" s="44"/>
      <c r="K998" s="42"/>
      <c r="L998" s="41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1"/>
    </row>
    <row r="999">
      <c r="A999" s="45"/>
      <c r="B999" s="46"/>
      <c r="C999" s="47"/>
      <c r="D999" s="47"/>
      <c r="E999" s="48"/>
      <c r="F999" s="49"/>
      <c r="G999" s="49"/>
      <c r="H999" s="50"/>
      <c r="I999" s="51"/>
      <c r="J999" s="52"/>
      <c r="K999" s="50"/>
      <c r="L999" s="49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4"/>
    </row>
    <row r="1000">
      <c r="A1000" s="37"/>
      <c r="B1000" s="38"/>
      <c r="C1000" s="39"/>
      <c r="D1000" s="39"/>
      <c r="E1000" s="40"/>
      <c r="F1000" s="41"/>
      <c r="G1000" s="41"/>
      <c r="H1000" s="42"/>
      <c r="I1000" s="43"/>
      <c r="J1000" s="44"/>
      <c r="K1000" s="42"/>
      <c r="L1000" s="41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1"/>
    </row>
    <row r="1001">
      <c r="A1001" s="45"/>
      <c r="B1001" s="46"/>
      <c r="C1001" s="47"/>
      <c r="D1001" s="47"/>
      <c r="E1001" s="48"/>
      <c r="F1001" s="49"/>
      <c r="G1001" s="49"/>
      <c r="H1001" s="50"/>
      <c r="I1001" s="51"/>
      <c r="J1001" s="52"/>
      <c r="K1001" s="50"/>
      <c r="L1001" s="49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4"/>
    </row>
    <row r="1002">
      <c r="A1002" s="37"/>
      <c r="B1002" s="38"/>
      <c r="C1002" s="39"/>
      <c r="D1002" s="39"/>
      <c r="E1002" s="40"/>
      <c r="F1002" s="41"/>
      <c r="G1002" s="41"/>
      <c r="H1002" s="42"/>
      <c r="I1002" s="43"/>
      <c r="J1002" s="44"/>
      <c r="K1002" s="42"/>
      <c r="L1002" s="41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1"/>
    </row>
    <row r="1003">
      <c r="A1003" s="45"/>
      <c r="B1003" s="46"/>
      <c r="C1003" s="47"/>
      <c r="D1003" s="47"/>
      <c r="E1003" s="48"/>
      <c r="F1003" s="49"/>
      <c r="G1003" s="49"/>
      <c r="H1003" s="50"/>
      <c r="I1003" s="51"/>
      <c r="J1003" s="52"/>
      <c r="K1003" s="50"/>
      <c r="L1003" s="49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4"/>
    </row>
    <row r="1004">
      <c r="A1004" s="37"/>
      <c r="B1004" s="38"/>
      <c r="C1004" s="39"/>
      <c r="D1004" s="39"/>
      <c r="E1004" s="40"/>
      <c r="F1004" s="41"/>
      <c r="G1004" s="41"/>
      <c r="H1004" s="42"/>
      <c r="I1004" s="43"/>
      <c r="J1004" s="44"/>
      <c r="K1004" s="42"/>
      <c r="L1004" s="41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1"/>
    </row>
    <row r="1005">
      <c r="A1005" s="45"/>
      <c r="B1005" s="46"/>
      <c r="C1005" s="47"/>
      <c r="D1005" s="47"/>
      <c r="E1005" s="48"/>
      <c r="F1005" s="49"/>
      <c r="G1005" s="49"/>
      <c r="H1005" s="50"/>
      <c r="I1005" s="51"/>
      <c r="J1005" s="52"/>
      <c r="K1005" s="50"/>
      <c r="L1005" s="49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4"/>
    </row>
    <row r="1006">
      <c r="A1006" s="37"/>
      <c r="B1006" s="38"/>
      <c r="C1006" s="39"/>
      <c r="D1006" s="39"/>
      <c r="E1006" s="40"/>
      <c r="F1006" s="41"/>
      <c r="G1006" s="41"/>
      <c r="H1006" s="42"/>
      <c r="I1006" s="43"/>
      <c r="J1006" s="44"/>
      <c r="K1006" s="42"/>
      <c r="L1006" s="41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1"/>
    </row>
    <row r="1007">
      <c r="A1007" s="45"/>
      <c r="B1007" s="46"/>
      <c r="C1007" s="47"/>
      <c r="D1007" s="47"/>
      <c r="E1007" s="48"/>
      <c r="F1007" s="49"/>
      <c r="G1007" s="49"/>
      <c r="H1007" s="50"/>
      <c r="I1007" s="51"/>
      <c r="J1007" s="52"/>
      <c r="K1007" s="50"/>
      <c r="L1007" s="49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4"/>
    </row>
    <row r="1008">
      <c r="A1008" s="37"/>
      <c r="B1008" s="38"/>
      <c r="C1008" s="39"/>
      <c r="D1008" s="39"/>
      <c r="E1008" s="40"/>
      <c r="F1008" s="41"/>
      <c r="G1008" s="41"/>
      <c r="H1008" s="42"/>
      <c r="I1008" s="43"/>
      <c r="J1008" s="44"/>
      <c r="K1008" s="42"/>
      <c r="L1008" s="41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1"/>
    </row>
    <row r="1009">
      <c r="A1009" s="45"/>
      <c r="B1009" s="46"/>
      <c r="C1009" s="47"/>
      <c r="D1009" s="47"/>
      <c r="E1009" s="48"/>
      <c r="F1009" s="49"/>
      <c r="G1009" s="49"/>
      <c r="H1009" s="50"/>
      <c r="I1009" s="51"/>
      <c r="J1009" s="52"/>
      <c r="K1009" s="50"/>
      <c r="L1009" s="49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4"/>
    </row>
    <row r="1010">
      <c r="A1010" s="37"/>
      <c r="B1010" s="38"/>
      <c r="C1010" s="39"/>
      <c r="D1010" s="39"/>
      <c r="E1010" s="40"/>
      <c r="F1010" s="41"/>
      <c r="G1010" s="41"/>
      <c r="H1010" s="42"/>
      <c r="I1010" s="43"/>
      <c r="J1010" s="44"/>
      <c r="K1010" s="42"/>
      <c r="L1010" s="41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1"/>
    </row>
    <row r="1011">
      <c r="A1011" s="45"/>
      <c r="B1011" s="46"/>
      <c r="C1011" s="47"/>
      <c r="D1011" s="47"/>
      <c r="E1011" s="48"/>
      <c r="F1011" s="49"/>
      <c r="G1011" s="49"/>
      <c r="H1011" s="50"/>
      <c r="I1011" s="51"/>
      <c r="J1011" s="52"/>
      <c r="K1011" s="50"/>
      <c r="L1011" s="49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4"/>
    </row>
    <row r="1012">
      <c r="A1012" s="37"/>
      <c r="B1012" s="38"/>
      <c r="C1012" s="39"/>
      <c r="D1012" s="39"/>
      <c r="E1012" s="40"/>
      <c r="F1012" s="41"/>
      <c r="G1012" s="41"/>
      <c r="H1012" s="42"/>
      <c r="I1012" s="43"/>
      <c r="J1012" s="44"/>
      <c r="K1012" s="42"/>
      <c r="L1012" s="41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1"/>
    </row>
    <row r="1013">
      <c r="A1013" s="45"/>
      <c r="B1013" s="46"/>
      <c r="C1013" s="47"/>
      <c r="D1013" s="47"/>
      <c r="E1013" s="48"/>
      <c r="F1013" s="49"/>
      <c r="G1013" s="49"/>
      <c r="H1013" s="50"/>
      <c r="I1013" s="51"/>
      <c r="J1013" s="52"/>
      <c r="K1013" s="50"/>
      <c r="L1013" s="49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4"/>
    </row>
    <row r="1014">
      <c r="A1014" s="37"/>
      <c r="B1014" s="38"/>
      <c r="C1014" s="39"/>
      <c r="D1014" s="39"/>
      <c r="E1014" s="40"/>
      <c r="F1014" s="41"/>
      <c r="G1014" s="41"/>
      <c r="H1014" s="42"/>
      <c r="I1014" s="43"/>
      <c r="J1014" s="44"/>
      <c r="K1014" s="42"/>
      <c r="L1014" s="41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1"/>
    </row>
    <row r="1015">
      <c r="A1015" s="45"/>
      <c r="B1015" s="46"/>
      <c r="C1015" s="47"/>
      <c r="D1015" s="47"/>
      <c r="E1015" s="48"/>
      <c r="F1015" s="49"/>
      <c r="G1015" s="49"/>
      <c r="H1015" s="50"/>
      <c r="I1015" s="51"/>
      <c r="J1015" s="52"/>
      <c r="K1015" s="50"/>
      <c r="L1015" s="49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4"/>
    </row>
    <row r="1016">
      <c r="A1016" s="37"/>
      <c r="B1016" s="38"/>
      <c r="C1016" s="39"/>
      <c r="D1016" s="39"/>
      <c r="E1016" s="40"/>
      <c r="F1016" s="41"/>
      <c r="G1016" s="41"/>
      <c r="H1016" s="42"/>
      <c r="I1016" s="43"/>
      <c r="J1016" s="44"/>
      <c r="K1016" s="42"/>
      <c r="L1016" s="41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1"/>
    </row>
    <row r="1017">
      <c r="A1017" s="45"/>
      <c r="B1017" s="46"/>
      <c r="C1017" s="47"/>
      <c r="D1017" s="47"/>
      <c r="E1017" s="48"/>
      <c r="F1017" s="49"/>
      <c r="G1017" s="49"/>
      <c r="H1017" s="50"/>
      <c r="I1017" s="51"/>
      <c r="J1017" s="52"/>
      <c r="K1017" s="50"/>
      <c r="L1017" s="49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4"/>
    </row>
    <row r="1018">
      <c r="A1018" s="37"/>
      <c r="B1018" s="38"/>
      <c r="C1018" s="39"/>
      <c r="D1018" s="39"/>
      <c r="E1018" s="40"/>
      <c r="F1018" s="41"/>
      <c r="G1018" s="41"/>
      <c r="H1018" s="42"/>
      <c r="I1018" s="43"/>
      <c r="J1018" s="44"/>
      <c r="K1018" s="42"/>
      <c r="L1018" s="41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1"/>
    </row>
    <row r="1019">
      <c r="A1019" s="45"/>
      <c r="B1019" s="46"/>
      <c r="C1019" s="47"/>
      <c r="D1019" s="47"/>
      <c r="E1019" s="48"/>
      <c r="F1019" s="49"/>
      <c r="G1019" s="49"/>
      <c r="H1019" s="50"/>
      <c r="I1019" s="51"/>
      <c r="J1019" s="52"/>
      <c r="K1019" s="50"/>
      <c r="L1019" s="49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4"/>
    </row>
    <row r="1020">
      <c r="A1020" s="37"/>
      <c r="B1020" s="38"/>
      <c r="C1020" s="39"/>
      <c r="D1020" s="39"/>
      <c r="E1020" s="40"/>
      <c r="F1020" s="41"/>
      <c r="G1020" s="41"/>
      <c r="H1020" s="42"/>
      <c r="I1020" s="43"/>
      <c r="J1020" s="44"/>
      <c r="K1020" s="42"/>
      <c r="L1020" s="41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1"/>
    </row>
    <row r="1021">
      <c r="A1021" s="45"/>
      <c r="B1021" s="46"/>
      <c r="C1021" s="47"/>
      <c r="D1021" s="47"/>
      <c r="E1021" s="48"/>
      <c r="F1021" s="49"/>
      <c r="G1021" s="49"/>
      <c r="H1021" s="50"/>
      <c r="I1021" s="51"/>
      <c r="J1021" s="52"/>
      <c r="K1021" s="50"/>
      <c r="L1021" s="49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4"/>
    </row>
    <row r="1022">
      <c r="A1022" s="37"/>
      <c r="B1022" s="38"/>
      <c r="C1022" s="39"/>
      <c r="D1022" s="39"/>
      <c r="E1022" s="40"/>
      <c r="F1022" s="41"/>
      <c r="G1022" s="41"/>
      <c r="H1022" s="42"/>
      <c r="I1022" s="43"/>
      <c r="J1022" s="44"/>
      <c r="K1022" s="42"/>
      <c r="L1022" s="41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1"/>
    </row>
    <row r="1023">
      <c r="A1023" s="45"/>
      <c r="B1023" s="46"/>
      <c r="C1023" s="47"/>
      <c r="D1023" s="47"/>
      <c r="E1023" s="48"/>
      <c r="F1023" s="49"/>
      <c r="G1023" s="49"/>
      <c r="H1023" s="50"/>
      <c r="I1023" s="51"/>
      <c r="J1023" s="52"/>
      <c r="K1023" s="50"/>
      <c r="L1023" s="49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  <c r="AA1023" s="24"/>
    </row>
    <row r="1024">
      <c r="A1024" s="37"/>
      <c r="B1024" s="38"/>
      <c r="C1024" s="39"/>
      <c r="D1024" s="39"/>
      <c r="E1024" s="40"/>
      <c r="F1024" s="41"/>
      <c r="G1024" s="41"/>
      <c r="H1024" s="42"/>
      <c r="I1024" s="43"/>
      <c r="J1024" s="44"/>
      <c r="K1024" s="42"/>
      <c r="L1024" s="41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1"/>
    </row>
    <row r="1025">
      <c r="A1025" s="45"/>
      <c r="B1025" s="46"/>
      <c r="C1025" s="47"/>
      <c r="D1025" s="47"/>
      <c r="E1025" s="48"/>
      <c r="F1025" s="49"/>
      <c r="G1025" s="49"/>
      <c r="H1025" s="50"/>
      <c r="I1025" s="51"/>
      <c r="J1025" s="52"/>
      <c r="K1025" s="50"/>
      <c r="L1025" s="49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  <c r="AA1025" s="24"/>
    </row>
    <row r="1026">
      <c r="A1026" s="37"/>
      <c r="B1026" s="38"/>
      <c r="C1026" s="39"/>
      <c r="D1026" s="39"/>
      <c r="E1026" s="40"/>
      <c r="F1026" s="41"/>
      <c r="G1026" s="41"/>
      <c r="H1026" s="42"/>
      <c r="I1026" s="43"/>
      <c r="J1026" s="44"/>
      <c r="K1026" s="42"/>
      <c r="L1026" s="41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1"/>
    </row>
    <row r="1027">
      <c r="A1027" s="45"/>
      <c r="B1027" s="46"/>
      <c r="C1027" s="47"/>
      <c r="D1027" s="47"/>
      <c r="E1027" s="48"/>
      <c r="F1027" s="49"/>
      <c r="G1027" s="49"/>
      <c r="H1027" s="50"/>
      <c r="I1027" s="51"/>
      <c r="J1027" s="52"/>
      <c r="K1027" s="50"/>
      <c r="L1027" s="49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  <c r="AA1027" s="24"/>
    </row>
    <row r="1028">
      <c r="A1028" s="37"/>
      <c r="B1028" s="38"/>
      <c r="C1028" s="39"/>
      <c r="D1028" s="39"/>
      <c r="E1028" s="40"/>
      <c r="F1028" s="41"/>
      <c r="G1028" s="41"/>
      <c r="H1028" s="42"/>
      <c r="I1028" s="43"/>
      <c r="J1028" s="44"/>
      <c r="K1028" s="42"/>
      <c r="L1028" s="41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1"/>
    </row>
    <row r="1029">
      <c r="A1029" s="45"/>
      <c r="B1029" s="46"/>
      <c r="C1029" s="47"/>
      <c r="D1029" s="47"/>
      <c r="E1029" s="48"/>
      <c r="F1029" s="49"/>
      <c r="G1029" s="49"/>
      <c r="H1029" s="50"/>
      <c r="I1029" s="51"/>
      <c r="J1029" s="52"/>
      <c r="K1029" s="50"/>
      <c r="L1029" s="49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  <c r="AA1029" s="24"/>
    </row>
    <row r="1030">
      <c r="A1030" s="37"/>
      <c r="B1030" s="38"/>
      <c r="C1030" s="39"/>
      <c r="D1030" s="39"/>
      <c r="E1030" s="40"/>
      <c r="F1030" s="41"/>
      <c r="G1030" s="41"/>
      <c r="H1030" s="42"/>
      <c r="I1030" s="43"/>
      <c r="J1030" s="44"/>
      <c r="K1030" s="42"/>
      <c r="L1030" s="41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1"/>
    </row>
    <row r="1031">
      <c r="A1031" s="45"/>
      <c r="B1031" s="46"/>
      <c r="C1031" s="47"/>
      <c r="D1031" s="47"/>
      <c r="E1031" s="48"/>
      <c r="F1031" s="49"/>
      <c r="G1031" s="49"/>
      <c r="H1031" s="50"/>
      <c r="I1031" s="51"/>
      <c r="J1031" s="52"/>
      <c r="K1031" s="50"/>
      <c r="L1031" s="49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  <c r="AA1031" s="24"/>
    </row>
    <row r="1032">
      <c r="A1032" s="37"/>
      <c r="B1032" s="38"/>
      <c r="C1032" s="39"/>
      <c r="D1032" s="39"/>
      <c r="E1032" s="40"/>
      <c r="F1032" s="41"/>
      <c r="G1032" s="41"/>
      <c r="H1032" s="42"/>
      <c r="I1032" s="43"/>
      <c r="J1032" s="44"/>
      <c r="K1032" s="42"/>
      <c r="L1032" s="41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1"/>
    </row>
    <row r="1033">
      <c r="A1033" s="45"/>
      <c r="B1033" s="46"/>
      <c r="C1033" s="47"/>
      <c r="D1033" s="47"/>
      <c r="E1033" s="48"/>
      <c r="F1033" s="49"/>
      <c r="G1033" s="49"/>
      <c r="H1033" s="50"/>
      <c r="I1033" s="51"/>
      <c r="J1033" s="52"/>
      <c r="K1033" s="50"/>
      <c r="L1033" s="49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  <c r="AA1033" s="24"/>
    </row>
    <row r="1034">
      <c r="A1034" s="37"/>
      <c r="B1034" s="38"/>
      <c r="C1034" s="39"/>
      <c r="D1034" s="39"/>
      <c r="E1034" s="40"/>
      <c r="F1034" s="41"/>
      <c r="G1034" s="41"/>
      <c r="H1034" s="42"/>
      <c r="I1034" s="43"/>
      <c r="J1034" s="44"/>
      <c r="K1034" s="42"/>
      <c r="L1034" s="41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1"/>
    </row>
    <row r="1035">
      <c r="A1035" s="45"/>
      <c r="B1035" s="46"/>
      <c r="C1035" s="47"/>
      <c r="D1035" s="47"/>
      <c r="E1035" s="48"/>
      <c r="F1035" s="49"/>
      <c r="G1035" s="49"/>
      <c r="H1035" s="50"/>
      <c r="I1035" s="51"/>
      <c r="J1035" s="52"/>
      <c r="K1035" s="50"/>
      <c r="L1035" s="49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  <c r="AA1035" s="24"/>
    </row>
    <row r="1036">
      <c r="A1036" s="37"/>
      <c r="B1036" s="38"/>
      <c r="C1036" s="39"/>
      <c r="D1036" s="39"/>
      <c r="E1036" s="40"/>
      <c r="F1036" s="41"/>
      <c r="G1036" s="41"/>
      <c r="H1036" s="42"/>
      <c r="I1036" s="43"/>
      <c r="J1036" s="44"/>
      <c r="K1036" s="42"/>
      <c r="L1036" s="41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1"/>
    </row>
    <row r="1037">
      <c r="A1037" s="45"/>
      <c r="B1037" s="46"/>
      <c r="C1037" s="47"/>
      <c r="D1037" s="47"/>
      <c r="E1037" s="48"/>
      <c r="F1037" s="49"/>
      <c r="G1037" s="49"/>
      <c r="H1037" s="50"/>
      <c r="I1037" s="51"/>
      <c r="J1037" s="52"/>
      <c r="K1037" s="50"/>
      <c r="L1037" s="49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  <c r="AA1037" s="24"/>
    </row>
    <row r="1038">
      <c r="A1038" s="37"/>
      <c r="B1038" s="38"/>
      <c r="C1038" s="39"/>
      <c r="D1038" s="39"/>
      <c r="E1038" s="40"/>
      <c r="F1038" s="41"/>
      <c r="G1038" s="41"/>
      <c r="H1038" s="42"/>
      <c r="I1038" s="43"/>
      <c r="J1038" s="44"/>
      <c r="K1038" s="42"/>
      <c r="L1038" s="41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1"/>
    </row>
    <row r="1039">
      <c r="A1039" s="45"/>
      <c r="B1039" s="46"/>
      <c r="C1039" s="47"/>
      <c r="D1039" s="47"/>
      <c r="E1039" s="48"/>
      <c r="F1039" s="49"/>
      <c r="G1039" s="49"/>
      <c r="H1039" s="50"/>
      <c r="I1039" s="51"/>
      <c r="J1039" s="52"/>
      <c r="K1039" s="50"/>
      <c r="L1039" s="49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  <c r="AA1039" s="24"/>
    </row>
    <row r="1040">
      <c r="A1040" s="37"/>
      <c r="B1040" s="38"/>
      <c r="C1040" s="39"/>
      <c r="D1040" s="39"/>
      <c r="E1040" s="40"/>
      <c r="F1040" s="41"/>
      <c r="G1040" s="41"/>
      <c r="H1040" s="42"/>
      <c r="I1040" s="43"/>
      <c r="J1040" s="44"/>
      <c r="K1040" s="42"/>
      <c r="L1040" s="41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1"/>
    </row>
    <row r="1041">
      <c r="A1041" s="45"/>
      <c r="B1041" s="46"/>
      <c r="C1041" s="47"/>
      <c r="D1041" s="47"/>
      <c r="E1041" s="48"/>
      <c r="F1041" s="49"/>
      <c r="G1041" s="49"/>
      <c r="H1041" s="50"/>
      <c r="I1041" s="51"/>
      <c r="J1041" s="52"/>
      <c r="K1041" s="50"/>
      <c r="L1041" s="49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4"/>
    </row>
    <row r="1042">
      <c r="A1042" s="37"/>
      <c r="B1042" s="38"/>
      <c r="C1042" s="39"/>
      <c r="D1042" s="39"/>
      <c r="E1042" s="40"/>
      <c r="F1042" s="41"/>
      <c r="G1042" s="41"/>
      <c r="H1042" s="42"/>
      <c r="I1042" s="43"/>
      <c r="J1042" s="44"/>
      <c r="K1042" s="42"/>
      <c r="L1042" s="41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1"/>
    </row>
    <row r="1043">
      <c r="A1043" s="45"/>
      <c r="B1043" s="46"/>
      <c r="C1043" s="47"/>
      <c r="D1043" s="47"/>
      <c r="E1043" s="48"/>
      <c r="F1043" s="49"/>
      <c r="G1043" s="49"/>
      <c r="H1043" s="50"/>
      <c r="I1043" s="51"/>
      <c r="J1043" s="52"/>
      <c r="K1043" s="50"/>
      <c r="L1043" s="49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  <c r="AA1043" s="24"/>
    </row>
    <row r="1044">
      <c r="A1044" s="37"/>
      <c r="B1044" s="38"/>
      <c r="C1044" s="39"/>
      <c r="D1044" s="39"/>
      <c r="E1044" s="40"/>
      <c r="F1044" s="41"/>
      <c r="G1044" s="41"/>
      <c r="H1044" s="42"/>
      <c r="I1044" s="43"/>
      <c r="J1044" s="44"/>
      <c r="K1044" s="42"/>
      <c r="L1044" s="41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1"/>
    </row>
    <row r="1045">
      <c r="A1045" s="45"/>
      <c r="B1045" s="46"/>
      <c r="C1045" s="47"/>
      <c r="D1045" s="47"/>
      <c r="E1045" s="48"/>
      <c r="F1045" s="49"/>
      <c r="G1045" s="49"/>
      <c r="H1045" s="50"/>
      <c r="I1045" s="51"/>
      <c r="J1045" s="52"/>
      <c r="K1045" s="50"/>
      <c r="L1045" s="49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  <c r="AA1045" s="24"/>
    </row>
    <row r="1046">
      <c r="A1046" s="37"/>
      <c r="B1046" s="38"/>
      <c r="C1046" s="39"/>
      <c r="D1046" s="39"/>
      <c r="E1046" s="40"/>
      <c r="F1046" s="41"/>
      <c r="G1046" s="41"/>
      <c r="H1046" s="42"/>
      <c r="I1046" s="43"/>
      <c r="J1046" s="44"/>
      <c r="K1046" s="42"/>
      <c r="L1046" s="41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1"/>
    </row>
    <row r="1047">
      <c r="A1047" s="45"/>
      <c r="B1047" s="46"/>
      <c r="C1047" s="47"/>
      <c r="D1047" s="47"/>
      <c r="E1047" s="48"/>
      <c r="F1047" s="49"/>
      <c r="G1047" s="49"/>
      <c r="H1047" s="50"/>
      <c r="I1047" s="51"/>
      <c r="J1047" s="52"/>
      <c r="K1047" s="50"/>
      <c r="L1047" s="49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  <c r="AA1047" s="24"/>
    </row>
    <row r="1048">
      <c r="A1048" s="37"/>
      <c r="B1048" s="38"/>
      <c r="C1048" s="39"/>
      <c r="D1048" s="39"/>
      <c r="E1048" s="40"/>
      <c r="F1048" s="41"/>
      <c r="G1048" s="41"/>
      <c r="H1048" s="42"/>
      <c r="I1048" s="43"/>
      <c r="J1048" s="44"/>
      <c r="K1048" s="42"/>
      <c r="L1048" s="41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1"/>
    </row>
    <row r="1049">
      <c r="A1049" s="45"/>
      <c r="B1049" s="46"/>
      <c r="C1049" s="47"/>
      <c r="D1049" s="47"/>
      <c r="E1049" s="48"/>
      <c r="F1049" s="49"/>
      <c r="G1049" s="49"/>
      <c r="H1049" s="50"/>
      <c r="I1049" s="51"/>
      <c r="J1049" s="52"/>
      <c r="K1049" s="50"/>
      <c r="L1049" s="49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4"/>
    </row>
    <row r="1050">
      <c r="A1050" s="37"/>
      <c r="B1050" s="38"/>
      <c r="C1050" s="39"/>
      <c r="D1050" s="39"/>
      <c r="E1050" s="40"/>
      <c r="F1050" s="41"/>
      <c r="G1050" s="41"/>
      <c r="H1050" s="42"/>
      <c r="I1050" s="43"/>
      <c r="J1050" s="44"/>
      <c r="K1050" s="42"/>
      <c r="L1050" s="41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1"/>
    </row>
    <row r="1051">
      <c r="A1051" s="45"/>
      <c r="B1051" s="46"/>
      <c r="C1051" s="47"/>
      <c r="D1051" s="47"/>
      <c r="E1051" s="48"/>
      <c r="F1051" s="49"/>
      <c r="G1051" s="49"/>
      <c r="H1051" s="50"/>
      <c r="I1051" s="51"/>
      <c r="J1051" s="52"/>
      <c r="K1051" s="50"/>
      <c r="L1051" s="49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  <c r="AA1051" s="24"/>
    </row>
    <row r="1052">
      <c r="A1052" s="37"/>
      <c r="B1052" s="38"/>
      <c r="C1052" s="39"/>
      <c r="D1052" s="39"/>
      <c r="E1052" s="40"/>
      <c r="F1052" s="41"/>
      <c r="G1052" s="41"/>
      <c r="H1052" s="42"/>
      <c r="I1052" s="43"/>
      <c r="J1052" s="44"/>
      <c r="K1052" s="42"/>
      <c r="L1052" s="41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1"/>
    </row>
    <row r="1053">
      <c r="A1053" s="45"/>
      <c r="B1053" s="46"/>
      <c r="C1053" s="47"/>
      <c r="D1053" s="47"/>
      <c r="E1053" s="48"/>
      <c r="F1053" s="49"/>
      <c r="G1053" s="49"/>
      <c r="H1053" s="50"/>
      <c r="I1053" s="51"/>
      <c r="J1053" s="52"/>
      <c r="K1053" s="50"/>
      <c r="L1053" s="49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  <c r="AA1053" s="24"/>
    </row>
    <row r="1054">
      <c r="A1054" s="37"/>
      <c r="B1054" s="38"/>
      <c r="C1054" s="39"/>
      <c r="D1054" s="39"/>
      <c r="E1054" s="40"/>
      <c r="F1054" s="41"/>
      <c r="G1054" s="41"/>
      <c r="H1054" s="42"/>
      <c r="I1054" s="43"/>
      <c r="J1054" s="44"/>
      <c r="K1054" s="42"/>
      <c r="L1054" s="41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1"/>
    </row>
    <row r="1055">
      <c r="A1055" s="45"/>
      <c r="B1055" s="46"/>
      <c r="C1055" s="47"/>
      <c r="D1055" s="47"/>
      <c r="E1055" s="48"/>
      <c r="F1055" s="49"/>
      <c r="G1055" s="49"/>
      <c r="H1055" s="50"/>
      <c r="I1055" s="51"/>
      <c r="J1055" s="52"/>
      <c r="K1055" s="50"/>
      <c r="L1055" s="49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  <c r="AA1055" s="24"/>
    </row>
    <row r="1056">
      <c r="A1056" s="37"/>
      <c r="B1056" s="38"/>
      <c r="C1056" s="39"/>
      <c r="D1056" s="39"/>
      <c r="E1056" s="40"/>
      <c r="F1056" s="41"/>
      <c r="G1056" s="41"/>
      <c r="H1056" s="42"/>
      <c r="I1056" s="43"/>
      <c r="J1056" s="44"/>
      <c r="K1056" s="42"/>
      <c r="L1056" s="41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1"/>
    </row>
    <row r="1057">
      <c r="A1057" s="45"/>
      <c r="B1057" s="46"/>
      <c r="C1057" s="47"/>
      <c r="D1057" s="47"/>
      <c r="E1057" s="48"/>
      <c r="F1057" s="49"/>
      <c r="G1057" s="49"/>
      <c r="H1057" s="50"/>
      <c r="I1057" s="51"/>
      <c r="J1057" s="52"/>
      <c r="K1057" s="50"/>
      <c r="L1057" s="49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  <c r="AA1057" s="24"/>
    </row>
    <row r="1058">
      <c r="A1058" s="37"/>
      <c r="B1058" s="38"/>
      <c r="C1058" s="39"/>
      <c r="D1058" s="39"/>
      <c r="E1058" s="40"/>
      <c r="F1058" s="41"/>
      <c r="G1058" s="41"/>
      <c r="H1058" s="42"/>
      <c r="I1058" s="43"/>
      <c r="J1058" s="44"/>
      <c r="K1058" s="42"/>
      <c r="L1058" s="41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1"/>
    </row>
    <row r="1059">
      <c r="A1059" s="45"/>
      <c r="B1059" s="46"/>
      <c r="C1059" s="47"/>
      <c r="D1059" s="47"/>
      <c r="E1059" s="48"/>
      <c r="F1059" s="49"/>
      <c r="G1059" s="49"/>
      <c r="H1059" s="50"/>
      <c r="I1059" s="51"/>
      <c r="J1059" s="52"/>
      <c r="K1059" s="50"/>
      <c r="L1059" s="49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  <c r="AA1059" s="24"/>
    </row>
    <row r="1060">
      <c r="A1060" s="37"/>
      <c r="B1060" s="38"/>
      <c r="C1060" s="39"/>
      <c r="D1060" s="39"/>
      <c r="E1060" s="40"/>
      <c r="F1060" s="41"/>
      <c r="G1060" s="41"/>
      <c r="H1060" s="42"/>
      <c r="I1060" s="43"/>
      <c r="J1060" s="44"/>
      <c r="K1060" s="42"/>
      <c r="L1060" s="41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1"/>
    </row>
    <row r="1061">
      <c r="A1061" s="45"/>
      <c r="B1061" s="46"/>
      <c r="C1061" s="47"/>
      <c r="D1061" s="47"/>
      <c r="E1061" s="48"/>
      <c r="F1061" s="49"/>
      <c r="G1061" s="49"/>
      <c r="H1061" s="50"/>
      <c r="I1061" s="51"/>
      <c r="J1061" s="52"/>
      <c r="K1061" s="50"/>
      <c r="L1061" s="49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  <c r="AA1061" s="24"/>
    </row>
    <row r="1062">
      <c r="A1062" s="37"/>
      <c r="B1062" s="38"/>
      <c r="C1062" s="39"/>
      <c r="D1062" s="39"/>
      <c r="E1062" s="40"/>
      <c r="F1062" s="41"/>
      <c r="G1062" s="41"/>
      <c r="H1062" s="42"/>
      <c r="I1062" s="43"/>
      <c r="J1062" s="44"/>
      <c r="K1062" s="42"/>
      <c r="L1062" s="41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1"/>
    </row>
    <row r="1063">
      <c r="A1063" s="45"/>
      <c r="B1063" s="46"/>
      <c r="C1063" s="47"/>
      <c r="D1063" s="47"/>
      <c r="E1063" s="48"/>
      <c r="F1063" s="49"/>
      <c r="G1063" s="49"/>
      <c r="H1063" s="50"/>
      <c r="I1063" s="51"/>
      <c r="J1063" s="52"/>
      <c r="K1063" s="50"/>
      <c r="L1063" s="49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4"/>
    </row>
    <row r="1064">
      <c r="A1064" s="37"/>
      <c r="B1064" s="38"/>
      <c r="C1064" s="39"/>
      <c r="D1064" s="39"/>
      <c r="E1064" s="40"/>
      <c r="F1064" s="41"/>
      <c r="G1064" s="41"/>
      <c r="H1064" s="42"/>
      <c r="I1064" s="43"/>
      <c r="J1064" s="44"/>
      <c r="K1064" s="42"/>
      <c r="L1064" s="41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1"/>
    </row>
    <row r="1065">
      <c r="A1065" s="45"/>
      <c r="B1065" s="46"/>
      <c r="C1065" s="47"/>
      <c r="D1065" s="47"/>
      <c r="E1065" s="48"/>
      <c r="F1065" s="49"/>
      <c r="G1065" s="49"/>
      <c r="H1065" s="50"/>
      <c r="I1065" s="51"/>
      <c r="J1065" s="52"/>
      <c r="K1065" s="50"/>
      <c r="L1065" s="49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  <c r="AA1065" s="24"/>
    </row>
    <row r="1066">
      <c r="A1066" s="37"/>
      <c r="B1066" s="38"/>
      <c r="C1066" s="39"/>
      <c r="D1066" s="39"/>
      <c r="E1066" s="40"/>
      <c r="F1066" s="41"/>
      <c r="G1066" s="41"/>
      <c r="H1066" s="42"/>
      <c r="I1066" s="43"/>
      <c r="J1066" s="44"/>
      <c r="K1066" s="42"/>
      <c r="L1066" s="41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1"/>
    </row>
    <row r="1067">
      <c r="A1067" s="45"/>
      <c r="B1067" s="46"/>
      <c r="C1067" s="47"/>
      <c r="D1067" s="47"/>
      <c r="E1067" s="48"/>
      <c r="F1067" s="49"/>
      <c r="G1067" s="49"/>
      <c r="H1067" s="50"/>
      <c r="I1067" s="51"/>
      <c r="J1067" s="52"/>
      <c r="K1067" s="50"/>
      <c r="L1067" s="49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  <c r="AA1067" s="24"/>
    </row>
    <row r="1068">
      <c r="A1068" s="37"/>
      <c r="B1068" s="38"/>
      <c r="C1068" s="39"/>
      <c r="D1068" s="39"/>
      <c r="E1068" s="40"/>
      <c r="F1068" s="41"/>
      <c r="G1068" s="41"/>
      <c r="H1068" s="42"/>
      <c r="I1068" s="43"/>
      <c r="J1068" s="44"/>
      <c r="K1068" s="42"/>
      <c r="L1068" s="41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1"/>
    </row>
    <row r="1069">
      <c r="A1069" s="45"/>
      <c r="B1069" s="46"/>
      <c r="C1069" s="47"/>
      <c r="D1069" s="47"/>
      <c r="E1069" s="48"/>
      <c r="F1069" s="49"/>
      <c r="G1069" s="49"/>
      <c r="H1069" s="50"/>
      <c r="I1069" s="51"/>
      <c r="J1069" s="52"/>
      <c r="K1069" s="50"/>
      <c r="L1069" s="49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  <c r="AA1069" s="24"/>
    </row>
    <row r="1070">
      <c r="A1070" s="37"/>
      <c r="B1070" s="38"/>
      <c r="C1070" s="39"/>
      <c r="D1070" s="39"/>
      <c r="E1070" s="40"/>
      <c r="F1070" s="41"/>
      <c r="G1070" s="41"/>
      <c r="H1070" s="42"/>
      <c r="I1070" s="43"/>
      <c r="J1070" s="44"/>
      <c r="K1070" s="42"/>
      <c r="L1070" s="41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1"/>
    </row>
    <row r="1071">
      <c r="A1071" s="45"/>
      <c r="B1071" s="46"/>
      <c r="C1071" s="47"/>
      <c r="D1071" s="47"/>
      <c r="E1071" s="48"/>
      <c r="F1071" s="49"/>
      <c r="G1071" s="49"/>
      <c r="H1071" s="50"/>
      <c r="I1071" s="51"/>
      <c r="J1071" s="52"/>
      <c r="K1071" s="50"/>
      <c r="L1071" s="49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  <c r="AA1071" s="24"/>
    </row>
    <row r="1072">
      <c r="A1072" s="37"/>
      <c r="B1072" s="38"/>
      <c r="C1072" s="39"/>
      <c r="D1072" s="39"/>
      <c r="E1072" s="40"/>
      <c r="F1072" s="41"/>
      <c r="G1072" s="41"/>
      <c r="H1072" s="42"/>
      <c r="I1072" s="43"/>
      <c r="J1072" s="44"/>
      <c r="K1072" s="42"/>
      <c r="L1072" s="41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1"/>
    </row>
    <row r="1073">
      <c r="A1073" s="45"/>
      <c r="B1073" s="46"/>
      <c r="C1073" s="47"/>
      <c r="D1073" s="47"/>
      <c r="E1073" s="48"/>
      <c r="F1073" s="49"/>
      <c r="G1073" s="49"/>
      <c r="H1073" s="50"/>
      <c r="I1073" s="51"/>
      <c r="J1073" s="52"/>
      <c r="K1073" s="50"/>
      <c r="L1073" s="49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  <c r="AA1073" s="24"/>
    </row>
    <row r="1074">
      <c r="A1074" s="37"/>
      <c r="B1074" s="38"/>
      <c r="C1074" s="39"/>
      <c r="D1074" s="39"/>
      <c r="E1074" s="40"/>
      <c r="F1074" s="41"/>
      <c r="G1074" s="41"/>
      <c r="H1074" s="42"/>
      <c r="I1074" s="43"/>
      <c r="J1074" s="44"/>
      <c r="K1074" s="42"/>
      <c r="L1074" s="41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1"/>
    </row>
    <row r="1075">
      <c r="A1075" s="45"/>
      <c r="B1075" s="46"/>
      <c r="C1075" s="47"/>
      <c r="D1075" s="47"/>
      <c r="E1075" s="48"/>
      <c r="F1075" s="49"/>
      <c r="G1075" s="49"/>
      <c r="H1075" s="50"/>
      <c r="I1075" s="51"/>
      <c r="J1075" s="52"/>
      <c r="K1075" s="50"/>
      <c r="L1075" s="49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  <c r="AA1075" s="24"/>
    </row>
    <row r="1076">
      <c r="A1076" s="37"/>
      <c r="B1076" s="38"/>
      <c r="C1076" s="39"/>
      <c r="D1076" s="39"/>
      <c r="E1076" s="40"/>
      <c r="F1076" s="41"/>
      <c r="G1076" s="41"/>
      <c r="H1076" s="42"/>
      <c r="I1076" s="43"/>
      <c r="J1076" s="44"/>
      <c r="K1076" s="42"/>
      <c r="L1076" s="41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1"/>
    </row>
    <row r="1077">
      <c r="A1077" s="45"/>
      <c r="B1077" s="46"/>
      <c r="C1077" s="47"/>
      <c r="D1077" s="47"/>
      <c r="E1077" s="48"/>
      <c r="F1077" s="49"/>
      <c r="G1077" s="49"/>
      <c r="H1077" s="50"/>
      <c r="I1077" s="51"/>
      <c r="J1077" s="52"/>
      <c r="K1077" s="50"/>
      <c r="L1077" s="49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  <c r="AA1077" s="24"/>
    </row>
    <row r="1078">
      <c r="A1078" s="37"/>
      <c r="B1078" s="38"/>
      <c r="C1078" s="39"/>
      <c r="D1078" s="39"/>
      <c r="E1078" s="40"/>
      <c r="F1078" s="41"/>
      <c r="G1078" s="41"/>
      <c r="H1078" s="42"/>
      <c r="I1078" s="43"/>
      <c r="J1078" s="44"/>
      <c r="K1078" s="42"/>
      <c r="L1078" s="41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1"/>
    </row>
    <row r="1079">
      <c r="A1079" s="45"/>
      <c r="B1079" s="46"/>
      <c r="C1079" s="47"/>
      <c r="D1079" s="47"/>
      <c r="E1079" s="48"/>
      <c r="F1079" s="49"/>
      <c r="G1079" s="49"/>
      <c r="H1079" s="50"/>
      <c r="I1079" s="51"/>
      <c r="J1079" s="52"/>
      <c r="K1079" s="50"/>
      <c r="L1079" s="49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  <c r="AA1079" s="24"/>
    </row>
    <row r="1080">
      <c r="A1080" s="37"/>
      <c r="B1080" s="38"/>
      <c r="C1080" s="39"/>
      <c r="D1080" s="39"/>
      <c r="E1080" s="40"/>
      <c r="F1080" s="41"/>
      <c r="G1080" s="41"/>
      <c r="H1080" s="42"/>
      <c r="I1080" s="43"/>
      <c r="J1080" s="44"/>
      <c r="K1080" s="42"/>
      <c r="L1080" s="41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1"/>
    </row>
    <row r="1081">
      <c r="A1081" s="45"/>
      <c r="B1081" s="46"/>
      <c r="C1081" s="47"/>
      <c r="D1081" s="47"/>
      <c r="E1081" s="48"/>
      <c r="F1081" s="49"/>
      <c r="G1081" s="49"/>
      <c r="H1081" s="50"/>
      <c r="I1081" s="51"/>
      <c r="J1081" s="52"/>
      <c r="K1081" s="50"/>
      <c r="L1081" s="49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  <c r="AA1081" s="24"/>
    </row>
    <row r="1082">
      <c r="A1082" s="37"/>
      <c r="B1082" s="38"/>
      <c r="C1082" s="39"/>
      <c r="D1082" s="39"/>
      <c r="E1082" s="40"/>
      <c r="F1082" s="41"/>
      <c r="G1082" s="41"/>
      <c r="H1082" s="42"/>
      <c r="I1082" s="43"/>
      <c r="J1082" s="44"/>
      <c r="K1082" s="42"/>
      <c r="L1082" s="41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1"/>
    </row>
    <row r="1083">
      <c r="A1083" s="45"/>
      <c r="B1083" s="46"/>
      <c r="C1083" s="47"/>
      <c r="D1083" s="47"/>
      <c r="E1083" s="48"/>
      <c r="F1083" s="49"/>
      <c r="G1083" s="49"/>
      <c r="H1083" s="50"/>
      <c r="I1083" s="51"/>
      <c r="J1083" s="52"/>
      <c r="K1083" s="50"/>
      <c r="L1083" s="49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  <c r="AA1083" s="24"/>
    </row>
    <row r="1084">
      <c r="A1084" s="37"/>
      <c r="B1084" s="38"/>
      <c r="C1084" s="39"/>
      <c r="D1084" s="39"/>
      <c r="E1084" s="40"/>
      <c r="F1084" s="41"/>
      <c r="G1084" s="41"/>
      <c r="H1084" s="42"/>
      <c r="I1084" s="43"/>
      <c r="J1084" s="44"/>
      <c r="K1084" s="42"/>
      <c r="L1084" s="41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1"/>
    </row>
    <row r="1085">
      <c r="A1085" s="45"/>
      <c r="B1085" s="46"/>
      <c r="C1085" s="47"/>
      <c r="D1085" s="47"/>
      <c r="E1085" s="48"/>
      <c r="F1085" s="49"/>
      <c r="G1085" s="49"/>
      <c r="H1085" s="50"/>
      <c r="I1085" s="51"/>
      <c r="J1085" s="52"/>
      <c r="K1085" s="50"/>
      <c r="L1085" s="49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  <c r="AA1085" s="24"/>
    </row>
    <row r="1086">
      <c r="A1086" s="37"/>
      <c r="B1086" s="38"/>
      <c r="C1086" s="39"/>
      <c r="D1086" s="39"/>
      <c r="E1086" s="40"/>
      <c r="F1086" s="41"/>
      <c r="G1086" s="41"/>
      <c r="H1086" s="42"/>
      <c r="I1086" s="43"/>
      <c r="J1086" s="44"/>
      <c r="K1086" s="42"/>
      <c r="L1086" s="41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1"/>
    </row>
    <row r="1087">
      <c r="A1087" s="45"/>
      <c r="B1087" s="46"/>
      <c r="C1087" s="47"/>
      <c r="D1087" s="47"/>
      <c r="E1087" s="48"/>
      <c r="F1087" s="49"/>
      <c r="G1087" s="49"/>
      <c r="H1087" s="50"/>
      <c r="I1087" s="51"/>
      <c r="J1087" s="52"/>
      <c r="K1087" s="50"/>
      <c r="L1087" s="49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  <c r="AA1087" s="24"/>
    </row>
    <row r="1088">
      <c r="A1088" s="37"/>
      <c r="B1088" s="38"/>
      <c r="C1088" s="39"/>
      <c r="D1088" s="39"/>
      <c r="E1088" s="40"/>
      <c r="F1088" s="41"/>
      <c r="G1088" s="41"/>
      <c r="H1088" s="42"/>
      <c r="I1088" s="43"/>
      <c r="J1088" s="44"/>
      <c r="K1088" s="42"/>
      <c r="L1088" s="41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1"/>
    </row>
    <row r="1089">
      <c r="A1089" s="45"/>
      <c r="B1089" s="46"/>
      <c r="C1089" s="47"/>
      <c r="D1089" s="47"/>
      <c r="E1089" s="48"/>
      <c r="F1089" s="49"/>
      <c r="G1089" s="49"/>
      <c r="H1089" s="50"/>
      <c r="I1089" s="51"/>
      <c r="J1089" s="52"/>
      <c r="K1089" s="50"/>
      <c r="L1089" s="49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  <c r="AA1089" s="24"/>
    </row>
    <row r="1090">
      <c r="A1090" s="37"/>
      <c r="B1090" s="38"/>
      <c r="C1090" s="39"/>
      <c r="D1090" s="39"/>
      <c r="E1090" s="40"/>
      <c r="F1090" s="41"/>
      <c r="G1090" s="41"/>
      <c r="H1090" s="42"/>
      <c r="I1090" s="43"/>
      <c r="J1090" s="44"/>
      <c r="K1090" s="42"/>
      <c r="L1090" s="41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1"/>
    </row>
    <row r="1091">
      <c r="A1091" s="45"/>
      <c r="B1091" s="46"/>
      <c r="C1091" s="47"/>
      <c r="D1091" s="47"/>
      <c r="E1091" s="48"/>
      <c r="F1091" s="49"/>
      <c r="G1091" s="49"/>
      <c r="H1091" s="50"/>
      <c r="I1091" s="51"/>
      <c r="J1091" s="52"/>
      <c r="K1091" s="50"/>
      <c r="L1091" s="49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  <c r="AA1091" s="24"/>
    </row>
    <row r="1092">
      <c r="A1092" s="37"/>
      <c r="B1092" s="38"/>
      <c r="C1092" s="39"/>
      <c r="D1092" s="39"/>
      <c r="E1092" s="40"/>
      <c r="F1092" s="41"/>
      <c r="G1092" s="41"/>
      <c r="H1092" s="42"/>
      <c r="I1092" s="43"/>
      <c r="J1092" s="44"/>
      <c r="K1092" s="42"/>
      <c r="L1092" s="41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1"/>
    </row>
    <row r="1093">
      <c r="A1093" s="45"/>
      <c r="B1093" s="46"/>
      <c r="C1093" s="47"/>
      <c r="D1093" s="47"/>
      <c r="E1093" s="48"/>
      <c r="F1093" s="49"/>
      <c r="G1093" s="49"/>
      <c r="H1093" s="50"/>
      <c r="I1093" s="51"/>
      <c r="J1093" s="52"/>
      <c r="K1093" s="50"/>
      <c r="L1093" s="49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  <c r="AA1093" s="24"/>
    </row>
    <row r="1094">
      <c r="A1094" s="37"/>
      <c r="B1094" s="38"/>
      <c r="C1094" s="39"/>
      <c r="D1094" s="39"/>
      <c r="E1094" s="40"/>
      <c r="F1094" s="41"/>
      <c r="G1094" s="41"/>
      <c r="H1094" s="42"/>
      <c r="I1094" s="43"/>
      <c r="J1094" s="44"/>
      <c r="K1094" s="42"/>
      <c r="L1094" s="41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1"/>
    </row>
    <row r="1095">
      <c r="A1095" s="45"/>
      <c r="B1095" s="46"/>
      <c r="C1095" s="47"/>
      <c r="D1095" s="47"/>
      <c r="E1095" s="48"/>
      <c r="F1095" s="49"/>
      <c r="G1095" s="49"/>
      <c r="H1095" s="50"/>
      <c r="I1095" s="51"/>
      <c r="J1095" s="52"/>
      <c r="K1095" s="50"/>
      <c r="L1095" s="49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  <c r="AA1095" s="24"/>
    </row>
    <row r="1096">
      <c r="A1096" s="37"/>
      <c r="B1096" s="38"/>
      <c r="C1096" s="39"/>
      <c r="D1096" s="39"/>
      <c r="E1096" s="40"/>
      <c r="F1096" s="41"/>
      <c r="G1096" s="41"/>
      <c r="H1096" s="42"/>
      <c r="I1096" s="43"/>
      <c r="J1096" s="44"/>
      <c r="K1096" s="42"/>
      <c r="L1096" s="41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1"/>
    </row>
    <row r="1097">
      <c r="A1097" s="45"/>
      <c r="B1097" s="46"/>
      <c r="C1097" s="47"/>
      <c r="D1097" s="47"/>
      <c r="E1097" s="48"/>
      <c r="F1097" s="49"/>
      <c r="G1097" s="49"/>
      <c r="H1097" s="50"/>
      <c r="I1097" s="51"/>
      <c r="J1097" s="52"/>
      <c r="K1097" s="50"/>
      <c r="L1097" s="49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  <c r="AA1097" s="24"/>
    </row>
    <row r="1098">
      <c r="A1098" s="37"/>
      <c r="B1098" s="38"/>
      <c r="C1098" s="39"/>
      <c r="D1098" s="39"/>
      <c r="E1098" s="40"/>
      <c r="F1098" s="41"/>
      <c r="G1098" s="41"/>
      <c r="H1098" s="42"/>
      <c r="I1098" s="43"/>
      <c r="J1098" s="44"/>
      <c r="K1098" s="42"/>
      <c r="L1098" s="41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1"/>
    </row>
    <row r="1099">
      <c r="A1099" s="45"/>
      <c r="B1099" s="46"/>
      <c r="C1099" s="47"/>
      <c r="D1099" s="47"/>
      <c r="E1099" s="48"/>
      <c r="F1099" s="49"/>
      <c r="G1099" s="49"/>
      <c r="H1099" s="50"/>
      <c r="I1099" s="51"/>
      <c r="J1099" s="52"/>
      <c r="K1099" s="50"/>
      <c r="L1099" s="49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  <c r="AA1099" s="24"/>
    </row>
    <row r="1100">
      <c r="A1100" s="37"/>
      <c r="B1100" s="38"/>
      <c r="C1100" s="39"/>
      <c r="D1100" s="39"/>
      <c r="E1100" s="40"/>
      <c r="F1100" s="41"/>
      <c r="G1100" s="41"/>
      <c r="H1100" s="42"/>
      <c r="I1100" s="43"/>
      <c r="J1100" s="44"/>
      <c r="K1100" s="42"/>
      <c r="L1100" s="41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1"/>
    </row>
    <row r="1101">
      <c r="A1101" s="45"/>
      <c r="B1101" s="46"/>
      <c r="C1101" s="47"/>
      <c r="D1101" s="47"/>
      <c r="E1101" s="48"/>
      <c r="F1101" s="49"/>
      <c r="G1101" s="49"/>
      <c r="H1101" s="50"/>
      <c r="I1101" s="51"/>
      <c r="J1101" s="52"/>
      <c r="K1101" s="50"/>
      <c r="L1101" s="49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  <c r="AA1101" s="24"/>
    </row>
    <row r="1102">
      <c r="A1102" s="37"/>
      <c r="B1102" s="38"/>
      <c r="C1102" s="39"/>
      <c r="D1102" s="39"/>
      <c r="E1102" s="40"/>
      <c r="F1102" s="41"/>
      <c r="G1102" s="41"/>
      <c r="H1102" s="42"/>
      <c r="I1102" s="43"/>
      <c r="J1102" s="44"/>
      <c r="K1102" s="42"/>
      <c r="L1102" s="41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1"/>
    </row>
    <row r="1103">
      <c r="A1103" s="45"/>
      <c r="B1103" s="46"/>
      <c r="C1103" s="47"/>
      <c r="D1103" s="47"/>
      <c r="E1103" s="48"/>
      <c r="F1103" s="49"/>
      <c r="G1103" s="49"/>
      <c r="H1103" s="50"/>
      <c r="I1103" s="51"/>
      <c r="J1103" s="52"/>
      <c r="K1103" s="50"/>
      <c r="L1103" s="49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  <c r="AA1103" s="24"/>
    </row>
    <row r="1104">
      <c r="A1104" s="37"/>
      <c r="B1104" s="38"/>
      <c r="C1104" s="39"/>
      <c r="D1104" s="39"/>
      <c r="E1104" s="40"/>
      <c r="F1104" s="41"/>
      <c r="G1104" s="41"/>
      <c r="H1104" s="42"/>
      <c r="I1104" s="43"/>
      <c r="J1104" s="44"/>
      <c r="K1104" s="42"/>
      <c r="L1104" s="41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1"/>
    </row>
    <row r="1105">
      <c r="A1105" s="45"/>
      <c r="B1105" s="46"/>
      <c r="C1105" s="47"/>
      <c r="D1105" s="47"/>
      <c r="E1105" s="48"/>
      <c r="F1105" s="49"/>
      <c r="G1105" s="49"/>
      <c r="H1105" s="50"/>
      <c r="I1105" s="51"/>
      <c r="J1105" s="52"/>
      <c r="K1105" s="50"/>
      <c r="L1105" s="49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  <c r="AA1105" s="24"/>
    </row>
    <row r="1106">
      <c r="A1106" s="37"/>
      <c r="B1106" s="38"/>
      <c r="C1106" s="39"/>
      <c r="D1106" s="39"/>
      <c r="E1106" s="40"/>
      <c r="F1106" s="41"/>
      <c r="G1106" s="41"/>
      <c r="H1106" s="42"/>
      <c r="I1106" s="43"/>
      <c r="J1106" s="44"/>
      <c r="K1106" s="42"/>
      <c r="L1106" s="41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  <c r="AA1106" s="21"/>
    </row>
    <row r="1107">
      <c r="A1107" s="45"/>
      <c r="B1107" s="46"/>
      <c r="C1107" s="47"/>
      <c r="D1107" s="47"/>
      <c r="E1107" s="48"/>
      <c r="F1107" s="49"/>
      <c r="G1107" s="49"/>
      <c r="H1107" s="50"/>
      <c r="I1107" s="51"/>
      <c r="J1107" s="52"/>
      <c r="K1107" s="50"/>
      <c r="L1107" s="49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  <c r="AA1107" s="24"/>
    </row>
    <row r="1108">
      <c r="A1108" s="37"/>
      <c r="B1108" s="38"/>
      <c r="C1108" s="39"/>
      <c r="D1108" s="39"/>
      <c r="E1108" s="40"/>
      <c r="F1108" s="41"/>
      <c r="G1108" s="41"/>
      <c r="H1108" s="42"/>
      <c r="I1108" s="43"/>
      <c r="J1108" s="44"/>
      <c r="K1108" s="42"/>
      <c r="L1108" s="41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1"/>
    </row>
    <row r="1109">
      <c r="A1109" s="45"/>
      <c r="B1109" s="46"/>
      <c r="C1109" s="47"/>
      <c r="D1109" s="47"/>
      <c r="E1109" s="48"/>
      <c r="F1109" s="49"/>
      <c r="G1109" s="49"/>
      <c r="H1109" s="50"/>
      <c r="I1109" s="51"/>
      <c r="J1109" s="52"/>
      <c r="K1109" s="50"/>
      <c r="L1109" s="49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  <c r="AA1109" s="24"/>
    </row>
    <row r="1110">
      <c r="A1110" s="37"/>
      <c r="B1110" s="38"/>
      <c r="C1110" s="39"/>
      <c r="D1110" s="39"/>
      <c r="E1110" s="40"/>
      <c r="F1110" s="41"/>
      <c r="G1110" s="41"/>
      <c r="H1110" s="42"/>
      <c r="I1110" s="43"/>
      <c r="J1110" s="44"/>
      <c r="K1110" s="42"/>
      <c r="L1110" s="41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1"/>
    </row>
    <row r="1111">
      <c r="A1111" s="45"/>
      <c r="B1111" s="46"/>
      <c r="C1111" s="47"/>
      <c r="D1111" s="47"/>
      <c r="E1111" s="48"/>
      <c r="F1111" s="49"/>
      <c r="G1111" s="49"/>
      <c r="H1111" s="50"/>
      <c r="I1111" s="51"/>
      <c r="J1111" s="52"/>
      <c r="K1111" s="50"/>
      <c r="L1111" s="49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  <c r="AA1111" s="24"/>
    </row>
    <row r="1112">
      <c r="A1112" s="37"/>
      <c r="B1112" s="38"/>
      <c r="C1112" s="39"/>
      <c r="D1112" s="39"/>
      <c r="E1112" s="40"/>
      <c r="F1112" s="41"/>
      <c r="G1112" s="41"/>
      <c r="H1112" s="42"/>
      <c r="I1112" s="43"/>
      <c r="J1112" s="44"/>
      <c r="K1112" s="42"/>
      <c r="L1112" s="41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21"/>
    </row>
    <row r="1113">
      <c r="A1113" s="45"/>
      <c r="B1113" s="46"/>
      <c r="C1113" s="47"/>
      <c r="D1113" s="47"/>
      <c r="E1113" s="48"/>
      <c r="F1113" s="49"/>
      <c r="G1113" s="49"/>
      <c r="H1113" s="50"/>
      <c r="I1113" s="51"/>
      <c r="J1113" s="52"/>
      <c r="K1113" s="50"/>
      <c r="L1113" s="49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  <c r="AA1113" s="24"/>
    </row>
    <row r="1114">
      <c r="A1114" s="37"/>
      <c r="B1114" s="38"/>
      <c r="C1114" s="39"/>
      <c r="D1114" s="39"/>
      <c r="E1114" s="40"/>
      <c r="F1114" s="41"/>
      <c r="G1114" s="41"/>
      <c r="H1114" s="42"/>
      <c r="I1114" s="43"/>
      <c r="J1114" s="44"/>
      <c r="K1114" s="42"/>
      <c r="L1114" s="41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  <c r="AA1114" s="21"/>
    </row>
    <row r="1115">
      <c r="A1115" s="45"/>
      <c r="B1115" s="46"/>
      <c r="C1115" s="47"/>
      <c r="D1115" s="47"/>
      <c r="E1115" s="48"/>
      <c r="F1115" s="49"/>
      <c r="G1115" s="49"/>
      <c r="H1115" s="50"/>
      <c r="I1115" s="51"/>
      <c r="J1115" s="52"/>
      <c r="K1115" s="50"/>
      <c r="L1115" s="49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  <c r="AA1115" s="24"/>
    </row>
    <row r="1116">
      <c r="A1116" s="37"/>
      <c r="B1116" s="38"/>
      <c r="C1116" s="39"/>
      <c r="D1116" s="39"/>
      <c r="E1116" s="40"/>
      <c r="F1116" s="41"/>
      <c r="G1116" s="41"/>
      <c r="H1116" s="42"/>
      <c r="I1116" s="43"/>
      <c r="J1116" s="44"/>
      <c r="K1116" s="42"/>
      <c r="L1116" s="41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21"/>
    </row>
    <row r="1117">
      <c r="A1117" s="45"/>
      <c r="B1117" s="46"/>
      <c r="C1117" s="47"/>
      <c r="D1117" s="47"/>
      <c r="E1117" s="48"/>
      <c r="F1117" s="49"/>
      <c r="G1117" s="49"/>
      <c r="H1117" s="50"/>
      <c r="I1117" s="51"/>
      <c r="J1117" s="52"/>
      <c r="K1117" s="50"/>
      <c r="L1117" s="49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  <c r="AA1117" s="24"/>
    </row>
    <row r="1118">
      <c r="A1118" s="37"/>
      <c r="B1118" s="38"/>
      <c r="C1118" s="39"/>
      <c r="D1118" s="39"/>
      <c r="E1118" s="40"/>
      <c r="F1118" s="41"/>
      <c r="G1118" s="41"/>
      <c r="H1118" s="42"/>
      <c r="I1118" s="43"/>
      <c r="J1118" s="44"/>
      <c r="K1118" s="42"/>
      <c r="L1118" s="41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1"/>
    </row>
    <row r="1119">
      <c r="A1119" s="45"/>
      <c r="B1119" s="46"/>
      <c r="C1119" s="47"/>
      <c r="D1119" s="47"/>
      <c r="E1119" s="48"/>
      <c r="F1119" s="49"/>
      <c r="G1119" s="49"/>
      <c r="H1119" s="50"/>
      <c r="I1119" s="51"/>
      <c r="J1119" s="52"/>
      <c r="K1119" s="50"/>
      <c r="L1119" s="49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  <c r="AA1119" s="24"/>
    </row>
    <row r="1120">
      <c r="A1120" s="37"/>
      <c r="B1120" s="38"/>
      <c r="C1120" s="39"/>
      <c r="D1120" s="39"/>
      <c r="E1120" s="40"/>
      <c r="F1120" s="41"/>
      <c r="G1120" s="41"/>
      <c r="H1120" s="42"/>
      <c r="I1120" s="43"/>
      <c r="J1120" s="44"/>
      <c r="K1120" s="42"/>
      <c r="L1120" s="41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21"/>
    </row>
    <row r="1121">
      <c r="A1121" s="45"/>
      <c r="B1121" s="46"/>
      <c r="C1121" s="47"/>
      <c r="D1121" s="47"/>
      <c r="E1121" s="48"/>
      <c r="F1121" s="49"/>
      <c r="G1121" s="49"/>
      <c r="H1121" s="50"/>
      <c r="I1121" s="51"/>
      <c r="J1121" s="52"/>
      <c r="K1121" s="50"/>
      <c r="L1121" s="49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  <c r="AA1121" s="24"/>
    </row>
    <row r="1122">
      <c r="A1122" s="37"/>
      <c r="B1122" s="38"/>
      <c r="C1122" s="39"/>
      <c r="D1122" s="39"/>
      <c r="E1122" s="40"/>
      <c r="F1122" s="41"/>
      <c r="G1122" s="41"/>
      <c r="H1122" s="42"/>
      <c r="I1122" s="43"/>
      <c r="J1122" s="44"/>
      <c r="K1122" s="42"/>
      <c r="L1122" s="41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  <c r="AA1122" s="21"/>
    </row>
    <row r="1123">
      <c r="A1123" s="45"/>
      <c r="B1123" s="46"/>
      <c r="C1123" s="47"/>
      <c r="D1123" s="47"/>
      <c r="E1123" s="48"/>
      <c r="F1123" s="49"/>
      <c r="G1123" s="49"/>
      <c r="H1123" s="50"/>
      <c r="I1123" s="51"/>
      <c r="J1123" s="52"/>
      <c r="K1123" s="50"/>
      <c r="L1123" s="49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  <c r="AA1123" s="24"/>
    </row>
    <row r="1124">
      <c r="A1124" s="37"/>
      <c r="B1124" s="38"/>
      <c r="C1124" s="39"/>
      <c r="D1124" s="39"/>
      <c r="E1124" s="40"/>
      <c r="F1124" s="41"/>
      <c r="G1124" s="41"/>
      <c r="H1124" s="42"/>
      <c r="I1124" s="43"/>
      <c r="J1124" s="44"/>
      <c r="K1124" s="42"/>
      <c r="L1124" s="41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1"/>
    </row>
    <row r="1125">
      <c r="A1125" s="45"/>
      <c r="B1125" s="46"/>
      <c r="C1125" s="47"/>
      <c r="D1125" s="47"/>
      <c r="E1125" s="48"/>
      <c r="F1125" s="49"/>
      <c r="G1125" s="49"/>
      <c r="H1125" s="50"/>
      <c r="I1125" s="51"/>
      <c r="J1125" s="52"/>
      <c r="K1125" s="50"/>
      <c r="L1125" s="49"/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  <c r="AA1125" s="24"/>
    </row>
    <row r="1126">
      <c r="A1126" s="37"/>
      <c r="B1126" s="38"/>
      <c r="C1126" s="39"/>
      <c r="D1126" s="39"/>
      <c r="E1126" s="40"/>
      <c r="F1126" s="41"/>
      <c r="G1126" s="41"/>
      <c r="H1126" s="42"/>
      <c r="I1126" s="43"/>
      <c r="J1126" s="44"/>
      <c r="K1126" s="42"/>
      <c r="L1126" s="41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  <c r="AA1126" s="21"/>
    </row>
    <row r="1127">
      <c r="A1127" s="45"/>
      <c r="B1127" s="46"/>
      <c r="C1127" s="47"/>
      <c r="D1127" s="47"/>
      <c r="E1127" s="48"/>
      <c r="F1127" s="49"/>
      <c r="G1127" s="49"/>
      <c r="H1127" s="50"/>
      <c r="I1127" s="51"/>
      <c r="J1127" s="52"/>
      <c r="K1127" s="50"/>
      <c r="L1127" s="49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  <c r="AA1127" s="24"/>
    </row>
    <row r="1128">
      <c r="A1128" s="37"/>
      <c r="B1128" s="38"/>
      <c r="C1128" s="39"/>
      <c r="D1128" s="39"/>
      <c r="E1128" s="40"/>
      <c r="F1128" s="41"/>
      <c r="G1128" s="41"/>
      <c r="H1128" s="42"/>
      <c r="I1128" s="43"/>
      <c r="J1128" s="44"/>
      <c r="K1128" s="42"/>
      <c r="L1128" s="41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1"/>
    </row>
    <row r="1129">
      <c r="A1129" s="45"/>
      <c r="B1129" s="46"/>
      <c r="C1129" s="47"/>
      <c r="D1129" s="47"/>
      <c r="E1129" s="48"/>
      <c r="F1129" s="49"/>
      <c r="G1129" s="49"/>
      <c r="H1129" s="50"/>
      <c r="I1129" s="51"/>
      <c r="J1129" s="52"/>
      <c r="K1129" s="50"/>
      <c r="L1129" s="49"/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  <c r="AA1129" s="24"/>
    </row>
    <row r="1130">
      <c r="A1130" s="37"/>
      <c r="B1130" s="38"/>
      <c r="C1130" s="39"/>
      <c r="D1130" s="39"/>
      <c r="E1130" s="40"/>
      <c r="F1130" s="41"/>
      <c r="G1130" s="41"/>
      <c r="H1130" s="42"/>
      <c r="I1130" s="43"/>
      <c r="J1130" s="44"/>
      <c r="K1130" s="42"/>
      <c r="L1130" s="41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  <c r="AA1130" s="21"/>
    </row>
    <row r="1131">
      <c r="A1131" s="45"/>
      <c r="B1131" s="46"/>
      <c r="C1131" s="47"/>
      <c r="D1131" s="47"/>
      <c r="E1131" s="48"/>
      <c r="F1131" s="49"/>
      <c r="G1131" s="49"/>
      <c r="H1131" s="50"/>
      <c r="I1131" s="51"/>
      <c r="J1131" s="52"/>
      <c r="K1131" s="50"/>
      <c r="L1131" s="49"/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  <c r="AA1131" s="24"/>
    </row>
    <row r="1132">
      <c r="A1132" s="37"/>
      <c r="B1132" s="38"/>
      <c r="C1132" s="39"/>
      <c r="D1132" s="39"/>
      <c r="E1132" s="40"/>
      <c r="F1132" s="41"/>
      <c r="G1132" s="41"/>
      <c r="H1132" s="42"/>
      <c r="I1132" s="43"/>
      <c r="J1132" s="44"/>
      <c r="K1132" s="42"/>
      <c r="L1132" s="41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  <c r="AA1132" s="21"/>
    </row>
    <row r="1133">
      <c r="A1133" s="45"/>
      <c r="B1133" s="46"/>
      <c r="C1133" s="47"/>
      <c r="D1133" s="47"/>
      <c r="E1133" s="48"/>
      <c r="F1133" s="49"/>
      <c r="G1133" s="49"/>
      <c r="H1133" s="50"/>
      <c r="I1133" s="51"/>
      <c r="J1133" s="52"/>
      <c r="K1133" s="50"/>
      <c r="L1133" s="49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  <c r="AA1133" s="24"/>
    </row>
    <row r="1134">
      <c r="A1134" s="37"/>
      <c r="B1134" s="38"/>
      <c r="C1134" s="39"/>
      <c r="D1134" s="39"/>
      <c r="E1134" s="40"/>
      <c r="F1134" s="41"/>
      <c r="G1134" s="41"/>
      <c r="H1134" s="42"/>
      <c r="I1134" s="43"/>
      <c r="J1134" s="44"/>
      <c r="K1134" s="42"/>
      <c r="L1134" s="41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  <c r="AA1134" s="21"/>
    </row>
    <row r="1135">
      <c r="A1135" s="45"/>
      <c r="B1135" s="46"/>
      <c r="C1135" s="47"/>
      <c r="D1135" s="47"/>
      <c r="E1135" s="48"/>
      <c r="F1135" s="49"/>
      <c r="G1135" s="49"/>
      <c r="H1135" s="50"/>
      <c r="I1135" s="51"/>
      <c r="J1135" s="52"/>
      <c r="K1135" s="50"/>
      <c r="L1135" s="49"/>
      <c r="M1135" s="23"/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  <c r="AA1135" s="24"/>
    </row>
    <row r="1136">
      <c r="A1136" s="37"/>
      <c r="B1136" s="38"/>
      <c r="C1136" s="39"/>
      <c r="D1136" s="39"/>
      <c r="E1136" s="40"/>
      <c r="F1136" s="41"/>
      <c r="G1136" s="41"/>
      <c r="H1136" s="42"/>
      <c r="I1136" s="43"/>
      <c r="J1136" s="44"/>
      <c r="K1136" s="42"/>
      <c r="L1136" s="41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  <c r="AA1136" s="21"/>
    </row>
    <row r="1137">
      <c r="A1137" s="45"/>
      <c r="B1137" s="46"/>
      <c r="C1137" s="47"/>
      <c r="D1137" s="47"/>
      <c r="E1137" s="48"/>
      <c r="F1137" s="49"/>
      <c r="G1137" s="49"/>
      <c r="H1137" s="50"/>
      <c r="I1137" s="51"/>
      <c r="J1137" s="52"/>
      <c r="K1137" s="50"/>
      <c r="L1137" s="49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  <c r="AA1137" s="24"/>
    </row>
    <row r="1138">
      <c r="A1138" s="37"/>
      <c r="B1138" s="38"/>
      <c r="C1138" s="39"/>
      <c r="D1138" s="39"/>
      <c r="E1138" s="40"/>
      <c r="F1138" s="41"/>
      <c r="G1138" s="41"/>
      <c r="H1138" s="42"/>
      <c r="I1138" s="43"/>
      <c r="J1138" s="44"/>
      <c r="K1138" s="42"/>
      <c r="L1138" s="41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21"/>
    </row>
    <row r="1139">
      <c r="A1139" s="45"/>
      <c r="B1139" s="46"/>
      <c r="C1139" s="47"/>
      <c r="D1139" s="47"/>
      <c r="E1139" s="48"/>
      <c r="F1139" s="49"/>
      <c r="G1139" s="49"/>
      <c r="H1139" s="50"/>
      <c r="I1139" s="51"/>
      <c r="J1139" s="52"/>
      <c r="K1139" s="50"/>
      <c r="L1139" s="49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  <c r="AA1139" s="24"/>
    </row>
    <row r="1140">
      <c r="A1140" s="37"/>
      <c r="B1140" s="38"/>
      <c r="C1140" s="39"/>
      <c r="D1140" s="39"/>
      <c r="E1140" s="40"/>
      <c r="F1140" s="41"/>
      <c r="G1140" s="41"/>
      <c r="H1140" s="42"/>
      <c r="I1140" s="43"/>
      <c r="J1140" s="44"/>
      <c r="K1140" s="42"/>
      <c r="L1140" s="41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  <c r="AA1140" s="21"/>
    </row>
    <row r="1141">
      <c r="A1141" s="45"/>
      <c r="B1141" s="46"/>
      <c r="C1141" s="47"/>
      <c r="D1141" s="47"/>
      <c r="E1141" s="48"/>
      <c r="F1141" s="49"/>
      <c r="G1141" s="49"/>
      <c r="H1141" s="50"/>
      <c r="I1141" s="51"/>
      <c r="J1141" s="52"/>
      <c r="K1141" s="50"/>
      <c r="L1141" s="49"/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  <c r="AA1141" s="24"/>
    </row>
    <row r="1142">
      <c r="A1142" s="37"/>
      <c r="B1142" s="38"/>
      <c r="C1142" s="39"/>
      <c r="D1142" s="39"/>
      <c r="E1142" s="40"/>
      <c r="F1142" s="41"/>
      <c r="G1142" s="41"/>
      <c r="H1142" s="42"/>
      <c r="I1142" s="43"/>
      <c r="J1142" s="44"/>
      <c r="K1142" s="42"/>
      <c r="L1142" s="41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  <c r="AA1142" s="21"/>
    </row>
    <row r="1143">
      <c r="A1143" s="45"/>
      <c r="B1143" s="46"/>
      <c r="C1143" s="47"/>
      <c r="D1143" s="47"/>
      <c r="E1143" s="48"/>
      <c r="F1143" s="49"/>
      <c r="G1143" s="49"/>
      <c r="H1143" s="50"/>
      <c r="I1143" s="51"/>
      <c r="J1143" s="52"/>
      <c r="K1143" s="50"/>
      <c r="L1143" s="49"/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  <c r="AA1143" s="24"/>
    </row>
    <row r="1144">
      <c r="A1144" s="37"/>
      <c r="B1144" s="38"/>
      <c r="C1144" s="39"/>
      <c r="D1144" s="39"/>
      <c r="E1144" s="40"/>
      <c r="F1144" s="41"/>
      <c r="G1144" s="41"/>
      <c r="H1144" s="42"/>
      <c r="I1144" s="43"/>
      <c r="J1144" s="44"/>
      <c r="K1144" s="42"/>
      <c r="L1144" s="41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  <c r="AA1144" s="21"/>
    </row>
    <row r="1145">
      <c r="A1145" s="45"/>
      <c r="B1145" s="46"/>
      <c r="C1145" s="47"/>
      <c r="D1145" s="47"/>
      <c r="E1145" s="48"/>
      <c r="F1145" s="49"/>
      <c r="G1145" s="49"/>
      <c r="H1145" s="50"/>
      <c r="I1145" s="51"/>
      <c r="J1145" s="52"/>
      <c r="K1145" s="50"/>
      <c r="L1145" s="49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  <c r="AA1145" s="24"/>
    </row>
    <row r="1146">
      <c r="A1146" s="37"/>
      <c r="B1146" s="38"/>
      <c r="C1146" s="39"/>
      <c r="D1146" s="39"/>
      <c r="E1146" s="40"/>
      <c r="F1146" s="41"/>
      <c r="G1146" s="41"/>
      <c r="H1146" s="42"/>
      <c r="I1146" s="43"/>
      <c r="J1146" s="44"/>
      <c r="K1146" s="42"/>
      <c r="L1146" s="41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  <c r="AA1146" s="21"/>
    </row>
    <row r="1147">
      <c r="A1147" s="45"/>
      <c r="B1147" s="46"/>
      <c r="C1147" s="47"/>
      <c r="D1147" s="47"/>
      <c r="E1147" s="48"/>
      <c r="F1147" s="49"/>
      <c r="G1147" s="49"/>
      <c r="H1147" s="50"/>
      <c r="I1147" s="51"/>
      <c r="J1147" s="52"/>
      <c r="K1147" s="50"/>
      <c r="L1147" s="49"/>
      <c r="M1147" s="23"/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  <c r="AA1147" s="24"/>
    </row>
    <row r="1148">
      <c r="A1148" s="37"/>
      <c r="B1148" s="38"/>
      <c r="C1148" s="39"/>
      <c r="D1148" s="39"/>
      <c r="E1148" s="40"/>
      <c r="F1148" s="41"/>
      <c r="G1148" s="41"/>
      <c r="H1148" s="42"/>
      <c r="I1148" s="43"/>
      <c r="J1148" s="44"/>
      <c r="K1148" s="42"/>
      <c r="L1148" s="41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  <c r="AA1148" s="21"/>
    </row>
    <row r="1149">
      <c r="A1149" s="45"/>
      <c r="B1149" s="46"/>
      <c r="C1149" s="47"/>
      <c r="D1149" s="47"/>
      <c r="E1149" s="48"/>
      <c r="F1149" s="49"/>
      <c r="G1149" s="49"/>
      <c r="H1149" s="50"/>
      <c r="I1149" s="51"/>
      <c r="J1149" s="52"/>
      <c r="K1149" s="50"/>
      <c r="L1149" s="49"/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  <c r="AA1149" s="24"/>
    </row>
    <row r="1150">
      <c r="A1150" s="37"/>
      <c r="B1150" s="38"/>
      <c r="C1150" s="39"/>
      <c r="D1150" s="39"/>
      <c r="E1150" s="40"/>
      <c r="F1150" s="41"/>
      <c r="G1150" s="41"/>
      <c r="H1150" s="42"/>
      <c r="I1150" s="43"/>
      <c r="J1150" s="44"/>
      <c r="K1150" s="42"/>
      <c r="L1150" s="41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  <c r="AA1150" s="21"/>
    </row>
    <row r="1151">
      <c r="A1151" s="45"/>
      <c r="B1151" s="46"/>
      <c r="C1151" s="47"/>
      <c r="D1151" s="47"/>
      <c r="E1151" s="48"/>
      <c r="F1151" s="49"/>
      <c r="G1151" s="49"/>
      <c r="H1151" s="50"/>
      <c r="I1151" s="51"/>
      <c r="J1151" s="52"/>
      <c r="K1151" s="50"/>
      <c r="L1151" s="49"/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  <c r="AA1151" s="24"/>
    </row>
    <row r="1152">
      <c r="A1152" s="37"/>
      <c r="B1152" s="38"/>
      <c r="C1152" s="39"/>
      <c r="D1152" s="39"/>
      <c r="E1152" s="40"/>
      <c r="F1152" s="41"/>
      <c r="G1152" s="41"/>
      <c r="H1152" s="42"/>
      <c r="I1152" s="43"/>
      <c r="J1152" s="44"/>
      <c r="K1152" s="42"/>
      <c r="L1152" s="41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  <c r="AA1152" s="21"/>
    </row>
    <row r="1153">
      <c r="A1153" s="45"/>
      <c r="B1153" s="46"/>
      <c r="C1153" s="47"/>
      <c r="D1153" s="47"/>
      <c r="E1153" s="48"/>
      <c r="F1153" s="49"/>
      <c r="G1153" s="49"/>
      <c r="H1153" s="50"/>
      <c r="I1153" s="51"/>
      <c r="J1153" s="52"/>
      <c r="K1153" s="50"/>
      <c r="L1153" s="49"/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  <c r="AA1153" s="24"/>
    </row>
    <row r="1154">
      <c r="A1154" s="37"/>
      <c r="B1154" s="38"/>
      <c r="C1154" s="39"/>
      <c r="D1154" s="39"/>
      <c r="E1154" s="40"/>
      <c r="F1154" s="41"/>
      <c r="G1154" s="41"/>
      <c r="H1154" s="42"/>
      <c r="I1154" s="43"/>
      <c r="J1154" s="44"/>
      <c r="K1154" s="42"/>
      <c r="L1154" s="41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  <c r="AA1154" s="21"/>
    </row>
    <row r="1155">
      <c r="A1155" s="45"/>
      <c r="B1155" s="46"/>
      <c r="C1155" s="47"/>
      <c r="D1155" s="47"/>
      <c r="E1155" s="48"/>
      <c r="F1155" s="49"/>
      <c r="G1155" s="49"/>
      <c r="H1155" s="50"/>
      <c r="I1155" s="51"/>
      <c r="J1155" s="52"/>
      <c r="K1155" s="50"/>
      <c r="L1155" s="49"/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  <c r="AA1155" s="24"/>
    </row>
    <row r="1156">
      <c r="A1156" s="37"/>
      <c r="B1156" s="38"/>
      <c r="C1156" s="39"/>
      <c r="D1156" s="39"/>
      <c r="E1156" s="40"/>
      <c r="F1156" s="41"/>
      <c r="G1156" s="41"/>
      <c r="H1156" s="42"/>
      <c r="I1156" s="43"/>
      <c r="J1156" s="44"/>
      <c r="K1156" s="42"/>
      <c r="L1156" s="41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  <c r="AA1156" s="21"/>
    </row>
    <row r="1157">
      <c r="A1157" s="45"/>
      <c r="B1157" s="46"/>
      <c r="C1157" s="47"/>
      <c r="D1157" s="47"/>
      <c r="E1157" s="48"/>
      <c r="F1157" s="49"/>
      <c r="G1157" s="49"/>
      <c r="H1157" s="50"/>
      <c r="I1157" s="51"/>
      <c r="J1157" s="52"/>
      <c r="K1157" s="50"/>
      <c r="L1157" s="49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  <c r="AA1157" s="24"/>
    </row>
    <row r="1158">
      <c r="A1158" s="37"/>
      <c r="B1158" s="38"/>
      <c r="C1158" s="39"/>
      <c r="D1158" s="39"/>
      <c r="E1158" s="40"/>
      <c r="F1158" s="41"/>
      <c r="G1158" s="41"/>
      <c r="H1158" s="42"/>
      <c r="I1158" s="43"/>
      <c r="J1158" s="44"/>
      <c r="K1158" s="42"/>
      <c r="L1158" s="41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  <c r="AA1158" s="21"/>
    </row>
    <row r="1159">
      <c r="A1159" s="45"/>
      <c r="B1159" s="46"/>
      <c r="C1159" s="47"/>
      <c r="D1159" s="47"/>
      <c r="E1159" s="48"/>
      <c r="F1159" s="49"/>
      <c r="G1159" s="49"/>
      <c r="H1159" s="50"/>
      <c r="I1159" s="51"/>
      <c r="J1159" s="52"/>
      <c r="K1159" s="50"/>
      <c r="L1159" s="49"/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  <c r="AA1159" s="24"/>
    </row>
    <row r="1160">
      <c r="A1160" s="37"/>
      <c r="B1160" s="38"/>
      <c r="C1160" s="39"/>
      <c r="D1160" s="39"/>
      <c r="E1160" s="40"/>
      <c r="F1160" s="41"/>
      <c r="G1160" s="41"/>
      <c r="H1160" s="42"/>
      <c r="I1160" s="43"/>
      <c r="J1160" s="44"/>
      <c r="K1160" s="42"/>
      <c r="L1160" s="41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  <c r="AA1160" s="21"/>
    </row>
    <row r="1161">
      <c r="A1161" s="45"/>
      <c r="B1161" s="46"/>
      <c r="C1161" s="47"/>
      <c r="D1161" s="47"/>
      <c r="E1161" s="48"/>
      <c r="F1161" s="49"/>
      <c r="G1161" s="49"/>
      <c r="H1161" s="50"/>
      <c r="I1161" s="51"/>
      <c r="J1161" s="52"/>
      <c r="K1161" s="50"/>
      <c r="L1161" s="49"/>
      <c r="M1161" s="23"/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  <c r="AA1161" s="24"/>
    </row>
    <row r="1162">
      <c r="A1162" s="37"/>
      <c r="B1162" s="38"/>
      <c r="C1162" s="39"/>
      <c r="D1162" s="39"/>
      <c r="E1162" s="40"/>
      <c r="F1162" s="41"/>
      <c r="G1162" s="41"/>
      <c r="H1162" s="42"/>
      <c r="I1162" s="43"/>
      <c r="J1162" s="44"/>
      <c r="K1162" s="42"/>
      <c r="L1162" s="41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  <c r="AA1162" s="21"/>
    </row>
    <row r="1163">
      <c r="A1163" s="45"/>
      <c r="B1163" s="46"/>
      <c r="C1163" s="47"/>
      <c r="D1163" s="47"/>
      <c r="E1163" s="48"/>
      <c r="F1163" s="49"/>
      <c r="G1163" s="49"/>
      <c r="H1163" s="50"/>
      <c r="I1163" s="51"/>
      <c r="J1163" s="52"/>
      <c r="K1163" s="50"/>
      <c r="L1163" s="49"/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  <c r="AA1163" s="24"/>
    </row>
    <row r="1164">
      <c r="A1164" s="37"/>
      <c r="B1164" s="38"/>
      <c r="C1164" s="39"/>
      <c r="D1164" s="39"/>
      <c r="E1164" s="40"/>
      <c r="F1164" s="41"/>
      <c r="G1164" s="41"/>
      <c r="H1164" s="42"/>
      <c r="I1164" s="43"/>
      <c r="J1164" s="44"/>
      <c r="K1164" s="42"/>
      <c r="L1164" s="41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  <c r="AA1164" s="21"/>
    </row>
    <row r="1165">
      <c r="A1165" s="45"/>
      <c r="B1165" s="46"/>
      <c r="C1165" s="47"/>
      <c r="D1165" s="47"/>
      <c r="E1165" s="48"/>
      <c r="F1165" s="49"/>
      <c r="G1165" s="49"/>
      <c r="H1165" s="50"/>
      <c r="I1165" s="51"/>
      <c r="J1165" s="52"/>
      <c r="K1165" s="50"/>
      <c r="L1165" s="49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  <c r="AA1165" s="24"/>
    </row>
    <row r="1166">
      <c r="A1166" s="37"/>
      <c r="B1166" s="38"/>
      <c r="C1166" s="39"/>
      <c r="D1166" s="39"/>
      <c r="E1166" s="40"/>
      <c r="F1166" s="41"/>
      <c r="G1166" s="41"/>
      <c r="H1166" s="42"/>
      <c r="I1166" s="43"/>
      <c r="J1166" s="44"/>
      <c r="K1166" s="42"/>
      <c r="L1166" s="41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  <c r="AA1166" s="21"/>
    </row>
    <row r="1167">
      <c r="A1167" s="45"/>
      <c r="B1167" s="46"/>
      <c r="C1167" s="47"/>
      <c r="D1167" s="47"/>
      <c r="E1167" s="48"/>
      <c r="F1167" s="49"/>
      <c r="G1167" s="49"/>
      <c r="H1167" s="50"/>
      <c r="I1167" s="51"/>
      <c r="J1167" s="52"/>
      <c r="K1167" s="50"/>
      <c r="L1167" s="49"/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  <c r="AA1167" s="24"/>
    </row>
    <row r="1168">
      <c r="A1168" s="37"/>
      <c r="B1168" s="38"/>
      <c r="C1168" s="39"/>
      <c r="D1168" s="39"/>
      <c r="E1168" s="40"/>
      <c r="F1168" s="41"/>
      <c r="G1168" s="41"/>
      <c r="H1168" s="42"/>
      <c r="I1168" s="43"/>
      <c r="J1168" s="44"/>
      <c r="K1168" s="42"/>
      <c r="L1168" s="41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  <c r="AA1168" s="21"/>
    </row>
    <row r="1169">
      <c r="A1169" s="45"/>
      <c r="B1169" s="46"/>
      <c r="C1169" s="47"/>
      <c r="D1169" s="47"/>
      <c r="E1169" s="48"/>
      <c r="F1169" s="49"/>
      <c r="G1169" s="49"/>
      <c r="H1169" s="50"/>
      <c r="I1169" s="51"/>
      <c r="J1169" s="52"/>
      <c r="K1169" s="50"/>
      <c r="L1169" s="49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  <c r="AA1169" s="24"/>
    </row>
    <row r="1170">
      <c r="A1170" s="37"/>
      <c r="B1170" s="38"/>
      <c r="C1170" s="39"/>
      <c r="D1170" s="39"/>
      <c r="E1170" s="40"/>
      <c r="F1170" s="41"/>
      <c r="G1170" s="41"/>
      <c r="H1170" s="42"/>
      <c r="I1170" s="43"/>
      <c r="J1170" s="44"/>
      <c r="K1170" s="42"/>
      <c r="L1170" s="41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  <c r="AA1170" s="21"/>
    </row>
    <row r="1171">
      <c r="A1171" s="45"/>
      <c r="B1171" s="46"/>
      <c r="C1171" s="47"/>
      <c r="D1171" s="47"/>
      <c r="E1171" s="48"/>
      <c r="F1171" s="49"/>
      <c r="G1171" s="49"/>
      <c r="H1171" s="50"/>
      <c r="I1171" s="51"/>
      <c r="J1171" s="52"/>
      <c r="K1171" s="50"/>
      <c r="L1171" s="49"/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  <c r="AA1171" s="24"/>
    </row>
    <row r="1172">
      <c r="A1172" s="37"/>
      <c r="B1172" s="38"/>
      <c r="C1172" s="39"/>
      <c r="D1172" s="39"/>
      <c r="E1172" s="40"/>
      <c r="F1172" s="41"/>
      <c r="G1172" s="41"/>
      <c r="H1172" s="42"/>
      <c r="I1172" s="43"/>
      <c r="J1172" s="44"/>
      <c r="K1172" s="42"/>
      <c r="L1172" s="41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21"/>
    </row>
    <row r="1173">
      <c r="A1173" s="45"/>
      <c r="B1173" s="46"/>
      <c r="C1173" s="47"/>
      <c r="D1173" s="47"/>
      <c r="E1173" s="48"/>
      <c r="F1173" s="49"/>
      <c r="G1173" s="49"/>
      <c r="H1173" s="50"/>
      <c r="I1173" s="51"/>
      <c r="J1173" s="52"/>
      <c r="K1173" s="50"/>
      <c r="L1173" s="49"/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  <c r="AA1173" s="24"/>
    </row>
    <row r="1174">
      <c r="A1174" s="37"/>
      <c r="B1174" s="38"/>
      <c r="C1174" s="39"/>
      <c r="D1174" s="39"/>
      <c r="E1174" s="40"/>
      <c r="F1174" s="41"/>
      <c r="G1174" s="41"/>
      <c r="H1174" s="42"/>
      <c r="I1174" s="43"/>
      <c r="J1174" s="44"/>
      <c r="K1174" s="42"/>
      <c r="L1174" s="41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  <c r="AA1174" s="21"/>
    </row>
    <row r="1175">
      <c r="A1175" s="45"/>
      <c r="B1175" s="46"/>
      <c r="C1175" s="47"/>
      <c r="D1175" s="47"/>
      <c r="E1175" s="48"/>
      <c r="F1175" s="49"/>
      <c r="G1175" s="49"/>
      <c r="H1175" s="50"/>
      <c r="I1175" s="51"/>
      <c r="J1175" s="52"/>
      <c r="K1175" s="50"/>
      <c r="L1175" s="49"/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  <c r="AA1175" s="24"/>
    </row>
    <row r="1176">
      <c r="A1176" s="37"/>
      <c r="B1176" s="38"/>
      <c r="C1176" s="39"/>
      <c r="D1176" s="39"/>
      <c r="E1176" s="40"/>
      <c r="F1176" s="41"/>
      <c r="G1176" s="41"/>
      <c r="H1176" s="42"/>
      <c r="I1176" s="43"/>
      <c r="J1176" s="44"/>
      <c r="K1176" s="42"/>
      <c r="L1176" s="41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21"/>
    </row>
    <row r="1177">
      <c r="A1177" s="45"/>
      <c r="B1177" s="46"/>
      <c r="C1177" s="47"/>
      <c r="D1177" s="47"/>
      <c r="E1177" s="48"/>
      <c r="F1177" s="49"/>
      <c r="G1177" s="49"/>
      <c r="H1177" s="50"/>
      <c r="I1177" s="51"/>
      <c r="J1177" s="52"/>
      <c r="K1177" s="50"/>
      <c r="L1177" s="49"/>
      <c r="M1177" s="23"/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  <c r="AA1177" s="24"/>
    </row>
    <row r="1178">
      <c r="A1178" s="37"/>
      <c r="B1178" s="38"/>
      <c r="C1178" s="39"/>
      <c r="D1178" s="39"/>
      <c r="E1178" s="40"/>
      <c r="F1178" s="41"/>
      <c r="G1178" s="41"/>
      <c r="H1178" s="42"/>
      <c r="I1178" s="43"/>
      <c r="J1178" s="44"/>
      <c r="K1178" s="42"/>
      <c r="L1178" s="41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  <c r="AA1178" s="21"/>
    </row>
    <row r="1179">
      <c r="A1179" s="45"/>
      <c r="B1179" s="46"/>
      <c r="C1179" s="47"/>
      <c r="D1179" s="47"/>
      <c r="E1179" s="48"/>
      <c r="F1179" s="49"/>
      <c r="G1179" s="49"/>
      <c r="H1179" s="50"/>
      <c r="I1179" s="51"/>
      <c r="J1179" s="52"/>
      <c r="K1179" s="50"/>
      <c r="L1179" s="49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  <c r="AA1179" s="24"/>
    </row>
    <row r="1180">
      <c r="A1180" s="37"/>
      <c r="B1180" s="38"/>
      <c r="C1180" s="39"/>
      <c r="D1180" s="39"/>
      <c r="E1180" s="40"/>
      <c r="F1180" s="41"/>
      <c r="G1180" s="41"/>
      <c r="H1180" s="42"/>
      <c r="I1180" s="43"/>
      <c r="J1180" s="44"/>
      <c r="K1180" s="42"/>
      <c r="L1180" s="41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1"/>
    </row>
    <row r="1181">
      <c r="A1181" s="45"/>
      <c r="B1181" s="46"/>
      <c r="C1181" s="47"/>
      <c r="D1181" s="47"/>
      <c r="E1181" s="48"/>
      <c r="F1181" s="49"/>
      <c r="G1181" s="49"/>
      <c r="H1181" s="50"/>
      <c r="I1181" s="51"/>
      <c r="J1181" s="52"/>
      <c r="K1181" s="50"/>
      <c r="L1181" s="49"/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  <c r="AA1181" s="24"/>
    </row>
    <row r="1182">
      <c r="A1182" s="37"/>
      <c r="B1182" s="38"/>
      <c r="C1182" s="39"/>
      <c r="D1182" s="39"/>
      <c r="E1182" s="40"/>
      <c r="F1182" s="41"/>
      <c r="G1182" s="41"/>
      <c r="H1182" s="42"/>
      <c r="I1182" s="43"/>
      <c r="J1182" s="44"/>
      <c r="K1182" s="42"/>
      <c r="L1182" s="41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1"/>
    </row>
    <row r="1183">
      <c r="A1183" s="45"/>
      <c r="B1183" s="46"/>
      <c r="C1183" s="47"/>
      <c r="D1183" s="47"/>
      <c r="E1183" s="48"/>
      <c r="F1183" s="49"/>
      <c r="G1183" s="49"/>
      <c r="H1183" s="50"/>
      <c r="I1183" s="51"/>
      <c r="J1183" s="52"/>
      <c r="K1183" s="50"/>
      <c r="L1183" s="49"/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  <c r="AA1183" s="24"/>
    </row>
    <row r="1184">
      <c r="A1184" s="37"/>
      <c r="B1184" s="38"/>
      <c r="C1184" s="39"/>
      <c r="D1184" s="39"/>
      <c r="E1184" s="40"/>
      <c r="F1184" s="41"/>
      <c r="G1184" s="41"/>
      <c r="H1184" s="42"/>
      <c r="I1184" s="43"/>
      <c r="J1184" s="44"/>
      <c r="K1184" s="42"/>
      <c r="L1184" s="41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21"/>
    </row>
    <row r="1185">
      <c r="A1185" s="45"/>
      <c r="B1185" s="46"/>
      <c r="C1185" s="47"/>
      <c r="D1185" s="47"/>
      <c r="E1185" s="48"/>
      <c r="F1185" s="49"/>
      <c r="G1185" s="49"/>
      <c r="H1185" s="50"/>
      <c r="I1185" s="51"/>
      <c r="J1185" s="52"/>
      <c r="K1185" s="50"/>
      <c r="L1185" s="49"/>
      <c r="M1185" s="23"/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  <c r="AA1185" s="24"/>
    </row>
    <row r="1186">
      <c r="A1186" s="37"/>
      <c r="B1186" s="38"/>
      <c r="C1186" s="39"/>
      <c r="D1186" s="39"/>
      <c r="E1186" s="40"/>
      <c r="F1186" s="41"/>
      <c r="G1186" s="41"/>
      <c r="H1186" s="42"/>
      <c r="I1186" s="43"/>
      <c r="J1186" s="44"/>
      <c r="K1186" s="42"/>
      <c r="L1186" s="41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  <c r="AA1186" s="21"/>
    </row>
    <row r="1187">
      <c r="A1187" s="45"/>
      <c r="B1187" s="46"/>
      <c r="C1187" s="47"/>
      <c r="D1187" s="47"/>
      <c r="E1187" s="48"/>
      <c r="F1187" s="49"/>
      <c r="G1187" s="49"/>
      <c r="H1187" s="50"/>
      <c r="I1187" s="51"/>
      <c r="J1187" s="52"/>
      <c r="K1187" s="50"/>
      <c r="L1187" s="49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  <c r="AA1187" s="24"/>
    </row>
    <row r="1188">
      <c r="A1188" s="53"/>
      <c r="B1188" s="54"/>
      <c r="C1188" s="55"/>
      <c r="D1188" s="55"/>
      <c r="E1188" s="56"/>
      <c r="F1188" s="57"/>
      <c r="G1188" s="57"/>
      <c r="H1188" s="58"/>
      <c r="I1188" s="59"/>
      <c r="J1188" s="60"/>
      <c r="K1188" s="58"/>
      <c r="L1188" s="57"/>
      <c r="M1188" s="61"/>
      <c r="N1188" s="61"/>
      <c r="O1188" s="61"/>
      <c r="P1188" s="61"/>
      <c r="Q1188" s="61"/>
      <c r="R1188" s="61"/>
      <c r="S1188" s="61"/>
      <c r="T1188" s="61"/>
      <c r="U1188" s="61"/>
      <c r="V1188" s="61"/>
      <c r="W1188" s="61"/>
      <c r="X1188" s="61"/>
      <c r="Y1188" s="61"/>
      <c r="Z1188" s="61"/>
      <c r="AA1188" s="62"/>
    </row>
  </sheetData>
  <dataValidations>
    <dataValidation type="custom" allowBlank="1" showDropDown="1" sqref="B2:B1188">
      <formula1>OR(NOT(ISERROR(DATEVALUE(B2))), AND(ISNUMBER(B2), LEFT(CELL("format", B2))="D"))</formula1>
    </dataValidation>
    <dataValidation type="custom" allowBlank="1" showDropDown="1" sqref="H2:K1188">
      <formula1>AND(ISNUMBER(H2),(NOT(OR(NOT(ISERROR(DATEVALUE(H2))), AND(ISNUMBER(H2), LEFT(CELL("format", H2))="D")))))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0.25"/>
    <col customWidth="1" min="11" max="11" width="16.13"/>
    <col customWidth="1" min="12" max="12" width="9.38"/>
    <col customWidth="1" min="14" max="14" width="25.0"/>
    <col customWidth="1" min="16" max="16" width="4.5"/>
    <col customWidth="1" min="19" max="19" width="4.5"/>
    <col customWidth="1" min="22" max="22" width="4.88"/>
    <col customWidth="1" min="25" max="25" width="6.0"/>
  </cols>
  <sheetData>
    <row r="1">
      <c r="A1" s="63" t="s">
        <v>225</v>
      </c>
      <c r="B1" s="63" t="s">
        <v>226</v>
      </c>
      <c r="C1" s="63" t="s">
        <v>227</v>
      </c>
      <c r="D1" s="63" t="s">
        <v>228</v>
      </c>
      <c r="E1" s="63" t="s">
        <v>229</v>
      </c>
      <c r="F1" s="63" t="s">
        <v>230</v>
      </c>
      <c r="G1" s="63" t="s">
        <v>231</v>
      </c>
      <c r="H1" s="64" t="s">
        <v>232</v>
      </c>
      <c r="I1" s="65" t="s">
        <v>233</v>
      </c>
      <c r="J1" s="66" t="s">
        <v>234</v>
      </c>
      <c r="K1" s="63" t="s">
        <v>235</v>
      </c>
      <c r="L1" s="63" t="s">
        <v>236</v>
      </c>
      <c r="M1" s="63" t="s">
        <v>654</v>
      </c>
    </row>
    <row r="2">
      <c r="A2" s="1" t="str">
        <f>IFERROR(__xludf.DUMMYFUNCTION("FILTER(Table1, Table1[Tanggal Order]&gt;=Dashborad1!C3, Table1[Tanggal Order]&lt;=Dashborad1!C4)"),"EF129384712365821")</f>
        <v>EF129384712365821</v>
      </c>
      <c r="B2" s="67">
        <f>IFERROR(__xludf.DUMMYFUNCTION("""COMPUTED_VALUE"""),45658.0)</f>
        <v>45658</v>
      </c>
      <c r="C2" s="1" t="str">
        <f>IFERROR(__xludf.DUMMYFUNCTION("""COMPUTED_VALUE"""),"SHJP2131570450")</f>
        <v>SHJP2131570450</v>
      </c>
      <c r="D2" s="1" t="str">
        <f>IFERROR(__xludf.DUMMYFUNCTION("""COMPUTED_VALUE"""),"J&amp;G Compress")</f>
        <v>J&amp;G Compress</v>
      </c>
      <c r="E2" s="1" t="str">
        <f>IFERROR(__xludf.DUMMYFUNCTION("""COMPUTED_VALUE"""),"Kepa Arrizabalaga")</f>
        <v>Kepa Arrizabalaga</v>
      </c>
      <c r="F2" s="1" t="str">
        <f>IFERROR(__xludf.DUMMYFUNCTION("""COMPUTED_VALUE"""),"Bandung")</f>
        <v>Bandung</v>
      </c>
      <c r="G2" s="1" t="str">
        <f>IFERROR(__xludf.DUMMYFUNCTION("""COMPUTED_VALUE"""),"Basic Hoodie - White")</f>
        <v>Basic Hoodie - White</v>
      </c>
      <c r="H2" s="68">
        <f>IFERROR(__xludf.DUMMYFUNCTION("""COMPUTED_VALUE"""),189000.0)</f>
        <v>189000</v>
      </c>
      <c r="I2" s="68">
        <f>IFERROR(__xludf.DUMMYFUNCTION("""COMPUTED_VALUE"""),1.0)</f>
        <v>1</v>
      </c>
      <c r="J2" s="68">
        <f>IFERROR(__xludf.DUMMYFUNCTION("""COMPUTED_VALUE"""),189000.0)</f>
        <v>189000</v>
      </c>
      <c r="K2" s="68">
        <f>IFERROR(__xludf.DUMMYFUNCTION("""COMPUTED_VALUE"""),189000.0)</f>
        <v>189000</v>
      </c>
      <c r="L2" s="1" t="str">
        <f>IFERROR(__xludf.DUMMYFUNCTION("""COMPUTED_VALUE"""),"Jacket")</f>
        <v>Jacket</v>
      </c>
      <c r="N2" s="2" t="s">
        <v>655</v>
      </c>
      <c r="Q2" s="2" t="s">
        <v>656</v>
      </c>
    </row>
    <row r="3">
      <c r="A3" s="1" t="str">
        <f>IFERROR(__xludf.DUMMYFUNCTION("""COMPUTED_VALUE"""),"EF130894093668403")</f>
        <v>EF130894093668403</v>
      </c>
      <c r="B3" s="67">
        <f>IFERROR(__xludf.DUMMYFUNCTION("""COMPUTED_VALUE"""),45658.0)</f>
        <v>45658</v>
      </c>
      <c r="C3" s="1" t="str">
        <f>IFERROR(__xludf.DUMMYFUNCTION("""COMPUTED_VALUE"""),"SH000817822236")</f>
        <v>SH000817822236</v>
      </c>
      <c r="D3" s="1" t="str">
        <f>IFERROR(__xludf.DUMMYFUNCTION("""COMPUTED_VALUE"""),"SiLumayanCepat")</f>
        <v>SiLumayanCepat</v>
      </c>
      <c r="E3" s="1" t="str">
        <f>IFERROR(__xludf.DUMMYFUNCTION("""COMPUTED_VALUE"""),"Naby Keïta")</f>
        <v>Naby Keïta</v>
      </c>
      <c r="F3" s="1" t="str">
        <f>IFERROR(__xludf.DUMMYFUNCTION("""COMPUTED_VALUE"""),"Jakarta")</f>
        <v>Jakarta</v>
      </c>
      <c r="G3" s="1" t="str">
        <f>IFERROR(__xludf.DUMMYFUNCTION("""COMPUTED_VALUE"""),"Casual Sneakers White")</f>
        <v>Casual Sneakers White</v>
      </c>
      <c r="H3" s="68">
        <f>IFERROR(__xludf.DUMMYFUNCTION("""COMPUTED_VALUE"""),329000.0)</f>
        <v>329000</v>
      </c>
      <c r="I3" s="68">
        <f>IFERROR(__xludf.DUMMYFUNCTION("""COMPUTED_VALUE"""),1.0)</f>
        <v>1</v>
      </c>
      <c r="J3" s="68">
        <f>IFERROR(__xludf.DUMMYFUNCTION("""COMPUTED_VALUE"""),329000.0)</f>
        <v>329000</v>
      </c>
      <c r="K3" s="68">
        <f>IFERROR(__xludf.DUMMYFUNCTION("""COMPUTED_VALUE"""),329000.0)</f>
        <v>329000</v>
      </c>
      <c r="L3" s="1" t="str">
        <f>IFERROR(__xludf.DUMMYFUNCTION("""COMPUTED_VALUE"""),"Shoes")</f>
        <v>Shoes</v>
      </c>
    </row>
    <row r="4">
      <c r="A4" s="1" t="str">
        <f>IFERROR(__xludf.DUMMYFUNCTION("""COMPUTED_VALUE"""),"EF132421083171172")</f>
        <v>EF132421083171172</v>
      </c>
      <c r="B4" s="67">
        <f>IFERROR(__xludf.DUMMYFUNCTION("""COMPUTED_VALUE"""),45658.0)</f>
        <v>45658</v>
      </c>
      <c r="C4" s="1" t="str">
        <f>IFERROR(__xludf.DUMMYFUNCTION("""COMPUTED_VALUE"""),"SHJP3294768267")</f>
        <v>SHJP3294768267</v>
      </c>
      <c r="D4" s="1" t="str">
        <f>IFERROR(__xludf.DUMMYFUNCTION("""COMPUTED_VALUE"""),"J&amp;G Compress")</f>
        <v>J&amp;G Compress</v>
      </c>
      <c r="E4" s="1" t="str">
        <f>IFERROR(__xludf.DUMMYFUNCTION("""COMPUTED_VALUE"""),"Donny van de Beek")</f>
        <v>Donny van de Beek</v>
      </c>
      <c r="F4" s="1" t="str">
        <f>IFERROR(__xludf.DUMMYFUNCTION("""COMPUTED_VALUE"""),"Makassar")</f>
        <v>Makassar</v>
      </c>
      <c r="G4" s="1" t="str">
        <f>IFERROR(__xludf.DUMMYFUNCTION("""COMPUTED_VALUE"""),"Colarless Shirt Long Sleeve Black")</f>
        <v>Colarless Shirt Long Sleeve Black</v>
      </c>
      <c r="H4" s="68">
        <f>IFERROR(__xludf.DUMMYFUNCTION("""COMPUTED_VALUE"""),199000.0)</f>
        <v>199000</v>
      </c>
      <c r="I4" s="68">
        <f>IFERROR(__xludf.DUMMYFUNCTION("""COMPUTED_VALUE"""),1.0)</f>
        <v>1</v>
      </c>
      <c r="J4" s="68">
        <f>IFERROR(__xludf.DUMMYFUNCTION("""COMPUTED_VALUE"""),199000.0)</f>
        <v>199000</v>
      </c>
      <c r="K4" s="68">
        <f>IFERROR(__xludf.DUMMYFUNCTION("""COMPUTED_VALUE"""),199000.0)</f>
        <v>199000</v>
      </c>
      <c r="L4" s="1" t="str">
        <f>IFERROR(__xludf.DUMMYFUNCTION("""COMPUTED_VALUE"""),"Shirt")</f>
        <v>Shirt</v>
      </c>
    </row>
    <row r="5">
      <c r="A5" s="1" t="str">
        <f>IFERROR(__xludf.DUMMYFUNCTION("""COMPUTED_VALUE"""),"EF134784108858761")</f>
        <v>EF134784108858761</v>
      </c>
      <c r="B5" s="67">
        <f>IFERROR(__xludf.DUMMYFUNCTION("""COMPUTED_VALUE"""),45658.0)</f>
        <v>45658</v>
      </c>
      <c r="C5" s="1" t="str">
        <f>IFERROR(__xludf.DUMMYFUNCTION("""COMPUTED_VALUE"""),"SH000819410968")</f>
        <v>SH000819410968</v>
      </c>
      <c r="D5" s="1" t="str">
        <f>IFERROR(__xludf.DUMMYFUNCTION("""COMPUTED_VALUE"""),"SiLumayanCepat")</f>
        <v>SiLumayanCepat</v>
      </c>
      <c r="E5" s="1" t="str">
        <f>IFERROR(__xludf.DUMMYFUNCTION("""COMPUTED_VALUE"""),"Ronald Araújo")</f>
        <v>Ronald Araújo</v>
      </c>
      <c r="F5" s="1" t="str">
        <f>IFERROR(__xludf.DUMMYFUNCTION("""COMPUTED_VALUE"""),"Surabaya")</f>
        <v>Surabaya</v>
      </c>
      <c r="G5" s="1" t="str">
        <f>IFERROR(__xludf.DUMMYFUNCTION("""COMPUTED_VALUE"""),"Running Pants - Black")</f>
        <v>Running Pants - Black</v>
      </c>
      <c r="H5" s="68">
        <f>IFERROR(__xludf.DUMMYFUNCTION("""COMPUTED_VALUE"""),149000.0)</f>
        <v>149000</v>
      </c>
      <c r="I5" s="68">
        <f>IFERROR(__xludf.DUMMYFUNCTION("""COMPUTED_VALUE"""),1.0)</f>
        <v>1</v>
      </c>
      <c r="J5" s="68">
        <f>IFERROR(__xludf.DUMMYFUNCTION("""COMPUTED_VALUE"""),149000.0)</f>
        <v>149000</v>
      </c>
      <c r="K5" s="68">
        <f>IFERROR(__xludf.DUMMYFUNCTION("""COMPUTED_VALUE"""),149000.0)</f>
        <v>149000</v>
      </c>
      <c r="L5" s="1" t="str">
        <f>IFERROR(__xludf.DUMMYFUNCTION("""COMPUTED_VALUE"""),"Sportswear")</f>
        <v>Sportswear</v>
      </c>
    </row>
    <row r="6">
      <c r="A6" s="1" t="str">
        <f>IFERROR(__xludf.DUMMYFUNCTION("""COMPUTED_VALUE"""),"EF129422233932407")</f>
        <v>EF129422233932407</v>
      </c>
      <c r="B6" s="67">
        <f>IFERROR(__xludf.DUMMYFUNCTION("""COMPUTED_VALUE"""),45659.0)</f>
        <v>45659</v>
      </c>
      <c r="C6" s="1" t="str">
        <f>IFERROR(__xludf.DUMMYFUNCTION("""COMPUTED_VALUE"""),"SH000816904326")</f>
        <v>SH000816904326</v>
      </c>
      <c r="D6" s="1" t="str">
        <f>IFERROR(__xludf.DUMMYFUNCTION("""COMPUTED_VALUE"""),"SiLumayanCepat")</f>
        <v>SiLumayanCepat</v>
      </c>
      <c r="E6" s="1" t="str">
        <f>IFERROR(__xludf.DUMMYFUNCTION("""COMPUTED_VALUE"""),"Antonio Rüdiger")</f>
        <v>Antonio Rüdiger</v>
      </c>
      <c r="F6" s="1" t="str">
        <f>IFERROR(__xludf.DUMMYFUNCTION("""COMPUTED_VALUE"""),"Jakarta")</f>
        <v>Jakarta</v>
      </c>
      <c r="G6" s="1" t="str">
        <f>IFERROR(__xludf.DUMMYFUNCTION("""COMPUTED_VALUE"""),"Basic Shirt - Black")</f>
        <v>Basic Shirt - Black</v>
      </c>
      <c r="H6" s="68">
        <f>IFERROR(__xludf.DUMMYFUNCTION("""COMPUTED_VALUE"""),129000.0)</f>
        <v>129000</v>
      </c>
      <c r="I6" s="68">
        <f>IFERROR(__xludf.DUMMYFUNCTION("""COMPUTED_VALUE"""),3.0)</f>
        <v>3</v>
      </c>
      <c r="J6" s="68">
        <f>IFERROR(__xludf.DUMMYFUNCTION("""COMPUTED_VALUE"""),387000.0)</f>
        <v>387000</v>
      </c>
      <c r="K6" s="68">
        <f>IFERROR(__xludf.DUMMYFUNCTION("""COMPUTED_VALUE"""),387000.0)</f>
        <v>387000</v>
      </c>
      <c r="L6" s="1" t="str">
        <f>IFERROR(__xludf.DUMMYFUNCTION("""COMPUTED_VALUE"""),"Shirt")</f>
        <v>Shirt</v>
      </c>
    </row>
    <row r="7">
      <c r="A7" s="1" t="str">
        <f>IFERROR(__xludf.DUMMYFUNCTION("""COMPUTED_VALUE"""),"EF130932052955567")</f>
        <v>EF130932052955567</v>
      </c>
      <c r="B7" s="67">
        <f>IFERROR(__xludf.DUMMYFUNCTION("""COMPUTED_VALUE"""),45659.0)</f>
        <v>45659</v>
      </c>
      <c r="C7" s="1" t="str">
        <f>IFERROR(__xludf.DUMMYFUNCTION("""COMPUTED_VALUE"""),"SH000817956395")</f>
        <v>SH000817956395</v>
      </c>
      <c r="D7" s="1" t="str">
        <f>IFERROR(__xludf.DUMMYFUNCTION("""COMPUTED_VALUE"""),"JemputAja")</f>
        <v>JemputAja</v>
      </c>
      <c r="E7" s="1" t="str">
        <f>IFERROR(__xludf.DUMMYFUNCTION("""COMPUTED_VALUE"""),"Jordan Henderson")</f>
        <v>Jordan Henderson</v>
      </c>
      <c r="F7" s="1" t="str">
        <f>IFERROR(__xludf.DUMMYFUNCTION("""COMPUTED_VALUE"""),"Jakarta")</f>
        <v>Jakarta</v>
      </c>
      <c r="G7" s="1" t="str">
        <f>IFERROR(__xludf.DUMMYFUNCTION("""COMPUTED_VALUE"""),"Basic T-Shirt Black")</f>
        <v>Basic T-Shirt Black</v>
      </c>
      <c r="H7" s="68">
        <f>IFERROR(__xludf.DUMMYFUNCTION("""COMPUTED_VALUE"""),89000.0)</f>
        <v>89000</v>
      </c>
      <c r="I7" s="68">
        <f>IFERROR(__xludf.DUMMYFUNCTION("""COMPUTED_VALUE"""),1.0)</f>
        <v>1</v>
      </c>
      <c r="J7" s="68">
        <f>IFERROR(__xludf.DUMMYFUNCTION("""COMPUTED_VALUE"""),89000.0)</f>
        <v>89000</v>
      </c>
      <c r="K7" s="68">
        <f>IFERROR(__xludf.DUMMYFUNCTION("""COMPUTED_VALUE"""),178000.0)</f>
        <v>178000</v>
      </c>
      <c r="L7" s="1" t="str">
        <f>IFERROR(__xludf.DUMMYFUNCTION("""COMPUTED_VALUE"""),"T-Shirt")</f>
        <v>T-Shirt</v>
      </c>
    </row>
    <row r="8">
      <c r="A8" s="1" t="str">
        <f>IFERROR(__xludf.DUMMYFUNCTION("""COMPUTED_VALUE"""),"EF130932052955567")</f>
        <v>EF130932052955567</v>
      </c>
      <c r="B8" s="67">
        <f>IFERROR(__xludf.DUMMYFUNCTION("""COMPUTED_VALUE"""),45659.0)</f>
        <v>45659</v>
      </c>
      <c r="C8" s="1" t="str">
        <f>IFERROR(__xludf.DUMMYFUNCTION("""COMPUTED_VALUE"""),"SH000817956395")</f>
        <v>SH000817956395</v>
      </c>
      <c r="D8" s="1" t="str">
        <f>IFERROR(__xludf.DUMMYFUNCTION("""COMPUTED_VALUE"""),"JemputAja")</f>
        <v>JemputAja</v>
      </c>
      <c r="E8" s="1" t="str">
        <f>IFERROR(__xludf.DUMMYFUNCTION("""COMPUTED_VALUE"""),"Jordan Henderson")</f>
        <v>Jordan Henderson</v>
      </c>
      <c r="F8" s="1" t="str">
        <f>IFERROR(__xludf.DUMMYFUNCTION("""COMPUTED_VALUE"""),"Jakarta")</f>
        <v>Jakarta</v>
      </c>
      <c r="G8" s="1" t="str">
        <f>IFERROR(__xludf.DUMMYFUNCTION("""COMPUTED_VALUE"""),"Basic T-Shirt White")</f>
        <v>Basic T-Shirt White</v>
      </c>
      <c r="H8" s="68">
        <f>IFERROR(__xludf.DUMMYFUNCTION("""COMPUTED_VALUE"""),89000.0)</f>
        <v>89000</v>
      </c>
      <c r="I8" s="68">
        <f>IFERROR(__xludf.DUMMYFUNCTION("""COMPUTED_VALUE"""),1.0)</f>
        <v>1</v>
      </c>
      <c r="J8" s="68">
        <f>IFERROR(__xludf.DUMMYFUNCTION("""COMPUTED_VALUE"""),89000.0)</f>
        <v>89000</v>
      </c>
      <c r="K8" s="68">
        <f>IFERROR(__xludf.DUMMYFUNCTION("""COMPUTED_VALUE"""),178000.0)</f>
        <v>178000</v>
      </c>
      <c r="L8" s="1" t="str">
        <f>IFERROR(__xludf.DUMMYFUNCTION("""COMPUTED_VALUE"""),"T-Shirt")</f>
        <v>T-Shirt</v>
      </c>
    </row>
    <row r="9">
      <c r="A9" s="1" t="str">
        <f>IFERROR(__xludf.DUMMYFUNCTION("""COMPUTED_VALUE"""),"EF132459485285292")</f>
        <v>EF132459485285292</v>
      </c>
      <c r="B9" s="67">
        <f>IFERROR(__xludf.DUMMYFUNCTION("""COMPUTED_VALUE"""),45659.0)</f>
        <v>45659</v>
      </c>
      <c r="C9" s="1" t="str">
        <f>IFERROR(__xludf.DUMMYFUNCTION("""COMPUTED_VALUE"""),"SH000817788985")</f>
        <v>SH000817788985</v>
      </c>
      <c r="D9" s="1" t="str">
        <f>IFERROR(__xludf.DUMMYFUNCTION("""COMPUTED_VALUE"""),"SiLumayanCepat")</f>
        <v>SiLumayanCepat</v>
      </c>
      <c r="E9" s="1" t="str">
        <f>IFERROR(__xludf.DUMMYFUNCTION("""COMPUTED_VALUE"""),"James Garner")</f>
        <v>James Garner</v>
      </c>
      <c r="F9" s="1" t="str">
        <f>IFERROR(__xludf.DUMMYFUNCTION("""COMPUTED_VALUE"""),"Malang")</f>
        <v>Malang</v>
      </c>
      <c r="G9" s="1" t="str">
        <f>IFERROR(__xludf.DUMMYFUNCTION("""COMPUTED_VALUE"""),"Colarless Shirt Long Sleeve Maroon")</f>
        <v>Colarless Shirt Long Sleeve Maroon</v>
      </c>
      <c r="H9" s="68">
        <f>IFERROR(__xludf.DUMMYFUNCTION("""COMPUTED_VALUE"""),199000.0)</f>
        <v>199000</v>
      </c>
      <c r="I9" s="68">
        <f>IFERROR(__xludf.DUMMYFUNCTION("""COMPUTED_VALUE"""),1.0)</f>
        <v>1</v>
      </c>
      <c r="J9" s="68">
        <f>IFERROR(__xludf.DUMMYFUNCTION("""COMPUTED_VALUE"""),199000.0)</f>
        <v>199000</v>
      </c>
      <c r="K9" s="68">
        <f>IFERROR(__xludf.DUMMYFUNCTION("""COMPUTED_VALUE"""),597000.0)</f>
        <v>597000</v>
      </c>
      <c r="L9" s="1" t="str">
        <f>IFERROR(__xludf.DUMMYFUNCTION("""COMPUTED_VALUE"""),"Shirt")</f>
        <v>Shirt</v>
      </c>
    </row>
    <row r="10">
      <c r="A10" s="1" t="str">
        <f>IFERROR(__xludf.DUMMYFUNCTION("""COMPUTED_VALUE"""),"EF132459485285292")</f>
        <v>EF132459485285292</v>
      </c>
      <c r="B10" s="67">
        <f>IFERROR(__xludf.DUMMYFUNCTION("""COMPUTED_VALUE"""),45659.0)</f>
        <v>45659</v>
      </c>
      <c r="C10" s="1" t="str">
        <f>IFERROR(__xludf.DUMMYFUNCTION("""COMPUTED_VALUE"""),"SH000817788985")</f>
        <v>SH000817788985</v>
      </c>
      <c r="D10" s="1" t="str">
        <f>IFERROR(__xludf.DUMMYFUNCTION("""COMPUTED_VALUE"""),"SiLumayanCepat")</f>
        <v>SiLumayanCepat</v>
      </c>
      <c r="E10" s="1" t="str">
        <f>IFERROR(__xludf.DUMMYFUNCTION("""COMPUTED_VALUE"""),"James Garner")</f>
        <v>James Garner</v>
      </c>
      <c r="F10" s="1" t="str">
        <f>IFERROR(__xludf.DUMMYFUNCTION("""COMPUTED_VALUE"""),"Malang")</f>
        <v>Malang</v>
      </c>
      <c r="G10" s="1" t="str">
        <f>IFERROR(__xludf.DUMMYFUNCTION("""COMPUTED_VALUE"""),"Colarless Shirt Long Sleeve Navy")</f>
        <v>Colarless Shirt Long Sleeve Navy</v>
      </c>
      <c r="H10" s="68">
        <f>IFERROR(__xludf.DUMMYFUNCTION("""COMPUTED_VALUE"""),199000.0)</f>
        <v>199000</v>
      </c>
      <c r="I10" s="68">
        <f>IFERROR(__xludf.DUMMYFUNCTION("""COMPUTED_VALUE"""),2.0)</f>
        <v>2</v>
      </c>
      <c r="J10" s="68">
        <f>IFERROR(__xludf.DUMMYFUNCTION("""COMPUTED_VALUE"""),398000.0)</f>
        <v>398000</v>
      </c>
      <c r="K10" s="68">
        <f>IFERROR(__xludf.DUMMYFUNCTION("""COMPUTED_VALUE"""),597000.0)</f>
        <v>597000</v>
      </c>
      <c r="L10" s="1" t="str">
        <f>IFERROR(__xludf.DUMMYFUNCTION("""COMPUTED_VALUE"""),"Shirt")</f>
        <v>Shirt</v>
      </c>
    </row>
    <row r="11">
      <c r="A11" s="1" t="str">
        <f>IFERROR(__xludf.DUMMYFUNCTION("""COMPUTED_VALUE"""),"EF134823196250330")</f>
        <v>EF134823196250330</v>
      </c>
      <c r="B11" s="67">
        <f>IFERROR(__xludf.DUMMYFUNCTION("""COMPUTED_VALUE"""),45659.0)</f>
        <v>45659</v>
      </c>
      <c r="C11" s="1" t="str">
        <f>IFERROR(__xludf.DUMMYFUNCTION("""COMPUTED_VALUE"""),"SH000819408599")</f>
        <v>SH000819408599</v>
      </c>
      <c r="D11" s="1" t="str">
        <f>IFERROR(__xludf.DUMMYFUNCTION("""COMPUTED_VALUE"""),"SiLumayanCepat")</f>
        <v>SiLumayanCepat</v>
      </c>
      <c r="E11" s="1" t="str">
        <f>IFERROR(__xludf.DUMMYFUNCTION("""COMPUTED_VALUE"""),"Juan Miranda")</f>
        <v>Juan Miranda</v>
      </c>
      <c r="F11" s="1" t="str">
        <f>IFERROR(__xludf.DUMMYFUNCTION("""COMPUTED_VALUE"""),"Tangerang")</f>
        <v>Tangerang</v>
      </c>
      <c r="G11" s="1" t="str">
        <f>IFERROR(__xludf.DUMMYFUNCTION("""COMPUTED_VALUE"""),"Running Pants - Grey")</f>
        <v>Running Pants - Grey</v>
      </c>
      <c r="H11" s="68">
        <f>IFERROR(__xludf.DUMMYFUNCTION("""COMPUTED_VALUE"""),149000.0)</f>
        <v>149000</v>
      </c>
      <c r="I11" s="68">
        <f>IFERROR(__xludf.DUMMYFUNCTION("""COMPUTED_VALUE"""),1.0)</f>
        <v>1</v>
      </c>
      <c r="J11" s="68">
        <f>IFERROR(__xludf.DUMMYFUNCTION("""COMPUTED_VALUE"""),149000.0)</f>
        <v>149000</v>
      </c>
      <c r="K11" s="68">
        <f>IFERROR(__xludf.DUMMYFUNCTION("""COMPUTED_VALUE"""),149000.0)</f>
        <v>149000</v>
      </c>
      <c r="L11" s="1" t="str">
        <f>IFERROR(__xludf.DUMMYFUNCTION("""COMPUTED_VALUE"""),"Sportswear")</f>
        <v>Sportswear</v>
      </c>
    </row>
    <row r="12">
      <c r="A12" s="1" t="str">
        <f>IFERROR(__xludf.DUMMYFUNCTION("""COMPUTED_VALUE"""),"EF129459766380247")</f>
        <v>EF129459766380247</v>
      </c>
      <c r="B12" s="67">
        <f>IFERROR(__xludf.DUMMYFUNCTION("""COMPUTED_VALUE"""),45660.0)</f>
        <v>45660</v>
      </c>
      <c r="C12" s="1" t="str">
        <f>IFERROR(__xludf.DUMMYFUNCTION("""COMPUTED_VALUE"""),"SHJP2339889289")</f>
        <v>SHJP2339889289</v>
      </c>
      <c r="D12" s="1" t="str">
        <f>IFERROR(__xludf.DUMMYFUNCTION("""COMPUTED_VALUE"""),"J&amp;G Compress")</f>
        <v>J&amp;G Compress</v>
      </c>
      <c r="E12" s="1" t="str">
        <f>IFERROR(__xludf.DUMMYFUNCTION("""COMPUTED_VALUE"""),"Marcos Alonso")</f>
        <v>Marcos Alonso</v>
      </c>
      <c r="F12" s="1" t="str">
        <f>IFERROR(__xludf.DUMMYFUNCTION("""COMPUTED_VALUE"""),"Makassar")</f>
        <v>Makassar</v>
      </c>
      <c r="G12" s="1" t="str">
        <f>IFERROR(__xludf.DUMMYFUNCTION("""COMPUTED_VALUE"""),"Basic Shirt - Grey")</f>
        <v>Basic Shirt - Grey</v>
      </c>
      <c r="H12" s="68">
        <f>IFERROR(__xludf.DUMMYFUNCTION("""COMPUTED_VALUE"""),129000.0)</f>
        <v>129000</v>
      </c>
      <c r="I12" s="68">
        <f>IFERROR(__xludf.DUMMYFUNCTION("""COMPUTED_VALUE"""),1.0)</f>
        <v>1</v>
      </c>
      <c r="J12" s="68">
        <f>IFERROR(__xludf.DUMMYFUNCTION("""COMPUTED_VALUE"""),129000.0)</f>
        <v>129000</v>
      </c>
      <c r="K12" s="68">
        <f>IFERROR(__xludf.DUMMYFUNCTION("""COMPUTED_VALUE"""),129000.0)</f>
        <v>129000</v>
      </c>
      <c r="L12" s="1" t="str">
        <f>IFERROR(__xludf.DUMMYFUNCTION("""COMPUTED_VALUE"""),"Shirt")</f>
        <v>Shirt</v>
      </c>
    </row>
    <row r="13">
      <c r="A13" s="1" t="str">
        <f>IFERROR(__xludf.DUMMYFUNCTION("""COMPUTED_VALUE"""),"EF134862294977243")</f>
        <v>EF134862294977243</v>
      </c>
      <c r="B13" s="67">
        <f>IFERROR(__xludf.DUMMYFUNCTION("""COMPUTED_VALUE"""),45660.0)</f>
        <v>45660</v>
      </c>
      <c r="C13" s="1" t="str">
        <f>IFERROR(__xludf.DUMMYFUNCTION("""COMPUTED_VALUE"""),"SHJP4830772414")</f>
        <v>SHJP4830772414</v>
      </c>
      <c r="D13" s="1" t="str">
        <f>IFERROR(__xludf.DUMMYFUNCTION("""COMPUTED_VALUE"""),"J&amp;G Compress")</f>
        <v>J&amp;G Compress</v>
      </c>
      <c r="E13" s="1" t="str">
        <f>IFERROR(__xludf.DUMMYFUNCTION("""COMPUTED_VALUE"""),"Song Kang")</f>
        <v>Song Kang</v>
      </c>
      <c r="F13" s="1" t="str">
        <f>IFERROR(__xludf.DUMMYFUNCTION("""COMPUTED_VALUE"""),"Cilacap")</f>
        <v>Cilacap</v>
      </c>
      <c r="G13" s="1" t="str">
        <f>IFERROR(__xludf.DUMMYFUNCTION("""COMPUTED_VALUE"""),"Running Pants - Navy")</f>
        <v>Running Pants - Navy</v>
      </c>
      <c r="H13" s="68">
        <f>IFERROR(__xludf.DUMMYFUNCTION("""COMPUTED_VALUE"""),149000.0)</f>
        <v>149000</v>
      </c>
      <c r="I13" s="68">
        <f>IFERROR(__xludf.DUMMYFUNCTION("""COMPUTED_VALUE"""),2.0)</f>
        <v>2</v>
      </c>
      <c r="J13" s="68">
        <f>IFERROR(__xludf.DUMMYFUNCTION("""COMPUTED_VALUE"""),298000.0)</f>
        <v>298000</v>
      </c>
      <c r="K13" s="68">
        <f>IFERROR(__xludf.DUMMYFUNCTION("""COMPUTED_VALUE"""),876000.0)</f>
        <v>876000</v>
      </c>
      <c r="L13" s="1" t="str">
        <f>IFERROR(__xludf.DUMMYFUNCTION("""COMPUTED_VALUE"""),"Sportswear")</f>
        <v>Sportswear</v>
      </c>
    </row>
    <row r="14">
      <c r="A14" s="1" t="str">
        <f>IFERROR(__xludf.DUMMYFUNCTION("""COMPUTED_VALUE"""),"EF134862294977243")</f>
        <v>EF134862294977243</v>
      </c>
      <c r="B14" s="67">
        <f>IFERROR(__xludf.DUMMYFUNCTION("""COMPUTED_VALUE"""),45660.0)</f>
        <v>45660</v>
      </c>
      <c r="C14" s="1" t="str">
        <f>IFERROR(__xludf.DUMMYFUNCTION("""COMPUTED_VALUE"""),"SHJP4830772414")</f>
        <v>SHJP4830772414</v>
      </c>
      <c r="D14" s="1" t="str">
        <f>IFERROR(__xludf.DUMMYFUNCTION("""COMPUTED_VALUE"""),"SiLumayanCepat")</f>
        <v>SiLumayanCepat</v>
      </c>
      <c r="E14" s="1" t="str">
        <f>IFERROR(__xludf.DUMMYFUNCTION("""COMPUTED_VALUE"""),"Song Kang")</f>
        <v>Song Kang</v>
      </c>
      <c r="F14" s="1" t="str">
        <f>IFERROR(__xludf.DUMMYFUNCTION("""COMPUTED_VALUE"""),"Cilacap")</f>
        <v>Cilacap</v>
      </c>
      <c r="G14" s="1" t="str">
        <f>IFERROR(__xludf.DUMMYFUNCTION("""COMPUTED_VALUE"""),"Running Sneakers - Black")</f>
        <v>Running Sneakers - Black</v>
      </c>
      <c r="H14" s="68">
        <f>IFERROR(__xludf.DUMMYFUNCTION("""COMPUTED_VALUE"""),349000.0)</f>
        <v>349000</v>
      </c>
      <c r="I14" s="68">
        <f>IFERROR(__xludf.DUMMYFUNCTION("""COMPUTED_VALUE"""),1.0)</f>
        <v>1</v>
      </c>
      <c r="J14" s="68">
        <f>IFERROR(__xludf.DUMMYFUNCTION("""COMPUTED_VALUE"""),349000.0)</f>
        <v>349000</v>
      </c>
      <c r="K14" s="68">
        <f>IFERROR(__xludf.DUMMYFUNCTION("""COMPUTED_VALUE"""),876000.0)</f>
        <v>876000</v>
      </c>
      <c r="L14" s="1" t="str">
        <f>IFERROR(__xludf.DUMMYFUNCTION("""COMPUTED_VALUE"""),"Sportswear")</f>
        <v>Sportswear</v>
      </c>
    </row>
    <row r="15">
      <c r="A15" s="1" t="str">
        <f>IFERROR(__xludf.DUMMYFUNCTION("""COMPUTED_VALUE"""),"EF134862294977243")</f>
        <v>EF134862294977243</v>
      </c>
      <c r="B15" s="67">
        <f>IFERROR(__xludf.DUMMYFUNCTION("""COMPUTED_VALUE"""),45660.0)</f>
        <v>45660</v>
      </c>
      <c r="C15" s="1" t="str">
        <f>IFERROR(__xludf.DUMMYFUNCTION("""COMPUTED_VALUE"""),"SHJP4830772414")</f>
        <v>SHJP4830772414</v>
      </c>
      <c r="D15" s="1" t="str">
        <f>IFERROR(__xludf.DUMMYFUNCTION("""COMPUTED_VALUE"""),"SiLumayanCepat")</f>
        <v>SiLumayanCepat</v>
      </c>
      <c r="E15" s="1" t="str">
        <f>IFERROR(__xludf.DUMMYFUNCTION("""COMPUTED_VALUE"""),"Song Kang")</f>
        <v>Song Kang</v>
      </c>
      <c r="F15" s="1" t="str">
        <f>IFERROR(__xludf.DUMMYFUNCTION("""COMPUTED_VALUE"""),"Cilacap")</f>
        <v>Cilacap</v>
      </c>
      <c r="G15" s="1" t="str">
        <f>IFERROR(__xludf.DUMMYFUNCTION("""COMPUTED_VALUE"""),"Linen Shirt - Slimfit - Grey")</f>
        <v>Linen Shirt - Slimfit - Grey</v>
      </c>
      <c r="H15" s="68">
        <f>IFERROR(__xludf.DUMMYFUNCTION("""COMPUTED_VALUE"""),229000.0)</f>
        <v>229000</v>
      </c>
      <c r="I15" s="68">
        <f>IFERROR(__xludf.DUMMYFUNCTION("""COMPUTED_VALUE"""),1.0)</f>
        <v>1</v>
      </c>
      <c r="J15" s="68">
        <f>IFERROR(__xludf.DUMMYFUNCTION("""COMPUTED_VALUE"""),229000.0)</f>
        <v>229000</v>
      </c>
      <c r="K15" s="68">
        <f>IFERROR(__xludf.DUMMYFUNCTION("""COMPUTED_VALUE"""),876000.0)</f>
        <v>876000</v>
      </c>
      <c r="L15" s="1" t="str">
        <f>IFERROR(__xludf.DUMMYFUNCTION("""COMPUTED_VALUE"""),"Shirt")</f>
        <v>Shirt</v>
      </c>
    </row>
    <row r="16">
      <c r="A16" s="1" t="str">
        <f>IFERROR(__xludf.DUMMYFUNCTION("""COMPUTED_VALUE"""),"EF129497309712498")</f>
        <v>EF129497309712498</v>
      </c>
      <c r="B16" s="67">
        <f>IFERROR(__xludf.DUMMYFUNCTION("""COMPUTED_VALUE"""),45661.0)</f>
        <v>45661</v>
      </c>
      <c r="C16" s="1" t="str">
        <f>IFERROR(__xludf.DUMMYFUNCTION("""COMPUTED_VALUE"""),"SHJP2984031462")</f>
        <v>SHJP2984031462</v>
      </c>
      <c r="D16" s="1" t="str">
        <f>IFERROR(__xludf.DUMMYFUNCTION("""COMPUTED_VALUE"""),"J&amp;G Compress")</f>
        <v>J&amp;G Compress</v>
      </c>
      <c r="E16" s="1" t="str">
        <f>IFERROR(__xludf.DUMMYFUNCTION("""COMPUTED_VALUE"""),"Andreas Christensen")</f>
        <v>Andreas Christensen</v>
      </c>
      <c r="F16" s="1" t="str">
        <f>IFERROR(__xludf.DUMMYFUNCTION("""COMPUTED_VALUE"""),"Palembang")</f>
        <v>Palembang</v>
      </c>
      <c r="G16" s="1" t="str">
        <f>IFERROR(__xludf.DUMMYFUNCTION("""COMPUTED_VALUE"""),"Basic Shirt - Navy")</f>
        <v>Basic Shirt - Navy</v>
      </c>
      <c r="H16" s="68">
        <f>IFERROR(__xludf.DUMMYFUNCTION("""COMPUTED_VALUE"""),129000.0)</f>
        <v>129000</v>
      </c>
      <c r="I16" s="68">
        <f>IFERROR(__xludf.DUMMYFUNCTION("""COMPUTED_VALUE"""),1.0)</f>
        <v>1</v>
      </c>
      <c r="J16" s="68">
        <f>IFERROR(__xludf.DUMMYFUNCTION("""COMPUTED_VALUE"""),129000.0)</f>
        <v>129000</v>
      </c>
      <c r="K16" s="68">
        <f>IFERROR(__xludf.DUMMYFUNCTION("""COMPUTED_VALUE"""),129000.0)</f>
        <v>129000</v>
      </c>
      <c r="L16" s="1" t="str">
        <f>IFERROR(__xludf.DUMMYFUNCTION("""COMPUTED_VALUE"""),"Shirt")</f>
        <v>Shirt</v>
      </c>
    </row>
    <row r="17">
      <c r="A17" s="1" t="str">
        <f>IFERROR(__xludf.DUMMYFUNCTION("""COMPUTED_VALUE"""),"EF131008004557666")</f>
        <v>EF131008004557666</v>
      </c>
      <c r="B17" s="67">
        <f>IFERROR(__xludf.DUMMYFUNCTION("""COMPUTED_VALUE"""),45661.0)</f>
        <v>45661</v>
      </c>
      <c r="C17" s="1" t="str">
        <f>IFERROR(__xludf.DUMMYFUNCTION("""COMPUTED_VALUE"""),"SH000817823219")</f>
        <v>SH000817823219</v>
      </c>
      <c r="D17" s="1" t="str">
        <f>IFERROR(__xludf.DUMMYFUNCTION("""COMPUTED_VALUE"""),"SiLumayanCepat")</f>
        <v>SiLumayanCepat</v>
      </c>
      <c r="E17" s="1" t="str">
        <f>IFERROR(__xludf.DUMMYFUNCTION("""COMPUTED_VALUE"""),"Curtis Jones")</f>
        <v>Curtis Jones</v>
      </c>
      <c r="F17" s="1" t="str">
        <f>IFERROR(__xludf.DUMMYFUNCTION("""COMPUTED_VALUE"""),"Bandung")</f>
        <v>Bandung</v>
      </c>
      <c r="G17" s="1" t="str">
        <f>IFERROR(__xludf.DUMMYFUNCTION("""COMPUTED_VALUE"""),"Basic T-Shirt Navy")</f>
        <v>Basic T-Shirt Navy</v>
      </c>
      <c r="H17" s="68">
        <f>IFERROR(__xludf.DUMMYFUNCTION("""COMPUTED_VALUE"""),89000.0)</f>
        <v>89000</v>
      </c>
      <c r="I17" s="68">
        <f>IFERROR(__xludf.DUMMYFUNCTION("""COMPUTED_VALUE"""),1.0)</f>
        <v>1</v>
      </c>
      <c r="J17" s="68">
        <f>IFERROR(__xludf.DUMMYFUNCTION("""COMPUTED_VALUE"""),89000.0)</f>
        <v>89000</v>
      </c>
      <c r="K17" s="68">
        <f>IFERROR(__xludf.DUMMYFUNCTION("""COMPUTED_VALUE"""),89000.0)</f>
        <v>89000</v>
      </c>
      <c r="L17" s="1" t="str">
        <f>IFERROR(__xludf.DUMMYFUNCTION("""COMPUTED_VALUE"""),"T-Shirt")</f>
        <v>T-Shirt</v>
      </c>
    </row>
    <row r="18">
      <c r="A18" s="1" t="str">
        <f>IFERROR(__xludf.DUMMYFUNCTION("""COMPUTED_VALUE"""),"EF132536322926600")</f>
        <v>EF132536322926600</v>
      </c>
      <c r="B18" s="67">
        <f>IFERROR(__xludf.DUMMYFUNCTION("""COMPUTED_VALUE"""),45661.0)</f>
        <v>45661</v>
      </c>
      <c r="C18" s="1" t="str">
        <f>IFERROR(__xludf.DUMMYFUNCTION("""COMPUTED_VALUE"""),"SH000817972575")</f>
        <v>SH000817972575</v>
      </c>
      <c r="D18" s="1" t="str">
        <f>IFERROR(__xludf.DUMMYFUNCTION("""COMPUTED_VALUE"""),"SiLumayanCepat")</f>
        <v>SiLumayanCepat</v>
      </c>
      <c r="E18" s="1" t="str">
        <f>IFERROR(__xludf.DUMMYFUNCTION("""COMPUTED_VALUE"""),"Scott McTominay")</f>
        <v>Scott McTominay</v>
      </c>
      <c r="F18" s="1" t="str">
        <f>IFERROR(__xludf.DUMMYFUNCTION("""COMPUTED_VALUE"""),"Medan")</f>
        <v>Medan</v>
      </c>
      <c r="G18" s="1" t="str">
        <f>IFERROR(__xludf.DUMMYFUNCTION("""COMPUTED_VALUE"""),"Colarless Shirt Long Sleeve White")</f>
        <v>Colarless Shirt Long Sleeve White</v>
      </c>
      <c r="H18" s="68">
        <f>IFERROR(__xludf.DUMMYFUNCTION("""COMPUTED_VALUE"""),199000.0)</f>
        <v>199000</v>
      </c>
      <c r="I18" s="68">
        <f>IFERROR(__xludf.DUMMYFUNCTION("""COMPUTED_VALUE"""),1.0)</f>
        <v>1</v>
      </c>
      <c r="J18" s="68">
        <f>IFERROR(__xludf.DUMMYFUNCTION("""COMPUTED_VALUE"""),199000.0)</f>
        <v>199000</v>
      </c>
      <c r="K18" s="68">
        <f>IFERROR(__xludf.DUMMYFUNCTION("""COMPUTED_VALUE"""),199000.0)</f>
        <v>199000</v>
      </c>
      <c r="L18" s="1" t="str">
        <f>IFERROR(__xludf.DUMMYFUNCTION("""COMPUTED_VALUE"""),"Shirt")</f>
        <v>Shirt</v>
      </c>
    </row>
    <row r="19">
      <c r="A19" s="1" t="str">
        <f>IFERROR(__xludf.DUMMYFUNCTION("""COMPUTED_VALUE"""),"EF129534863932314")</f>
        <v>EF129534863932314</v>
      </c>
      <c r="B19" s="67">
        <f>IFERROR(__xludf.DUMMYFUNCTION("""COMPUTED_VALUE"""),45662.0)</f>
        <v>45662</v>
      </c>
      <c r="C19" s="1" t="str">
        <f>IFERROR(__xludf.DUMMYFUNCTION("""COMPUTED_VALUE"""),"SHJP5710033819")</f>
        <v>SHJP5710033819</v>
      </c>
      <c r="D19" s="1" t="str">
        <f>IFERROR(__xludf.DUMMYFUNCTION("""COMPUTED_VALUE"""),"J&amp;G Compress")</f>
        <v>J&amp;G Compress</v>
      </c>
      <c r="E19" s="1" t="str">
        <f>IFERROR(__xludf.DUMMYFUNCTION("""COMPUTED_VALUE"""),"Jorginho")</f>
        <v>Jorginho</v>
      </c>
      <c r="F19" s="1" t="str">
        <f>IFERROR(__xludf.DUMMYFUNCTION("""COMPUTED_VALUE"""),"Lampung")</f>
        <v>Lampung</v>
      </c>
      <c r="G19" s="1" t="str">
        <f>IFERROR(__xludf.DUMMYFUNCTION("""COMPUTED_VALUE"""),"Basic Shirt - White")</f>
        <v>Basic Shirt - White</v>
      </c>
      <c r="H19" s="68">
        <f>IFERROR(__xludf.DUMMYFUNCTION("""COMPUTED_VALUE"""),129000.0)</f>
        <v>129000</v>
      </c>
      <c r="I19" s="68">
        <f>IFERROR(__xludf.DUMMYFUNCTION("""COMPUTED_VALUE"""),1.0)</f>
        <v>1</v>
      </c>
      <c r="J19" s="68">
        <f>IFERROR(__xludf.DUMMYFUNCTION("""COMPUTED_VALUE"""),129000.0)</f>
        <v>129000</v>
      </c>
      <c r="K19" s="68">
        <f>IFERROR(__xludf.DUMMYFUNCTION("""COMPUTED_VALUE"""),129000.0)</f>
        <v>129000</v>
      </c>
      <c r="L19" s="1" t="str">
        <f>IFERROR(__xludf.DUMMYFUNCTION("""COMPUTED_VALUE"""),"Shirt")</f>
        <v>Shirt</v>
      </c>
    </row>
    <row r="20">
      <c r="A20" s="1" t="str">
        <f>IFERROR(__xludf.DUMMYFUNCTION("""COMPUTED_VALUE"""),"EF131045996878988")</f>
        <v>EF131045996878988</v>
      </c>
      <c r="B20" s="67">
        <f>IFERROR(__xludf.DUMMYFUNCTION("""COMPUTED_VALUE"""),45662.0)</f>
        <v>45662</v>
      </c>
      <c r="C20" s="1" t="str">
        <f>IFERROR(__xludf.DUMMYFUNCTION("""COMPUTED_VALUE"""),"SH000817827897")</f>
        <v>SH000817827897</v>
      </c>
      <c r="D20" s="1" t="str">
        <f>IFERROR(__xludf.DUMMYFUNCTION("""COMPUTED_VALUE"""),"SiLumayanCepat")</f>
        <v>SiLumayanCepat</v>
      </c>
      <c r="E20" s="1" t="str">
        <f>IFERROR(__xludf.DUMMYFUNCTION("""COMPUTED_VALUE"""),"Xherdan Shaqiri")</f>
        <v>Xherdan Shaqiri</v>
      </c>
      <c r="F20" s="1" t="str">
        <f>IFERROR(__xludf.DUMMYFUNCTION("""COMPUTED_VALUE"""),"Banjarmasin")</f>
        <v>Banjarmasin</v>
      </c>
      <c r="G20" s="1" t="str">
        <f>IFERROR(__xludf.DUMMYFUNCTION("""COMPUTED_VALUE"""),"Basic T-Shirt Maroon")</f>
        <v>Basic T-Shirt Maroon</v>
      </c>
      <c r="H20" s="68">
        <f>IFERROR(__xludf.DUMMYFUNCTION("""COMPUTED_VALUE"""),89000.0)</f>
        <v>89000</v>
      </c>
      <c r="I20" s="68">
        <f>IFERROR(__xludf.DUMMYFUNCTION("""COMPUTED_VALUE"""),1.0)</f>
        <v>1</v>
      </c>
      <c r="J20" s="68">
        <f>IFERROR(__xludf.DUMMYFUNCTION("""COMPUTED_VALUE"""),89000.0)</f>
        <v>89000</v>
      </c>
      <c r="K20" s="68">
        <f>IFERROR(__xludf.DUMMYFUNCTION("""COMPUTED_VALUE"""),89000.0)</f>
        <v>89000</v>
      </c>
      <c r="L20" s="1" t="str">
        <f>IFERROR(__xludf.DUMMYFUNCTION("""COMPUTED_VALUE"""),"T-Shirt")</f>
        <v>T-Shirt</v>
      </c>
    </row>
    <row r="21">
      <c r="A21" s="1" t="str">
        <f>IFERROR(__xludf.DUMMYFUNCTION("""COMPUTED_VALUE"""),"EF132574758460249")</f>
        <v>EF132574758460249</v>
      </c>
      <c r="B21" s="67">
        <f>IFERROR(__xludf.DUMMYFUNCTION("""COMPUTED_VALUE"""),45662.0)</f>
        <v>45662</v>
      </c>
      <c r="C21" s="1" t="str">
        <f>IFERROR(__xludf.DUMMYFUNCTION("""COMPUTED_VALUE"""),"SH000818825436")</f>
        <v>SH000818825436</v>
      </c>
      <c r="D21" s="1" t="str">
        <f>IFERROR(__xludf.DUMMYFUNCTION("""COMPUTED_VALUE"""),"SiLumayanCepat")</f>
        <v>SiLumayanCepat</v>
      </c>
      <c r="E21" s="1" t="str">
        <f>IFERROR(__xludf.DUMMYFUNCTION("""COMPUTED_VALUE"""),"Joel Castro Pereira")</f>
        <v>Joel Castro Pereira</v>
      </c>
      <c r="F21" s="1" t="str">
        <f>IFERROR(__xludf.DUMMYFUNCTION("""COMPUTED_VALUE"""),"Palembang")</f>
        <v>Palembang</v>
      </c>
      <c r="G21" s="1" t="str">
        <f>IFERROR(__xludf.DUMMYFUNCTION("""COMPUTED_VALUE"""),"Colarless Shirt Long Sleeve Grey")</f>
        <v>Colarless Shirt Long Sleeve Grey</v>
      </c>
      <c r="H21" s="68">
        <f>IFERROR(__xludf.DUMMYFUNCTION("""COMPUTED_VALUE"""),199000.0)</f>
        <v>199000</v>
      </c>
      <c r="I21" s="68">
        <f>IFERROR(__xludf.DUMMYFUNCTION("""COMPUTED_VALUE"""),1.0)</f>
        <v>1</v>
      </c>
      <c r="J21" s="68">
        <f>IFERROR(__xludf.DUMMYFUNCTION("""COMPUTED_VALUE"""),199000.0)</f>
        <v>199000</v>
      </c>
      <c r="K21" s="68">
        <f>IFERROR(__xludf.DUMMYFUNCTION("""COMPUTED_VALUE"""),199000.0)</f>
        <v>199000</v>
      </c>
      <c r="L21" s="1" t="str">
        <f>IFERROR(__xludf.DUMMYFUNCTION("""COMPUTED_VALUE"""),"Shirt")</f>
        <v>Shirt</v>
      </c>
    </row>
    <row r="22">
      <c r="A22" s="1" t="str">
        <f>IFERROR(__xludf.DUMMYFUNCTION("""COMPUTED_VALUE"""),"EF129572429042855")</f>
        <v>EF129572429042855</v>
      </c>
      <c r="B22" s="67">
        <f>IFERROR(__xludf.DUMMYFUNCTION("""COMPUTED_VALUE"""),45663.0)</f>
        <v>45663</v>
      </c>
      <c r="C22" s="1" t="str">
        <f>IFERROR(__xludf.DUMMYFUNCTION("""COMPUTED_VALUE"""),"SH000816960220")</f>
        <v>SH000816960220</v>
      </c>
      <c r="D22" s="1" t="str">
        <f>IFERROR(__xludf.DUMMYFUNCTION("""COMPUTED_VALUE"""),"SiLumayanCepat")</f>
        <v>SiLumayanCepat</v>
      </c>
      <c r="E22" s="1" t="str">
        <f>IFERROR(__xludf.DUMMYFUNCTION("""COMPUTED_VALUE"""),"Thiago Silva")</f>
        <v>Thiago Silva</v>
      </c>
      <c r="F22" s="1" t="str">
        <f>IFERROR(__xludf.DUMMYFUNCTION("""COMPUTED_VALUE"""),"Cilacap")</f>
        <v>Cilacap</v>
      </c>
      <c r="G22" s="1" t="str">
        <f>IFERROR(__xludf.DUMMYFUNCTION("""COMPUTED_VALUE"""),"Chino Pants - Grey")</f>
        <v>Chino Pants - Grey</v>
      </c>
      <c r="H22" s="68">
        <f>IFERROR(__xludf.DUMMYFUNCTION("""COMPUTED_VALUE"""),175000.0)</f>
        <v>175000</v>
      </c>
      <c r="I22" s="68">
        <f>IFERROR(__xludf.DUMMYFUNCTION("""COMPUTED_VALUE"""),1.0)</f>
        <v>1</v>
      </c>
      <c r="J22" s="68">
        <f>IFERROR(__xludf.DUMMYFUNCTION("""COMPUTED_VALUE"""),175000.0)</f>
        <v>175000</v>
      </c>
      <c r="K22" s="68">
        <f>IFERROR(__xludf.DUMMYFUNCTION("""COMPUTED_VALUE"""),175000.0)</f>
        <v>175000</v>
      </c>
      <c r="L22" s="1" t="str">
        <f>IFERROR(__xludf.DUMMYFUNCTION("""COMPUTED_VALUE"""),"Pants")</f>
        <v>Pants</v>
      </c>
    </row>
    <row r="23">
      <c r="A23" s="1" t="str">
        <f>IFERROR(__xludf.DUMMYFUNCTION("""COMPUTED_VALUE"""),"EF131084000218083")</f>
        <v>EF131084000218083</v>
      </c>
      <c r="B23" s="67">
        <f>IFERROR(__xludf.DUMMYFUNCTION("""COMPUTED_VALUE"""),45663.0)</f>
        <v>45663</v>
      </c>
      <c r="C23" s="1" t="str">
        <f>IFERROR(__xludf.DUMMYFUNCTION("""COMPUTED_VALUE"""),"SH000817822387")</f>
        <v>SH000817822387</v>
      </c>
      <c r="D23" s="1" t="str">
        <f>IFERROR(__xludf.DUMMYFUNCTION("""COMPUTED_VALUE"""),"SiLumayanCepat")</f>
        <v>SiLumayanCepat</v>
      </c>
      <c r="E23" s="1" t="str">
        <f>IFERROR(__xludf.DUMMYFUNCTION("""COMPUTED_VALUE"""),"Ben Woodburn")</f>
        <v>Ben Woodburn</v>
      </c>
      <c r="F23" s="1" t="str">
        <f>IFERROR(__xludf.DUMMYFUNCTION("""COMPUTED_VALUE"""),"Denpasar")</f>
        <v>Denpasar</v>
      </c>
      <c r="G23" s="1" t="str">
        <f>IFERROR(__xludf.DUMMYFUNCTION("""COMPUTED_VALUE"""),"Basic T-Shirt Grey")</f>
        <v>Basic T-Shirt Grey</v>
      </c>
      <c r="H23" s="68">
        <f>IFERROR(__xludf.DUMMYFUNCTION("""COMPUTED_VALUE"""),89000.0)</f>
        <v>89000</v>
      </c>
      <c r="I23" s="68">
        <f>IFERROR(__xludf.DUMMYFUNCTION("""COMPUTED_VALUE"""),1.0)</f>
        <v>1</v>
      </c>
      <c r="J23" s="68">
        <f>IFERROR(__xludf.DUMMYFUNCTION("""COMPUTED_VALUE"""),89000.0)</f>
        <v>89000</v>
      </c>
      <c r="K23" s="68">
        <f>IFERROR(__xludf.DUMMYFUNCTION("""COMPUTED_VALUE"""),89000.0)</f>
        <v>89000</v>
      </c>
      <c r="L23" s="1" t="str">
        <f>IFERROR(__xludf.DUMMYFUNCTION("""COMPUTED_VALUE"""),"T-Shirt")</f>
        <v>T-Shirt</v>
      </c>
    </row>
    <row r="24">
      <c r="A24" s="1" t="str">
        <f>IFERROR(__xludf.DUMMYFUNCTION("""COMPUTED_VALUE"""),"EF132613205140202")</f>
        <v>EF132613205140202</v>
      </c>
      <c r="B24" s="67">
        <f>IFERROR(__xludf.DUMMYFUNCTION("""COMPUTED_VALUE"""),45663.0)</f>
        <v>45663</v>
      </c>
      <c r="C24" s="1" t="str">
        <f>IFERROR(__xludf.DUMMYFUNCTION("""COMPUTED_VALUE"""),"SH000817829901")</f>
        <v>SH000817829901</v>
      </c>
      <c r="D24" s="1" t="str">
        <f>IFERROR(__xludf.DUMMYFUNCTION("""COMPUTED_VALUE"""),"SiLumayanCepat")</f>
        <v>SiLumayanCepat</v>
      </c>
      <c r="E24" s="1" t="str">
        <f>IFERROR(__xludf.DUMMYFUNCTION("""COMPUTED_VALUE"""),"Teden Mengi")</f>
        <v>Teden Mengi</v>
      </c>
      <c r="F24" s="1" t="str">
        <f>IFERROR(__xludf.DUMMYFUNCTION("""COMPUTED_VALUE"""),"Pekanbaru")</f>
        <v>Pekanbaru</v>
      </c>
      <c r="G24" s="1" t="str">
        <f>IFERROR(__xludf.DUMMYFUNCTION("""COMPUTED_VALUE"""),"Basic Hoodie - White")</f>
        <v>Basic Hoodie - White</v>
      </c>
      <c r="H24" s="68">
        <f>IFERROR(__xludf.DUMMYFUNCTION("""COMPUTED_VALUE"""),189000.0)</f>
        <v>189000</v>
      </c>
      <c r="I24" s="68">
        <f>IFERROR(__xludf.DUMMYFUNCTION("""COMPUTED_VALUE"""),3.0)</f>
        <v>3</v>
      </c>
      <c r="J24" s="68">
        <f>IFERROR(__xludf.DUMMYFUNCTION("""COMPUTED_VALUE"""),567000.0)</f>
        <v>567000</v>
      </c>
      <c r="K24" s="68">
        <f>IFERROR(__xludf.DUMMYFUNCTION("""COMPUTED_VALUE"""),567000.0)</f>
        <v>567000</v>
      </c>
      <c r="L24" s="1" t="str">
        <f>IFERROR(__xludf.DUMMYFUNCTION("""COMPUTED_VALUE"""),"Jacket")</f>
        <v>Jacket</v>
      </c>
    </row>
    <row r="25">
      <c r="A25" s="1" t="str">
        <f>IFERROR(__xludf.DUMMYFUNCTION("""COMPUTED_VALUE"""),"EF134979659202919")</f>
        <v>EF134979659202919</v>
      </c>
      <c r="B25" s="67">
        <f>IFERROR(__xludf.DUMMYFUNCTION("""COMPUTED_VALUE"""),45663.0)</f>
        <v>45663</v>
      </c>
      <c r="C25" s="1" t="str">
        <f>IFERROR(__xludf.DUMMYFUNCTION("""COMPUTED_VALUE"""),"SHJP0993027226")</f>
        <v>SHJP0993027226</v>
      </c>
      <c r="D25" s="1" t="str">
        <f>IFERROR(__xludf.DUMMYFUNCTION("""COMPUTED_VALUE"""),"J&amp;G Compress")</f>
        <v>J&amp;G Compress</v>
      </c>
      <c r="E25" s="1" t="str">
        <f>IFERROR(__xludf.DUMMYFUNCTION("""COMPUTED_VALUE"""),"Pedri")</f>
        <v>Pedri</v>
      </c>
      <c r="F25" s="1" t="str">
        <f>IFERROR(__xludf.DUMMYFUNCTION("""COMPUTED_VALUE"""),"Kupang")</f>
        <v>Kupang</v>
      </c>
      <c r="G25" s="1" t="str">
        <f>IFERROR(__xludf.DUMMYFUNCTION("""COMPUTED_VALUE"""),"Linen Shirt - Slimfit - Navy")</f>
        <v>Linen Shirt - Slimfit - Navy</v>
      </c>
      <c r="H25" s="68">
        <f>IFERROR(__xludf.DUMMYFUNCTION("""COMPUTED_VALUE"""),229000.0)</f>
        <v>229000</v>
      </c>
      <c r="I25" s="68">
        <f>IFERROR(__xludf.DUMMYFUNCTION("""COMPUTED_VALUE"""),1.0)</f>
        <v>1</v>
      </c>
      <c r="J25" s="68">
        <f>IFERROR(__xludf.DUMMYFUNCTION("""COMPUTED_VALUE"""),229000.0)</f>
        <v>229000</v>
      </c>
      <c r="K25" s="68">
        <f>IFERROR(__xludf.DUMMYFUNCTION("""COMPUTED_VALUE"""),229000.0)</f>
        <v>229000</v>
      </c>
      <c r="L25" s="1" t="str">
        <f>IFERROR(__xludf.DUMMYFUNCTION("""COMPUTED_VALUE"""),"Shirt")</f>
        <v>Shirt</v>
      </c>
    </row>
    <row r="26">
      <c r="A26" s="1" t="str">
        <f>IFERROR(__xludf.DUMMYFUNCTION("""COMPUTED_VALUE"""),"EF129610005047277")</f>
        <v>EF129610005047277</v>
      </c>
      <c r="B26" s="67">
        <f>IFERROR(__xludf.DUMMYFUNCTION("""COMPUTED_VALUE"""),45664.0)</f>
        <v>45664</v>
      </c>
      <c r="C26" s="1" t="str">
        <f>IFERROR(__xludf.DUMMYFUNCTION("""COMPUTED_VALUE"""),"SH000816904317")</f>
        <v>SH000816904317</v>
      </c>
      <c r="D26" s="1" t="str">
        <f>IFERROR(__xludf.DUMMYFUNCTION("""COMPUTED_VALUE"""),"JemputAja")</f>
        <v>JemputAja</v>
      </c>
      <c r="E26" s="1" t="str">
        <f>IFERROR(__xludf.DUMMYFUNCTION("""COMPUTED_VALUE"""),"N’Golo Kanté")</f>
        <v>N’Golo Kanté</v>
      </c>
      <c r="F26" s="1" t="str">
        <f>IFERROR(__xludf.DUMMYFUNCTION("""COMPUTED_VALUE"""),"Balikpapan")</f>
        <v>Balikpapan</v>
      </c>
      <c r="G26" s="1" t="str">
        <f>IFERROR(__xludf.DUMMYFUNCTION("""COMPUTED_VALUE"""),"Chino Pants - Khaki")</f>
        <v>Chino Pants - Khaki</v>
      </c>
      <c r="H26" s="68">
        <f>IFERROR(__xludf.DUMMYFUNCTION("""COMPUTED_VALUE"""),175000.0)</f>
        <v>175000</v>
      </c>
      <c r="I26" s="68">
        <f>IFERROR(__xludf.DUMMYFUNCTION("""COMPUTED_VALUE"""),1.0)</f>
        <v>1</v>
      </c>
      <c r="J26" s="68">
        <f>IFERROR(__xludf.DUMMYFUNCTION("""COMPUTED_VALUE"""),175000.0)</f>
        <v>175000</v>
      </c>
      <c r="K26" s="68">
        <f>IFERROR(__xludf.DUMMYFUNCTION("""COMPUTED_VALUE"""),573000.0)</f>
        <v>573000</v>
      </c>
      <c r="L26" s="1" t="str">
        <f>IFERROR(__xludf.DUMMYFUNCTION("""COMPUTED_VALUE"""),"Pants")</f>
        <v>Pants</v>
      </c>
    </row>
    <row r="27">
      <c r="A27" s="1" t="str">
        <f>IFERROR(__xludf.DUMMYFUNCTION("""COMPUTED_VALUE"""),"EF129610005047277")</f>
        <v>EF129610005047277</v>
      </c>
      <c r="B27" s="67">
        <f>IFERROR(__xludf.DUMMYFUNCTION("""COMPUTED_VALUE"""),45664.0)</f>
        <v>45664</v>
      </c>
      <c r="C27" s="1" t="str">
        <f>IFERROR(__xludf.DUMMYFUNCTION("""COMPUTED_VALUE"""),"SH000816904317")</f>
        <v>SH000816904317</v>
      </c>
      <c r="D27" s="1" t="str">
        <f>IFERROR(__xludf.DUMMYFUNCTION("""COMPUTED_VALUE"""),"JemputAja")</f>
        <v>JemputAja</v>
      </c>
      <c r="E27" s="1" t="str">
        <f>IFERROR(__xludf.DUMMYFUNCTION("""COMPUTED_VALUE"""),"N’Golo Kanté")</f>
        <v>N’Golo Kanté</v>
      </c>
      <c r="F27" s="1" t="str">
        <f>IFERROR(__xludf.DUMMYFUNCTION("""COMPUTED_VALUE"""),"Balikpapan")</f>
        <v>Balikpapan</v>
      </c>
      <c r="G27" s="1" t="str">
        <f>IFERROR(__xludf.DUMMYFUNCTION("""COMPUTED_VALUE"""),"Running Jacket - Black")</f>
        <v>Running Jacket - Black</v>
      </c>
      <c r="H27" s="68">
        <f>IFERROR(__xludf.DUMMYFUNCTION("""COMPUTED_VALUE"""),199000.0)</f>
        <v>199000</v>
      </c>
      <c r="I27" s="68">
        <f>IFERROR(__xludf.DUMMYFUNCTION("""COMPUTED_VALUE"""),1.0)</f>
        <v>1</v>
      </c>
      <c r="J27" s="68">
        <f>IFERROR(__xludf.DUMMYFUNCTION("""COMPUTED_VALUE"""),199000.0)</f>
        <v>199000</v>
      </c>
      <c r="K27" s="68">
        <f>IFERROR(__xludf.DUMMYFUNCTION("""COMPUTED_VALUE"""),573000.0)</f>
        <v>573000</v>
      </c>
      <c r="L27" s="1" t="str">
        <f>IFERROR(__xludf.DUMMYFUNCTION("""COMPUTED_VALUE"""),"Sportswear")</f>
        <v>Sportswear</v>
      </c>
    </row>
    <row r="28">
      <c r="A28" s="1" t="str">
        <f>IFERROR(__xludf.DUMMYFUNCTION("""COMPUTED_VALUE"""),"EF129610005047277")</f>
        <v>EF129610005047277</v>
      </c>
      <c r="B28" s="67">
        <f>IFERROR(__xludf.DUMMYFUNCTION("""COMPUTED_VALUE"""),45664.0)</f>
        <v>45664</v>
      </c>
      <c r="C28" s="1" t="str">
        <f>IFERROR(__xludf.DUMMYFUNCTION("""COMPUTED_VALUE"""),"SH000816904317")</f>
        <v>SH000816904317</v>
      </c>
      <c r="D28" s="1" t="str">
        <f>IFERROR(__xludf.DUMMYFUNCTION("""COMPUTED_VALUE"""),"JemputAja")</f>
        <v>JemputAja</v>
      </c>
      <c r="E28" s="1" t="str">
        <f>IFERROR(__xludf.DUMMYFUNCTION("""COMPUTED_VALUE"""),"N’Golo Kanté")</f>
        <v>N’Golo Kanté</v>
      </c>
      <c r="F28" s="1" t="str">
        <f>IFERROR(__xludf.DUMMYFUNCTION("""COMPUTED_VALUE"""),"Balikpapan")</f>
        <v>Balikpapan</v>
      </c>
      <c r="G28" s="1" t="str">
        <f>IFERROR(__xludf.DUMMYFUNCTION("""COMPUTED_VALUE"""),"Running Jacket - Navy")</f>
        <v>Running Jacket - Navy</v>
      </c>
      <c r="H28" s="68">
        <f>IFERROR(__xludf.DUMMYFUNCTION("""COMPUTED_VALUE"""),199000.0)</f>
        <v>199000</v>
      </c>
      <c r="I28" s="68">
        <f>IFERROR(__xludf.DUMMYFUNCTION("""COMPUTED_VALUE"""),1.0)</f>
        <v>1</v>
      </c>
      <c r="J28" s="68">
        <f>IFERROR(__xludf.DUMMYFUNCTION("""COMPUTED_VALUE"""),199000.0)</f>
        <v>199000</v>
      </c>
      <c r="K28" s="68">
        <f>IFERROR(__xludf.DUMMYFUNCTION("""COMPUTED_VALUE"""),573000.0)</f>
        <v>573000</v>
      </c>
      <c r="L28" s="1" t="str">
        <f>IFERROR(__xludf.DUMMYFUNCTION("""COMPUTED_VALUE"""),"Sportswear")</f>
        <v>Sportswear</v>
      </c>
    </row>
    <row r="29">
      <c r="A29" s="1" t="str">
        <f>IFERROR(__xludf.DUMMYFUNCTION("""COMPUTED_VALUE"""),"EF131122014578146")</f>
        <v>EF131122014578146</v>
      </c>
      <c r="B29" s="67">
        <f>IFERROR(__xludf.DUMMYFUNCTION("""COMPUTED_VALUE"""),45664.0)</f>
        <v>45664</v>
      </c>
      <c r="C29" s="1" t="str">
        <f>IFERROR(__xludf.DUMMYFUNCTION("""COMPUTED_VALUE"""),"SH000818333990")</f>
        <v>SH000818333990</v>
      </c>
      <c r="D29" s="1" t="str">
        <f>IFERROR(__xludf.DUMMYFUNCTION("""COMPUTED_VALUE"""),"SiLumayanCepat")</f>
        <v>SiLumayanCepat</v>
      </c>
      <c r="E29" s="1" t="str">
        <f>IFERROR(__xludf.DUMMYFUNCTION("""COMPUTED_VALUE"""),"Harry Wilson")</f>
        <v>Harry Wilson</v>
      </c>
      <c r="F29" s="1" t="str">
        <f>IFERROR(__xludf.DUMMYFUNCTION("""COMPUTED_VALUE"""),"Jakarta")</f>
        <v>Jakarta</v>
      </c>
      <c r="G29" s="1" t="str">
        <f>IFERROR(__xludf.DUMMYFUNCTION("""COMPUTED_VALUE"""),"Basic T-Shirt Army")</f>
        <v>Basic T-Shirt Army</v>
      </c>
      <c r="H29" s="68">
        <f>IFERROR(__xludf.DUMMYFUNCTION("""COMPUTED_VALUE"""),89000.0)</f>
        <v>89000</v>
      </c>
      <c r="I29" s="68">
        <f>IFERROR(__xludf.DUMMYFUNCTION("""COMPUTED_VALUE"""),1.0)</f>
        <v>1</v>
      </c>
      <c r="J29" s="68">
        <f>IFERROR(__xludf.DUMMYFUNCTION("""COMPUTED_VALUE"""),89000.0)</f>
        <v>89000</v>
      </c>
      <c r="K29" s="68">
        <f>IFERROR(__xludf.DUMMYFUNCTION("""COMPUTED_VALUE"""),596000.0)</f>
        <v>596000</v>
      </c>
      <c r="L29" s="1" t="str">
        <f>IFERROR(__xludf.DUMMYFUNCTION("""COMPUTED_VALUE"""),"T-Shirt")</f>
        <v>T-Shirt</v>
      </c>
    </row>
    <row r="30">
      <c r="A30" s="1" t="str">
        <f>IFERROR(__xludf.DUMMYFUNCTION("""COMPUTED_VALUE"""),"EF131122014578146")</f>
        <v>EF131122014578146</v>
      </c>
      <c r="B30" s="67">
        <f>IFERROR(__xludf.DUMMYFUNCTION("""COMPUTED_VALUE"""),45664.0)</f>
        <v>45664</v>
      </c>
      <c r="C30" s="1" t="str">
        <f>IFERROR(__xludf.DUMMYFUNCTION("""COMPUTED_VALUE"""),"SH000818333990")</f>
        <v>SH000818333990</v>
      </c>
      <c r="D30" s="1" t="str">
        <f>IFERROR(__xludf.DUMMYFUNCTION("""COMPUTED_VALUE"""),"SiLumayanCepat")</f>
        <v>SiLumayanCepat</v>
      </c>
      <c r="E30" s="1" t="str">
        <f>IFERROR(__xludf.DUMMYFUNCTION("""COMPUTED_VALUE"""),"Harry Wilson")</f>
        <v>Harry Wilson</v>
      </c>
      <c r="F30" s="1" t="str">
        <f>IFERROR(__xludf.DUMMYFUNCTION("""COMPUTED_VALUE"""),"Jakarta")</f>
        <v>Jakarta</v>
      </c>
      <c r="G30" s="1" t="str">
        <f>IFERROR(__xludf.DUMMYFUNCTION("""COMPUTED_VALUE"""),"Basic Hoodie - White")</f>
        <v>Basic Hoodie - White</v>
      </c>
      <c r="H30" s="68">
        <f>IFERROR(__xludf.DUMMYFUNCTION("""COMPUTED_VALUE"""),189000.0)</f>
        <v>189000</v>
      </c>
      <c r="I30" s="68">
        <f>IFERROR(__xludf.DUMMYFUNCTION("""COMPUTED_VALUE"""),2.0)</f>
        <v>2</v>
      </c>
      <c r="J30" s="68">
        <f>IFERROR(__xludf.DUMMYFUNCTION("""COMPUTED_VALUE"""),378000.0)</f>
        <v>378000</v>
      </c>
      <c r="K30" s="68">
        <f>IFERROR(__xludf.DUMMYFUNCTION("""COMPUTED_VALUE"""),596000.0)</f>
        <v>596000</v>
      </c>
      <c r="L30" s="1" t="str">
        <f>IFERROR(__xludf.DUMMYFUNCTION("""COMPUTED_VALUE"""),"Jacket")</f>
        <v>Jacket</v>
      </c>
    </row>
    <row r="31">
      <c r="A31" s="1" t="str">
        <f>IFERROR(__xludf.DUMMYFUNCTION("""COMPUTED_VALUE"""),"EF131122014578146")</f>
        <v>EF131122014578146</v>
      </c>
      <c r="B31" s="67">
        <f>IFERROR(__xludf.DUMMYFUNCTION("""COMPUTED_VALUE"""),45664.0)</f>
        <v>45664</v>
      </c>
      <c r="C31" s="1" t="str">
        <f>IFERROR(__xludf.DUMMYFUNCTION("""COMPUTED_VALUE"""),"SH000818333990")</f>
        <v>SH000818333990</v>
      </c>
      <c r="D31" s="1" t="str">
        <f>IFERROR(__xludf.DUMMYFUNCTION("""COMPUTED_VALUE"""),"SiLumayanCepat")</f>
        <v>SiLumayanCepat</v>
      </c>
      <c r="E31" s="1" t="str">
        <f>IFERROR(__xludf.DUMMYFUNCTION("""COMPUTED_VALUE"""),"Harry Wilson")</f>
        <v>Harry Wilson</v>
      </c>
      <c r="F31" s="1" t="str">
        <f>IFERROR(__xludf.DUMMYFUNCTION("""COMPUTED_VALUE"""),"Jakarta")</f>
        <v>Jakarta</v>
      </c>
      <c r="G31" s="1" t="str">
        <f>IFERROR(__xludf.DUMMYFUNCTION("""COMPUTED_VALUE"""),"Basic Shirt - Black")</f>
        <v>Basic Shirt - Black</v>
      </c>
      <c r="H31" s="68">
        <f>IFERROR(__xludf.DUMMYFUNCTION("""COMPUTED_VALUE"""),129000.0)</f>
        <v>129000</v>
      </c>
      <c r="I31" s="68">
        <f>IFERROR(__xludf.DUMMYFUNCTION("""COMPUTED_VALUE"""),1.0)</f>
        <v>1</v>
      </c>
      <c r="J31" s="68">
        <f>IFERROR(__xludf.DUMMYFUNCTION("""COMPUTED_VALUE"""),129000.0)</f>
        <v>129000</v>
      </c>
      <c r="K31" s="68">
        <f>IFERROR(__xludf.DUMMYFUNCTION("""COMPUTED_VALUE"""),596000.0)</f>
        <v>596000</v>
      </c>
      <c r="L31" s="1" t="str">
        <f>IFERROR(__xludf.DUMMYFUNCTION("""COMPUTED_VALUE"""),"Shirt")</f>
        <v>Shirt</v>
      </c>
    </row>
    <row r="32">
      <c r="A32" s="1" t="str">
        <f>IFERROR(__xludf.DUMMYFUNCTION("""COMPUTED_VALUE"""),"EF132690131951954")</f>
        <v>EF132690131951954</v>
      </c>
      <c r="B32" s="67">
        <f>IFERROR(__xludf.DUMMYFUNCTION("""COMPUTED_VALUE"""),45664.0)</f>
        <v>45664</v>
      </c>
      <c r="C32" s="1" t="str">
        <f>IFERROR(__xludf.DUMMYFUNCTION("""COMPUTED_VALUE"""),"SH000818211307")</f>
        <v>SH000818211307</v>
      </c>
      <c r="D32" s="1" t="str">
        <f>IFERROR(__xludf.DUMMYFUNCTION("""COMPUTED_VALUE"""),"SiLumayanCepat")</f>
        <v>SiLumayanCepat</v>
      </c>
      <c r="E32" s="1" t="str">
        <f>IFERROR(__xludf.DUMMYFUNCTION("""COMPUTED_VALUE"""),"Edinson Cavani")</f>
        <v>Edinson Cavani</v>
      </c>
      <c r="F32" s="1" t="str">
        <f>IFERROR(__xludf.DUMMYFUNCTION("""COMPUTED_VALUE"""),"Samarinda")</f>
        <v>Samarinda</v>
      </c>
      <c r="G32" s="1" t="str">
        <f>IFERROR(__xludf.DUMMYFUNCTION("""COMPUTED_VALUE"""),"Basic Shirt - Black")</f>
        <v>Basic Shirt - Black</v>
      </c>
      <c r="H32" s="68">
        <f>IFERROR(__xludf.DUMMYFUNCTION("""COMPUTED_VALUE"""),129000.0)</f>
        <v>129000</v>
      </c>
      <c r="I32" s="68">
        <f>IFERROR(__xludf.DUMMYFUNCTION("""COMPUTED_VALUE"""),1.0)</f>
        <v>1</v>
      </c>
      <c r="J32" s="68">
        <f>IFERROR(__xludf.DUMMYFUNCTION("""COMPUTED_VALUE"""),129000.0)</f>
        <v>129000</v>
      </c>
      <c r="K32" s="68">
        <f>IFERROR(__xludf.DUMMYFUNCTION("""COMPUTED_VALUE"""),516000.0)</f>
        <v>516000</v>
      </c>
      <c r="L32" s="1" t="str">
        <f>IFERROR(__xludf.DUMMYFUNCTION("""COMPUTED_VALUE"""),"Shirt")</f>
        <v>Shirt</v>
      </c>
    </row>
    <row r="33">
      <c r="A33" s="1" t="str">
        <f>IFERROR(__xludf.DUMMYFUNCTION("""COMPUTED_VALUE"""),"EF132690131951954")</f>
        <v>EF132690131951954</v>
      </c>
      <c r="B33" s="67">
        <f>IFERROR(__xludf.DUMMYFUNCTION("""COMPUTED_VALUE"""),45664.0)</f>
        <v>45664</v>
      </c>
      <c r="C33" s="1" t="str">
        <f>IFERROR(__xludf.DUMMYFUNCTION("""COMPUTED_VALUE"""),"SH000818211307")</f>
        <v>SH000818211307</v>
      </c>
      <c r="D33" s="1" t="str">
        <f>IFERROR(__xludf.DUMMYFUNCTION("""COMPUTED_VALUE"""),"SiLumayanCepat")</f>
        <v>SiLumayanCepat</v>
      </c>
      <c r="E33" s="1" t="str">
        <f>IFERROR(__xludf.DUMMYFUNCTION("""COMPUTED_VALUE"""),"Edinson Cavani")</f>
        <v>Edinson Cavani</v>
      </c>
      <c r="F33" s="1" t="str">
        <f>IFERROR(__xludf.DUMMYFUNCTION("""COMPUTED_VALUE"""),"Samarinda")</f>
        <v>Samarinda</v>
      </c>
      <c r="G33" s="1" t="str">
        <f>IFERROR(__xludf.DUMMYFUNCTION("""COMPUTED_VALUE"""),"Basic Shirt - Grey")</f>
        <v>Basic Shirt - Grey</v>
      </c>
      <c r="H33" s="68">
        <f>IFERROR(__xludf.DUMMYFUNCTION("""COMPUTED_VALUE"""),129000.0)</f>
        <v>129000</v>
      </c>
      <c r="I33" s="68">
        <f>IFERROR(__xludf.DUMMYFUNCTION("""COMPUTED_VALUE"""),1.0)</f>
        <v>1</v>
      </c>
      <c r="J33" s="68">
        <f>IFERROR(__xludf.DUMMYFUNCTION("""COMPUTED_VALUE"""),129000.0)</f>
        <v>129000</v>
      </c>
      <c r="K33" s="68">
        <f>IFERROR(__xludf.DUMMYFUNCTION("""COMPUTED_VALUE"""),516000.0)</f>
        <v>516000</v>
      </c>
      <c r="L33" s="1" t="str">
        <f>IFERROR(__xludf.DUMMYFUNCTION("""COMPUTED_VALUE"""),"Shirt")</f>
        <v>Shirt</v>
      </c>
    </row>
    <row r="34">
      <c r="A34" s="1" t="str">
        <f>IFERROR(__xludf.DUMMYFUNCTION("""COMPUTED_VALUE"""),"EF132690131951954")</f>
        <v>EF132690131951954</v>
      </c>
      <c r="B34" s="67">
        <f>IFERROR(__xludf.DUMMYFUNCTION("""COMPUTED_VALUE"""),45664.0)</f>
        <v>45664</v>
      </c>
      <c r="C34" s="1" t="str">
        <f>IFERROR(__xludf.DUMMYFUNCTION("""COMPUTED_VALUE"""),"SH000818211307")</f>
        <v>SH000818211307</v>
      </c>
      <c r="D34" s="1" t="str">
        <f>IFERROR(__xludf.DUMMYFUNCTION("""COMPUTED_VALUE"""),"SiLumayanCepat")</f>
        <v>SiLumayanCepat</v>
      </c>
      <c r="E34" s="1" t="str">
        <f>IFERROR(__xludf.DUMMYFUNCTION("""COMPUTED_VALUE"""),"Edinson Cavani")</f>
        <v>Edinson Cavani</v>
      </c>
      <c r="F34" s="1" t="str">
        <f>IFERROR(__xludf.DUMMYFUNCTION("""COMPUTED_VALUE"""),"Samarinda")</f>
        <v>Samarinda</v>
      </c>
      <c r="G34" s="1" t="str">
        <f>IFERROR(__xludf.DUMMYFUNCTION("""COMPUTED_VALUE"""),"Basic Shirt - Navy")</f>
        <v>Basic Shirt - Navy</v>
      </c>
      <c r="H34" s="68">
        <f>IFERROR(__xludf.DUMMYFUNCTION("""COMPUTED_VALUE"""),129000.0)</f>
        <v>129000</v>
      </c>
      <c r="I34" s="68">
        <f>IFERROR(__xludf.DUMMYFUNCTION("""COMPUTED_VALUE"""),1.0)</f>
        <v>1</v>
      </c>
      <c r="J34" s="68">
        <f>IFERROR(__xludf.DUMMYFUNCTION("""COMPUTED_VALUE"""),129000.0)</f>
        <v>129000</v>
      </c>
      <c r="K34" s="68">
        <f>IFERROR(__xludf.DUMMYFUNCTION("""COMPUTED_VALUE"""),516000.0)</f>
        <v>516000</v>
      </c>
      <c r="L34" s="1" t="str">
        <f>IFERROR(__xludf.DUMMYFUNCTION("""COMPUTED_VALUE"""),"Shirt")</f>
        <v>Shirt</v>
      </c>
    </row>
    <row r="35">
      <c r="A35" s="1" t="str">
        <f>IFERROR(__xludf.DUMMYFUNCTION("""COMPUTED_VALUE"""),"EF132690131951954")</f>
        <v>EF132690131951954</v>
      </c>
      <c r="B35" s="67">
        <f>IFERROR(__xludf.DUMMYFUNCTION("""COMPUTED_VALUE"""),45664.0)</f>
        <v>45664</v>
      </c>
      <c r="C35" s="1" t="str">
        <f>IFERROR(__xludf.DUMMYFUNCTION("""COMPUTED_VALUE"""),"SH000818211307")</f>
        <v>SH000818211307</v>
      </c>
      <c r="D35" s="1" t="str">
        <f>IFERROR(__xludf.DUMMYFUNCTION("""COMPUTED_VALUE"""),"SiLumayanCepat")</f>
        <v>SiLumayanCepat</v>
      </c>
      <c r="E35" s="1" t="str">
        <f>IFERROR(__xludf.DUMMYFUNCTION("""COMPUTED_VALUE"""),"Edinson Cavani")</f>
        <v>Edinson Cavani</v>
      </c>
      <c r="F35" s="1" t="str">
        <f>IFERROR(__xludf.DUMMYFUNCTION("""COMPUTED_VALUE"""),"Samarinda")</f>
        <v>Samarinda</v>
      </c>
      <c r="G35" s="1" t="str">
        <f>IFERROR(__xludf.DUMMYFUNCTION("""COMPUTED_VALUE"""),"Basic Shirt - White")</f>
        <v>Basic Shirt - White</v>
      </c>
      <c r="H35" s="68">
        <f>IFERROR(__xludf.DUMMYFUNCTION("""COMPUTED_VALUE"""),129000.0)</f>
        <v>129000</v>
      </c>
      <c r="I35" s="68">
        <f>IFERROR(__xludf.DUMMYFUNCTION("""COMPUTED_VALUE"""),1.0)</f>
        <v>1</v>
      </c>
      <c r="J35" s="68">
        <f>IFERROR(__xludf.DUMMYFUNCTION("""COMPUTED_VALUE"""),129000.0)</f>
        <v>129000</v>
      </c>
      <c r="K35" s="68">
        <f>IFERROR(__xludf.DUMMYFUNCTION("""COMPUTED_VALUE"""),516000.0)</f>
        <v>516000</v>
      </c>
      <c r="L35" s="1" t="str">
        <f>IFERROR(__xludf.DUMMYFUNCTION("""COMPUTED_VALUE"""),"Shirt")</f>
        <v>Shirt</v>
      </c>
    </row>
    <row r="36">
      <c r="A36" s="1" t="str">
        <f>IFERROR(__xludf.DUMMYFUNCTION("""COMPUTED_VALUE"""),"EF132805605847709")</f>
        <v>EF132805605847709</v>
      </c>
      <c r="B36" s="67">
        <f>IFERROR(__xludf.DUMMYFUNCTION("""COMPUTED_VALUE"""),45664.0)</f>
        <v>45664</v>
      </c>
      <c r="C36" s="1" t="str">
        <f>IFERROR(__xludf.DUMMYFUNCTION("""COMPUTED_VALUE"""),"SH000818824846")</f>
        <v>SH000818824846</v>
      </c>
      <c r="D36" s="1" t="str">
        <f>IFERROR(__xludf.DUMMYFUNCTION("""COMPUTED_VALUE"""),"SiLumayanCepat")</f>
        <v>SiLumayanCepat</v>
      </c>
      <c r="E36" s="1" t="str">
        <f>IFERROR(__xludf.DUMMYFUNCTION("""COMPUTED_VALUE"""),"Aymeric Laporte")</f>
        <v>Aymeric Laporte</v>
      </c>
      <c r="F36" s="1" t="str">
        <f>IFERROR(__xludf.DUMMYFUNCTION("""COMPUTED_VALUE"""),"Samarinda")</f>
        <v>Samarinda</v>
      </c>
      <c r="G36" s="1" t="str">
        <f>IFERROR(__xludf.DUMMYFUNCTION("""COMPUTED_VALUE"""),"Chino Pants - Grey")</f>
        <v>Chino Pants - Grey</v>
      </c>
      <c r="H36" s="68">
        <f>IFERROR(__xludf.DUMMYFUNCTION("""COMPUTED_VALUE"""),175000.0)</f>
        <v>175000</v>
      </c>
      <c r="I36" s="68">
        <f>IFERROR(__xludf.DUMMYFUNCTION("""COMPUTED_VALUE"""),1.0)</f>
        <v>1</v>
      </c>
      <c r="J36" s="68">
        <f>IFERROR(__xludf.DUMMYFUNCTION("""COMPUTED_VALUE"""),175000.0)</f>
        <v>175000</v>
      </c>
      <c r="K36" s="68">
        <f>IFERROR(__xludf.DUMMYFUNCTION("""COMPUTED_VALUE"""),350000.0)</f>
        <v>350000</v>
      </c>
      <c r="L36" s="1" t="str">
        <f>IFERROR(__xludf.DUMMYFUNCTION("""COMPUTED_VALUE"""),"Pants")</f>
        <v>Pants</v>
      </c>
    </row>
    <row r="37">
      <c r="A37" s="1" t="str">
        <f>IFERROR(__xludf.DUMMYFUNCTION("""COMPUTED_VALUE"""),"EF132805605847709")</f>
        <v>EF132805605847709</v>
      </c>
      <c r="B37" s="67">
        <f>IFERROR(__xludf.DUMMYFUNCTION("""COMPUTED_VALUE"""),45664.0)</f>
        <v>45664</v>
      </c>
      <c r="C37" s="1" t="str">
        <f>IFERROR(__xludf.DUMMYFUNCTION("""COMPUTED_VALUE"""),"SH000818824846")</f>
        <v>SH000818824846</v>
      </c>
      <c r="D37" s="1" t="str">
        <f>IFERROR(__xludf.DUMMYFUNCTION("""COMPUTED_VALUE"""),"SiLumayanCepat")</f>
        <v>SiLumayanCepat</v>
      </c>
      <c r="E37" s="1" t="str">
        <f>IFERROR(__xludf.DUMMYFUNCTION("""COMPUTED_VALUE"""),"Aymeric Laporte")</f>
        <v>Aymeric Laporte</v>
      </c>
      <c r="F37" s="1" t="str">
        <f>IFERROR(__xludf.DUMMYFUNCTION("""COMPUTED_VALUE"""),"Samarinda")</f>
        <v>Samarinda</v>
      </c>
      <c r="G37" s="1" t="str">
        <f>IFERROR(__xludf.DUMMYFUNCTION("""COMPUTED_VALUE"""),"Chino Pants - Khaki")</f>
        <v>Chino Pants - Khaki</v>
      </c>
      <c r="H37" s="68">
        <f>IFERROR(__xludf.DUMMYFUNCTION("""COMPUTED_VALUE"""),175000.0)</f>
        <v>175000</v>
      </c>
      <c r="I37" s="68">
        <f>IFERROR(__xludf.DUMMYFUNCTION("""COMPUTED_VALUE"""),1.0)</f>
        <v>1</v>
      </c>
      <c r="J37" s="68">
        <f>IFERROR(__xludf.DUMMYFUNCTION("""COMPUTED_VALUE"""),175000.0)</f>
        <v>175000</v>
      </c>
      <c r="K37" s="68">
        <f>IFERROR(__xludf.DUMMYFUNCTION("""COMPUTED_VALUE"""),350000.0)</f>
        <v>350000</v>
      </c>
      <c r="L37" s="1" t="str">
        <f>IFERROR(__xludf.DUMMYFUNCTION("""COMPUTED_VALUE"""),"Pants")</f>
        <v>Pants</v>
      </c>
    </row>
    <row r="38">
      <c r="A38" s="1" t="str">
        <f>IFERROR(__xludf.DUMMYFUNCTION("""COMPUTED_VALUE"""),"EF135018803304088")</f>
        <v>EF135018803304088</v>
      </c>
      <c r="B38" s="67">
        <f>IFERROR(__xludf.DUMMYFUNCTION("""COMPUTED_VALUE"""),45664.0)</f>
        <v>45664</v>
      </c>
      <c r="C38" s="1" t="str">
        <f>IFERROR(__xludf.DUMMYFUNCTION("""COMPUTED_VALUE"""),"SH000816905305")</f>
        <v>SH000816905305</v>
      </c>
      <c r="D38" s="1" t="str">
        <f>IFERROR(__xludf.DUMMYFUNCTION("""COMPUTED_VALUE"""),"SiLumayanCepat")</f>
        <v>SiLumayanCepat</v>
      </c>
      <c r="E38" s="1" t="str">
        <f>IFERROR(__xludf.DUMMYFUNCTION("""COMPUTED_VALUE"""),"Lee Je Hoon")</f>
        <v>Lee Je Hoon</v>
      </c>
      <c r="F38" s="1" t="str">
        <f>IFERROR(__xludf.DUMMYFUNCTION("""COMPUTED_VALUE"""),"Bandung")</f>
        <v>Bandung</v>
      </c>
      <c r="G38" s="1" t="str">
        <f>IFERROR(__xludf.DUMMYFUNCTION("""COMPUTED_VALUE"""),"Linen Shirt - Slimfit - Khaki")</f>
        <v>Linen Shirt - Slimfit - Khaki</v>
      </c>
      <c r="H38" s="68">
        <f>IFERROR(__xludf.DUMMYFUNCTION("""COMPUTED_VALUE"""),229000.0)</f>
        <v>229000</v>
      </c>
      <c r="I38" s="68">
        <f>IFERROR(__xludf.DUMMYFUNCTION("""COMPUTED_VALUE"""),1.0)</f>
        <v>1</v>
      </c>
      <c r="J38" s="68">
        <f>IFERROR(__xludf.DUMMYFUNCTION("""COMPUTED_VALUE"""),229000.0)</f>
        <v>229000</v>
      </c>
      <c r="K38" s="68">
        <f>IFERROR(__xludf.DUMMYFUNCTION("""COMPUTED_VALUE"""),687000.0)</f>
        <v>687000</v>
      </c>
      <c r="L38" s="1" t="str">
        <f>IFERROR(__xludf.DUMMYFUNCTION("""COMPUTED_VALUE"""),"Shirt")</f>
        <v>Shirt</v>
      </c>
    </row>
    <row r="39">
      <c r="A39" s="1" t="str">
        <f>IFERROR(__xludf.DUMMYFUNCTION("""COMPUTED_VALUE"""),"EF135018803304088")</f>
        <v>EF135018803304088</v>
      </c>
      <c r="B39" s="67">
        <f>IFERROR(__xludf.DUMMYFUNCTION("""COMPUTED_VALUE"""),45664.0)</f>
        <v>45664</v>
      </c>
      <c r="C39" s="1" t="str">
        <f>IFERROR(__xludf.DUMMYFUNCTION("""COMPUTED_VALUE"""),"SH000816905305")</f>
        <v>SH000816905305</v>
      </c>
      <c r="D39" s="1" t="str">
        <f>IFERROR(__xludf.DUMMYFUNCTION("""COMPUTED_VALUE"""),"SiLumayanCepat")</f>
        <v>SiLumayanCepat</v>
      </c>
      <c r="E39" s="1" t="str">
        <f>IFERROR(__xludf.DUMMYFUNCTION("""COMPUTED_VALUE"""),"Lee Je Hoon")</f>
        <v>Lee Je Hoon</v>
      </c>
      <c r="F39" s="1" t="str">
        <f>IFERROR(__xludf.DUMMYFUNCTION("""COMPUTED_VALUE"""),"Bandung")</f>
        <v>Bandung</v>
      </c>
      <c r="G39" s="1" t="str">
        <f>IFERROR(__xludf.DUMMYFUNCTION("""COMPUTED_VALUE"""),"Linen Shirt - Slimfit - White")</f>
        <v>Linen Shirt - Slimfit - White</v>
      </c>
      <c r="H39" s="68">
        <f>IFERROR(__xludf.DUMMYFUNCTION("""COMPUTED_VALUE"""),229000.0)</f>
        <v>229000</v>
      </c>
      <c r="I39" s="68">
        <f>IFERROR(__xludf.DUMMYFUNCTION("""COMPUTED_VALUE"""),1.0)</f>
        <v>1</v>
      </c>
      <c r="J39" s="68">
        <f>IFERROR(__xludf.DUMMYFUNCTION("""COMPUTED_VALUE"""),229000.0)</f>
        <v>229000</v>
      </c>
      <c r="K39" s="68">
        <f>IFERROR(__xludf.DUMMYFUNCTION("""COMPUTED_VALUE"""),687000.0)</f>
        <v>687000</v>
      </c>
      <c r="L39" s="1" t="str">
        <f>IFERROR(__xludf.DUMMYFUNCTION("""COMPUTED_VALUE"""),"Shirt")</f>
        <v>Shirt</v>
      </c>
    </row>
    <row r="40">
      <c r="A40" s="1" t="str">
        <f>IFERROR(__xludf.DUMMYFUNCTION("""COMPUTED_VALUE"""),"EF135018803304088")</f>
        <v>EF135018803304088</v>
      </c>
      <c r="B40" s="67">
        <f>IFERROR(__xludf.DUMMYFUNCTION("""COMPUTED_VALUE"""),45664.0)</f>
        <v>45664</v>
      </c>
      <c r="C40" s="1" t="str">
        <f>IFERROR(__xludf.DUMMYFUNCTION("""COMPUTED_VALUE"""),"SH000816905305")</f>
        <v>SH000816905305</v>
      </c>
      <c r="D40" s="1" t="str">
        <f>IFERROR(__xludf.DUMMYFUNCTION("""COMPUTED_VALUE"""),"SiLumayanCepat")</f>
        <v>SiLumayanCepat</v>
      </c>
      <c r="E40" s="1" t="str">
        <f>IFERROR(__xludf.DUMMYFUNCTION("""COMPUTED_VALUE"""),"Lee Je Hoon")</f>
        <v>Lee Je Hoon</v>
      </c>
      <c r="F40" s="1" t="str">
        <f>IFERROR(__xludf.DUMMYFUNCTION("""COMPUTED_VALUE"""),"Bandung")</f>
        <v>Bandung</v>
      </c>
      <c r="G40" s="1" t="str">
        <f>IFERROR(__xludf.DUMMYFUNCTION("""COMPUTED_VALUE"""),"Linen Shirt - Slimfit - Black")</f>
        <v>Linen Shirt - Slimfit - Black</v>
      </c>
      <c r="H40" s="68">
        <f>IFERROR(__xludf.DUMMYFUNCTION("""COMPUTED_VALUE"""),229000.0)</f>
        <v>229000</v>
      </c>
      <c r="I40" s="68">
        <f>IFERROR(__xludf.DUMMYFUNCTION("""COMPUTED_VALUE"""),1.0)</f>
        <v>1</v>
      </c>
      <c r="J40" s="68">
        <f>IFERROR(__xludf.DUMMYFUNCTION("""COMPUTED_VALUE"""),229000.0)</f>
        <v>229000</v>
      </c>
      <c r="K40" s="68">
        <f>IFERROR(__xludf.DUMMYFUNCTION("""COMPUTED_VALUE"""),687000.0)</f>
        <v>687000</v>
      </c>
      <c r="L40" s="1" t="str">
        <f>IFERROR(__xludf.DUMMYFUNCTION("""COMPUTED_VALUE"""),"Shirt")</f>
        <v>Shirt</v>
      </c>
    </row>
    <row r="41">
      <c r="A41" s="1" t="str">
        <f>IFERROR(__xludf.DUMMYFUNCTION("""COMPUTED_VALUE"""),"EF129722798455434")</f>
        <v>EF129722798455434</v>
      </c>
      <c r="B41" s="67">
        <f>IFERROR(__xludf.DUMMYFUNCTION("""COMPUTED_VALUE"""),45667.0)</f>
        <v>45667</v>
      </c>
      <c r="C41" s="1" t="str">
        <f>IFERROR(__xludf.DUMMYFUNCTION("""COMPUTED_VALUE"""),"SH000816903177")</f>
        <v>SH000816903177</v>
      </c>
      <c r="D41" s="1" t="str">
        <f>IFERROR(__xludf.DUMMYFUNCTION("""COMPUTED_VALUE"""),"JemputAja")</f>
        <v>JemputAja</v>
      </c>
      <c r="E41" s="1" t="str">
        <f>IFERROR(__xludf.DUMMYFUNCTION("""COMPUTED_VALUE"""),"Timo Werner")</f>
        <v>Timo Werner</v>
      </c>
      <c r="F41" s="1" t="str">
        <f>IFERROR(__xludf.DUMMYFUNCTION("""COMPUTED_VALUE"""),"Denpasar")</f>
        <v>Denpasar</v>
      </c>
      <c r="G41" s="1" t="str">
        <f>IFERROR(__xludf.DUMMYFUNCTION("""COMPUTED_VALUE"""),"Running Pants - Black")</f>
        <v>Running Pants - Black</v>
      </c>
      <c r="H41" s="68">
        <f>IFERROR(__xludf.DUMMYFUNCTION("""COMPUTED_VALUE"""),149000.0)</f>
        <v>149000</v>
      </c>
      <c r="I41" s="68">
        <f>IFERROR(__xludf.DUMMYFUNCTION("""COMPUTED_VALUE"""),1.0)</f>
        <v>1</v>
      </c>
      <c r="J41" s="68">
        <f>IFERROR(__xludf.DUMMYFUNCTION("""COMPUTED_VALUE"""),149000.0)</f>
        <v>149000</v>
      </c>
      <c r="K41" s="68">
        <f>IFERROR(__xludf.DUMMYFUNCTION("""COMPUTED_VALUE"""),149000.0)</f>
        <v>149000</v>
      </c>
      <c r="L41" s="1" t="str">
        <f>IFERROR(__xludf.DUMMYFUNCTION("""COMPUTED_VALUE"""),"Sportswear")</f>
        <v>Sportswear</v>
      </c>
    </row>
    <row r="42">
      <c r="A42" s="1" t="str">
        <f>IFERROR(__xludf.DUMMYFUNCTION("""COMPUTED_VALUE"""),"EF131236123816111")</f>
        <v>EF131236123816111</v>
      </c>
      <c r="B42" s="67">
        <f>IFERROR(__xludf.DUMMYFUNCTION("""COMPUTED_VALUE"""),45667.0)</f>
        <v>45667</v>
      </c>
      <c r="C42" s="1" t="str">
        <f>IFERROR(__xludf.DUMMYFUNCTION("""COMPUTED_VALUE"""),"SH000817828487")</f>
        <v>SH000817828487</v>
      </c>
      <c r="D42" s="1" t="str">
        <f>IFERROR(__xludf.DUMMYFUNCTION("""COMPUTED_VALUE"""),"SiLumayanCepat")</f>
        <v>SiLumayanCepat</v>
      </c>
      <c r="E42" s="1" t="str">
        <f>IFERROR(__xludf.DUMMYFUNCTION("""COMPUTED_VALUE"""),"Sadio Mané")</f>
        <v>Sadio Mané</v>
      </c>
      <c r="F42" s="1" t="str">
        <f>IFERROR(__xludf.DUMMYFUNCTION("""COMPUTED_VALUE"""),"Makassar")</f>
        <v>Makassar</v>
      </c>
      <c r="G42" s="1" t="str">
        <f>IFERROR(__xludf.DUMMYFUNCTION("""COMPUTED_VALUE"""),"Basic Shirt - Grey")</f>
        <v>Basic Shirt - Grey</v>
      </c>
      <c r="H42" s="68">
        <f>IFERROR(__xludf.DUMMYFUNCTION("""COMPUTED_VALUE"""),129000.0)</f>
        <v>129000</v>
      </c>
      <c r="I42" s="68">
        <f>IFERROR(__xludf.DUMMYFUNCTION("""COMPUTED_VALUE"""),1.0)</f>
        <v>1</v>
      </c>
      <c r="J42" s="68">
        <f>IFERROR(__xludf.DUMMYFUNCTION("""COMPUTED_VALUE"""),129000.0)</f>
        <v>129000</v>
      </c>
      <c r="K42" s="68">
        <f>IFERROR(__xludf.DUMMYFUNCTION("""COMPUTED_VALUE"""),129000.0)</f>
        <v>129000</v>
      </c>
      <c r="L42" s="1" t="str">
        <f>IFERROR(__xludf.DUMMYFUNCTION("""COMPUTED_VALUE"""),"Shirt")</f>
        <v>Shirt</v>
      </c>
    </row>
    <row r="43">
      <c r="A43" s="1" t="str">
        <f>IFERROR(__xludf.DUMMYFUNCTION("""COMPUTED_VALUE"""),"EF129760418066986")</f>
        <v>EF129760418066986</v>
      </c>
      <c r="B43" s="67">
        <f>IFERROR(__xludf.DUMMYFUNCTION("""COMPUTED_VALUE"""),45668.0)</f>
        <v>45668</v>
      </c>
      <c r="C43" s="1" t="str">
        <f>IFERROR(__xludf.DUMMYFUNCTION("""COMPUTED_VALUE"""),"SHJP1529505367")</f>
        <v>SHJP1529505367</v>
      </c>
      <c r="D43" s="1" t="str">
        <f>IFERROR(__xludf.DUMMYFUNCTION("""COMPUTED_VALUE"""),"J&amp;G Compress")</f>
        <v>J&amp;G Compress</v>
      </c>
      <c r="E43" s="1" t="str">
        <f>IFERROR(__xludf.DUMMYFUNCTION("""COMPUTED_VALUE"""),"Willy Caballero")</f>
        <v>Willy Caballero</v>
      </c>
      <c r="F43" s="1" t="str">
        <f>IFERROR(__xludf.DUMMYFUNCTION("""COMPUTED_VALUE"""),"Jakarta")</f>
        <v>Jakarta</v>
      </c>
      <c r="G43" s="1" t="str">
        <f>IFERROR(__xludf.DUMMYFUNCTION("""COMPUTED_VALUE"""),"Running Pants - Grey")</f>
        <v>Running Pants - Grey</v>
      </c>
      <c r="H43" s="68">
        <f>IFERROR(__xludf.DUMMYFUNCTION("""COMPUTED_VALUE"""),149000.0)</f>
        <v>149000</v>
      </c>
      <c r="I43" s="68">
        <f>IFERROR(__xludf.DUMMYFUNCTION("""COMPUTED_VALUE"""),1.0)</f>
        <v>1</v>
      </c>
      <c r="J43" s="68">
        <f>IFERROR(__xludf.DUMMYFUNCTION("""COMPUTED_VALUE"""),149000.0)</f>
        <v>149000</v>
      </c>
      <c r="K43" s="68">
        <f>IFERROR(__xludf.DUMMYFUNCTION("""COMPUTED_VALUE"""),149000.0)</f>
        <v>149000</v>
      </c>
      <c r="L43" s="1" t="str">
        <f>IFERROR(__xludf.DUMMYFUNCTION("""COMPUTED_VALUE"""),"Sportswear")</f>
        <v>Sportswear</v>
      </c>
    </row>
    <row r="44">
      <c r="A44" s="1" t="str">
        <f>IFERROR(__xludf.DUMMYFUNCTION("""COMPUTED_VALUE"""),"EF131274182292018")</f>
        <v>EF131274182292018</v>
      </c>
      <c r="B44" s="67">
        <f>IFERROR(__xludf.DUMMYFUNCTION("""COMPUTED_VALUE"""),45668.0)</f>
        <v>45668</v>
      </c>
      <c r="C44" s="1" t="str">
        <f>IFERROR(__xludf.DUMMYFUNCTION("""COMPUTED_VALUE"""),"SH000817375021")</f>
        <v>SH000817375021</v>
      </c>
      <c r="D44" s="1" t="str">
        <f>IFERROR(__xludf.DUMMYFUNCTION("""COMPUTED_VALUE"""),"SiLumayanCepat")</f>
        <v>SiLumayanCepat</v>
      </c>
      <c r="E44" s="1" t="str">
        <f>IFERROR(__xludf.DUMMYFUNCTION("""COMPUTED_VALUE"""),"Mohamed Salah")</f>
        <v>Mohamed Salah</v>
      </c>
      <c r="F44" s="1" t="str">
        <f>IFERROR(__xludf.DUMMYFUNCTION("""COMPUTED_VALUE"""),"Malang")</f>
        <v>Malang</v>
      </c>
      <c r="G44" s="1" t="str">
        <f>IFERROR(__xludf.DUMMYFUNCTION("""COMPUTED_VALUE"""),"Basic Shirt - Navy")</f>
        <v>Basic Shirt - Navy</v>
      </c>
      <c r="H44" s="68">
        <f>IFERROR(__xludf.DUMMYFUNCTION("""COMPUTED_VALUE"""),129000.0)</f>
        <v>129000</v>
      </c>
      <c r="I44" s="68">
        <f>IFERROR(__xludf.DUMMYFUNCTION("""COMPUTED_VALUE"""),3.0)</f>
        <v>3</v>
      </c>
      <c r="J44" s="68">
        <f>IFERROR(__xludf.DUMMYFUNCTION("""COMPUTED_VALUE"""),387000.0)</f>
        <v>387000</v>
      </c>
      <c r="K44" s="68">
        <f>IFERROR(__xludf.DUMMYFUNCTION("""COMPUTED_VALUE"""),387000.0)</f>
        <v>387000</v>
      </c>
      <c r="L44" s="1" t="str">
        <f>IFERROR(__xludf.DUMMYFUNCTION("""COMPUTED_VALUE"""),"Shirt")</f>
        <v>Shirt</v>
      </c>
    </row>
    <row r="45">
      <c r="A45" s="1" t="str">
        <f>IFERROR(__xludf.DUMMYFUNCTION("""COMPUTED_VALUE"""),"EF129798048588225")</f>
        <v>EF129798048588225</v>
      </c>
      <c r="B45" s="67">
        <f>IFERROR(__xludf.DUMMYFUNCTION("""COMPUTED_VALUE"""),45669.0)</f>
        <v>45669</v>
      </c>
      <c r="C45" s="1" t="str">
        <f>IFERROR(__xludf.DUMMYFUNCTION("""COMPUTED_VALUE"""),"SH000816960884")</f>
        <v>SH000816960884</v>
      </c>
      <c r="D45" s="1" t="str">
        <f>IFERROR(__xludf.DUMMYFUNCTION("""COMPUTED_VALUE"""),"JemputAja")</f>
        <v>JemputAja</v>
      </c>
      <c r="E45" s="1" t="str">
        <f>IFERROR(__xludf.DUMMYFUNCTION("""COMPUTED_VALUE"""),"Fikayo Tomori")</f>
        <v>Fikayo Tomori</v>
      </c>
      <c r="F45" s="1" t="str">
        <f>IFERROR(__xludf.DUMMYFUNCTION("""COMPUTED_VALUE"""),"Jambi")</f>
        <v>Jambi</v>
      </c>
      <c r="G45" s="1" t="str">
        <f>IFERROR(__xludf.DUMMYFUNCTION("""COMPUTED_VALUE"""),"Running Pants - Navy")</f>
        <v>Running Pants - Navy</v>
      </c>
      <c r="H45" s="68">
        <f>IFERROR(__xludf.DUMMYFUNCTION("""COMPUTED_VALUE"""),149000.0)</f>
        <v>149000</v>
      </c>
      <c r="I45" s="68">
        <f>IFERROR(__xludf.DUMMYFUNCTION("""COMPUTED_VALUE"""),1.0)</f>
        <v>1</v>
      </c>
      <c r="J45" s="68">
        <f>IFERROR(__xludf.DUMMYFUNCTION("""COMPUTED_VALUE"""),149000.0)</f>
        <v>149000</v>
      </c>
      <c r="K45" s="68">
        <f>IFERROR(__xludf.DUMMYFUNCTION("""COMPUTED_VALUE"""),149000.0)</f>
        <v>149000</v>
      </c>
      <c r="L45" s="1" t="str">
        <f>IFERROR(__xludf.DUMMYFUNCTION("""COMPUTED_VALUE"""),"Sportswear")</f>
        <v>Sportswear</v>
      </c>
    </row>
    <row r="46">
      <c r="A46" s="1" t="str">
        <f>IFERROR(__xludf.DUMMYFUNCTION("""COMPUTED_VALUE"""),"EF131312251804883")</f>
        <v>EF131312251804883</v>
      </c>
      <c r="B46" s="67">
        <f>IFERROR(__xludf.DUMMYFUNCTION("""COMPUTED_VALUE"""),45669.0)</f>
        <v>45669</v>
      </c>
      <c r="C46" s="1" t="str">
        <f>IFERROR(__xludf.DUMMYFUNCTION("""COMPUTED_VALUE"""),"SH000817375020")</f>
        <v>SH000817375020</v>
      </c>
      <c r="D46" s="1" t="str">
        <f>IFERROR(__xludf.DUMMYFUNCTION("""COMPUTED_VALUE"""),"SiLumayanCepat")</f>
        <v>SiLumayanCepat</v>
      </c>
      <c r="E46" s="1" t="str">
        <f>IFERROR(__xludf.DUMMYFUNCTION("""COMPUTED_VALUE"""),"Takumi Minamino")</f>
        <v>Takumi Minamino</v>
      </c>
      <c r="F46" s="1" t="str">
        <f>IFERROR(__xludf.DUMMYFUNCTION("""COMPUTED_VALUE"""),"Manado")</f>
        <v>Manado</v>
      </c>
      <c r="G46" s="1" t="str">
        <f>IFERROR(__xludf.DUMMYFUNCTION("""COMPUTED_VALUE"""),"Basic Shirt - White")</f>
        <v>Basic Shirt - White</v>
      </c>
      <c r="H46" s="68">
        <f>IFERROR(__xludf.DUMMYFUNCTION("""COMPUTED_VALUE"""),129000.0)</f>
        <v>129000</v>
      </c>
      <c r="I46" s="68">
        <f>IFERROR(__xludf.DUMMYFUNCTION("""COMPUTED_VALUE"""),1.0)</f>
        <v>1</v>
      </c>
      <c r="J46" s="68">
        <f>IFERROR(__xludf.DUMMYFUNCTION("""COMPUTED_VALUE"""),129000.0)</f>
        <v>129000</v>
      </c>
      <c r="K46" s="68">
        <f>IFERROR(__xludf.DUMMYFUNCTION("""COMPUTED_VALUE"""),678000.0)</f>
        <v>678000</v>
      </c>
      <c r="L46" s="1" t="str">
        <f>IFERROR(__xludf.DUMMYFUNCTION("""COMPUTED_VALUE"""),"Shirt")</f>
        <v>Shirt</v>
      </c>
    </row>
    <row r="47">
      <c r="A47" s="1" t="str">
        <f>IFERROR(__xludf.DUMMYFUNCTION("""COMPUTED_VALUE"""),"EF131312251804883")</f>
        <v>EF131312251804883</v>
      </c>
      <c r="B47" s="67">
        <f>IFERROR(__xludf.DUMMYFUNCTION("""COMPUTED_VALUE"""),45669.0)</f>
        <v>45669</v>
      </c>
      <c r="C47" s="1" t="str">
        <f>IFERROR(__xludf.DUMMYFUNCTION("""COMPUTED_VALUE"""),"SH000817375020")</f>
        <v>SH000817375020</v>
      </c>
      <c r="D47" s="1" t="str">
        <f>IFERROR(__xludf.DUMMYFUNCTION("""COMPUTED_VALUE"""),"SiLumayanCepat")</f>
        <v>SiLumayanCepat</v>
      </c>
      <c r="E47" s="1" t="str">
        <f>IFERROR(__xludf.DUMMYFUNCTION("""COMPUTED_VALUE"""),"Takumi Minamino")</f>
        <v>Takumi Minamino</v>
      </c>
      <c r="F47" s="1" t="str">
        <f>IFERROR(__xludf.DUMMYFUNCTION("""COMPUTED_VALUE"""),"Manado")</f>
        <v>Manado</v>
      </c>
      <c r="G47" s="1" t="str">
        <f>IFERROR(__xludf.DUMMYFUNCTION("""COMPUTED_VALUE"""),"Chino Pants - Grey")</f>
        <v>Chino Pants - Grey</v>
      </c>
      <c r="H47" s="68">
        <f>IFERROR(__xludf.DUMMYFUNCTION("""COMPUTED_VALUE"""),175000.0)</f>
        <v>175000</v>
      </c>
      <c r="I47" s="68">
        <f>IFERROR(__xludf.DUMMYFUNCTION("""COMPUTED_VALUE"""),1.0)</f>
        <v>1</v>
      </c>
      <c r="J47" s="68">
        <f>IFERROR(__xludf.DUMMYFUNCTION("""COMPUTED_VALUE"""),175000.0)</f>
        <v>175000</v>
      </c>
      <c r="K47" s="68">
        <f>IFERROR(__xludf.DUMMYFUNCTION("""COMPUTED_VALUE"""),678000.0)</f>
        <v>678000</v>
      </c>
      <c r="L47" s="1" t="str">
        <f>IFERROR(__xludf.DUMMYFUNCTION("""COMPUTED_VALUE"""),"Pants")</f>
        <v>Pants</v>
      </c>
    </row>
    <row r="48">
      <c r="A48" s="1" t="str">
        <f>IFERROR(__xludf.DUMMYFUNCTION("""COMPUTED_VALUE"""),"EF131312251804883")</f>
        <v>EF131312251804883</v>
      </c>
      <c r="B48" s="67">
        <f>IFERROR(__xludf.DUMMYFUNCTION("""COMPUTED_VALUE"""),45669.0)</f>
        <v>45669</v>
      </c>
      <c r="C48" s="1" t="str">
        <f>IFERROR(__xludf.DUMMYFUNCTION("""COMPUTED_VALUE"""),"SH000817375020")</f>
        <v>SH000817375020</v>
      </c>
      <c r="D48" s="1" t="str">
        <f>IFERROR(__xludf.DUMMYFUNCTION("""COMPUTED_VALUE"""),"SiLumayanCepat")</f>
        <v>SiLumayanCepat</v>
      </c>
      <c r="E48" s="1" t="str">
        <f>IFERROR(__xludf.DUMMYFUNCTION("""COMPUTED_VALUE"""),"Takumi Minamino")</f>
        <v>Takumi Minamino</v>
      </c>
      <c r="F48" s="1" t="str">
        <f>IFERROR(__xludf.DUMMYFUNCTION("""COMPUTED_VALUE"""),"Manado")</f>
        <v>Manado</v>
      </c>
      <c r="G48" s="1" t="str">
        <f>IFERROR(__xludf.DUMMYFUNCTION("""COMPUTED_VALUE"""),"Chino Pants - Khaki")</f>
        <v>Chino Pants - Khaki</v>
      </c>
      <c r="H48" s="68">
        <f>IFERROR(__xludf.DUMMYFUNCTION("""COMPUTED_VALUE"""),175000.0)</f>
        <v>175000</v>
      </c>
      <c r="I48" s="68">
        <f>IFERROR(__xludf.DUMMYFUNCTION("""COMPUTED_VALUE"""),1.0)</f>
        <v>1</v>
      </c>
      <c r="J48" s="68">
        <f>IFERROR(__xludf.DUMMYFUNCTION("""COMPUTED_VALUE"""),175000.0)</f>
        <v>175000</v>
      </c>
      <c r="K48" s="68">
        <f>IFERROR(__xludf.DUMMYFUNCTION("""COMPUTED_VALUE"""),678000.0)</f>
        <v>678000</v>
      </c>
      <c r="L48" s="1" t="str">
        <f>IFERROR(__xludf.DUMMYFUNCTION("""COMPUTED_VALUE"""),"Pants")</f>
        <v>Pants</v>
      </c>
    </row>
    <row r="49">
      <c r="A49" s="1" t="str">
        <f>IFERROR(__xludf.DUMMYFUNCTION("""COMPUTED_VALUE"""),"EF131312251804883")</f>
        <v>EF131312251804883</v>
      </c>
      <c r="B49" s="67">
        <f>IFERROR(__xludf.DUMMYFUNCTION("""COMPUTED_VALUE"""),45669.0)</f>
        <v>45669</v>
      </c>
      <c r="C49" s="1" t="str">
        <f>IFERROR(__xludf.DUMMYFUNCTION("""COMPUTED_VALUE"""),"SH000817375020")</f>
        <v>SH000817375020</v>
      </c>
      <c r="D49" s="1" t="str">
        <f>IFERROR(__xludf.DUMMYFUNCTION("""COMPUTED_VALUE"""),"SiLumayanCepat")</f>
        <v>SiLumayanCepat</v>
      </c>
      <c r="E49" s="1" t="str">
        <f>IFERROR(__xludf.DUMMYFUNCTION("""COMPUTED_VALUE"""),"Takumi Minamino")</f>
        <v>Takumi Minamino</v>
      </c>
      <c r="F49" s="1" t="str">
        <f>IFERROR(__xludf.DUMMYFUNCTION("""COMPUTED_VALUE"""),"Manado")</f>
        <v>Manado</v>
      </c>
      <c r="G49" s="1" t="str">
        <f>IFERROR(__xludf.DUMMYFUNCTION("""COMPUTED_VALUE"""),"Running Jacket - Black")</f>
        <v>Running Jacket - Black</v>
      </c>
      <c r="H49" s="68">
        <f>IFERROR(__xludf.DUMMYFUNCTION("""COMPUTED_VALUE"""),199000.0)</f>
        <v>199000</v>
      </c>
      <c r="I49" s="68">
        <f>IFERROR(__xludf.DUMMYFUNCTION("""COMPUTED_VALUE"""),1.0)</f>
        <v>1</v>
      </c>
      <c r="J49" s="68">
        <f>IFERROR(__xludf.DUMMYFUNCTION("""COMPUTED_VALUE"""),199000.0)</f>
        <v>199000</v>
      </c>
      <c r="K49" s="68">
        <f>IFERROR(__xludf.DUMMYFUNCTION("""COMPUTED_VALUE"""),678000.0)</f>
        <v>678000</v>
      </c>
      <c r="L49" s="1" t="str">
        <f>IFERROR(__xludf.DUMMYFUNCTION("""COMPUTED_VALUE"""),"Sportswear")</f>
        <v>Sportswear</v>
      </c>
    </row>
    <row r="50">
      <c r="A50" s="1" t="str">
        <f>IFERROR(__xludf.DUMMYFUNCTION("""COMPUTED_VALUE"""),"EF129835690022316")</f>
        <v>EF129835690022316</v>
      </c>
      <c r="B50" s="67">
        <f>IFERROR(__xludf.DUMMYFUNCTION("""COMPUTED_VALUE"""),45670.0)</f>
        <v>45670</v>
      </c>
      <c r="C50" s="1" t="str">
        <f>IFERROR(__xludf.DUMMYFUNCTION("""COMPUTED_VALUE"""),"SH000816905072")</f>
        <v>SH000816905072</v>
      </c>
      <c r="D50" s="1" t="str">
        <f>IFERROR(__xludf.DUMMYFUNCTION("""COMPUTED_VALUE"""),"SiLumayanCepat")</f>
        <v>SiLumayanCepat</v>
      </c>
      <c r="E50" s="1" t="str">
        <f>IFERROR(__xludf.DUMMYFUNCTION("""COMPUTED_VALUE"""),"Kurt Zouma")</f>
        <v>Kurt Zouma</v>
      </c>
      <c r="F50" s="1" t="str">
        <f>IFERROR(__xludf.DUMMYFUNCTION("""COMPUTED_VALUE"""),"Lampung")</f>
        <v>Lampung</v>
      </c>
      <c r="G50" s="1" t="str">
        <f>IFERROR(__xludf.DUMMYFUNCTION("""COMPUTED_VALUE"""),"Running Sneakers - Black")</f>
        <v>Running Sneakers - Black</v>
      </c>
      <c r="H50" s="68">
        <f>IFERROR(__xludf.DUMMYFUNCTION("""COMPUTED_VALUE"""),349000.0)</f>
        <v>349000</v>
      </c>
      <c r="I50" s="68">
        <f>IFERROR(__xludf.DUMMYFUNCTION("""COMPUTED_VALUE"""),2.0)</f>
        <v>2</v>
      </c>
      <c r="J50" s="68">
        <f>IFERROR(__xludf.DUMMYFUNCTION("""COMPUTED_VALUE"""),698000.0)</f>
        <v>698000</v>
      </c>
      <c r="K50" s="68">
        <f>IFERROR(__xludf.DUMMYFUNCTION("""COMPUTED_VALUE"""),698000.0)</f>
        <v>698000</v>
      </c>
      <c r="L50" s="1" t="str">
        <f>IFERROR(__xludf.DUMMYFUNCTION("""COMPUTED_VALUE"""),"Sportswear")</f>
        <v>Sportswear</v>
      </c>
    </row>
    <row r="51">
      <c r="A51" s="1" t="str">
        <f>IFERROR(__xludf.DUMMYFUNCTION("""COMPUTED_VALUE"""),"EF132882644268052")</f>
        <v>EF132882644268052</v>
      </c>
      <c r="B51" s="67">
        <f>IFERROR(__xludf.DUMMYFUNCTION("""COMPUTED_VALUE"""),45670.0)</f>
        <v>45670</v>
      </c>
      <c r="C51" s="1" t="str">
        <f>IFERROR(__xludf.DUMMYFUNCTION("""COMPUTED_VALUE"""),"SH000818208940")</f>
        <v>SH000818208940</v>
      </c>
      <c r="D51" s="1" t="str">
        <f>IFERROR(__xludf.DUMMYFUNCTION("""COMPUTED_VALUE"""),"SiLumayanCepat")</f>
        <v>SiLumayanCepat</v>
      </c>
      <c r="E51" s="1" t="str">
        <f>IFERROR(__xludf.DUMMYFUNCTION("""COMPUTED_VALUE"""),"Nathan Aké")</f>
        <v>Nathan Aké</v>
      </c>
      <c r="F51" s="1" t="str">
        <f>IFERROR(__xludf.DUMMYFUNCTION("""COMPUTED_VALUE"""),"Yogyakarta")</f>
        <v>Yogyakarta</v>
      </c>
      <c r="G51" s="1" t="str">
        <f>IFERROR(__xludf.DUMMYFUNCTION("""COMPUTED_VALUE"""),"Running Jacket - Black")</f>
        <v>Running Jacket - Black</v>
      </c>
      <c r="H51" s="68">
        <f>IFERROR(__xludf.DUMMYFUNCTION("""COMPUTED_VALUE"""),199000.0)</f>
        <v>199000</v>
      </c>
      <c r="I51" s="68">
        <f>IFERROR(__xludf.DUMMYFUNCTION("""COMPUTED_VALUE"""),1.0)</f>
        <v>1</v>
      </c>
      <c r="J51" s="68">
        <f>IFERROR(__xludf.DUMMYFUNCTION("""COMPUTED_VALUE"""),199000.0)</f>
        <v>199000</v>
      </c>
      <c r="K51" s="68">
        <f>IFERROR(__xludf.DUMMYFUNCTION("""COMPUTED_VALUE"""),199000.0)</f>
        <v>199000</v>
      </c>
      <c r="L51" s="1" t="str">
        <f>IFERROR(__xludf.DUMMYFUNCTION("""COMPUTED_VALUE"""),"Sportswear")</f>
        <v>Sportswear</v>
      </c>
    </row>
    <row r="52">
      <c r="A52" s="1" t="str">
        <f>IFERROR(__xludf.DUMMYFUNCTION("""COMPUTED_VALUE"""),"EF129873342372422")</f>
        <v>EF129873342372422</v>
      </c>
      <c r="B52" s="67">
        <f>IFERROR(__xludf.DUMMYFUNCTION("""COMPUTED_VALUE"""),45671.0)</f>
        <v>45671</v>
      </c>
      <c r="C52" s="1" t="str">
        <f>IFERROR(__xludf.DUMMYFUNCTION("""COMPUTED_VALUE"""),"SHJP1928989692")</f>
        <v>SHJP1928989692</v>
      </c>
      <c r="D52" s="1" t="str">
        <f>IFERROR(__xludf.DUMMYFUNCTION("""COMPUTED_VALUE"""),"J&amp;G Compress")</f>
        <v>J&amp;G Compress</v>
      </c>
      <c r="E52" s="1" t="str">
        <f>IFERROR(__xludf.DUMMYFUNCTION("""COMPUTED_VALUE"""),"Édouard Mendy")</f>
        <v>Édouard Mendy</v>
      </c>
      <c r="F52" s="1" t="str">
        <f>IFERROR(__xludf.DUMMYFUNCTION("""COMPUTED_VALUE"""),"Makassar")</f>
        <v>Makassar</v>
      </c>
      <c r="G52" s="1" t="str">
        <f>IFERROR(__xludf.DUMMYFUNCTION("""COMPUTED_VALUE"""),"Linen Shirt - Slimfit - Grey")</f>
        <v>Linen Shirt - Slimfit - Grey</v>
      </c>
      <c r="H52" s="68">
        <f>IFERROR(__xludf.DUMMYFUNCTION("""COMPUTED_VALUE"""),229000.0)</f>
        <v>229000</v>
      </c>
      <c r="I52" s="68">
        <f>IFERROR(__xludf.DUMMYFUNCTION("""COMPUTED_VALUE"""),1.0)</f>
        <v>1</v>
      </c>
      <c r="J52" s="68">
        <f>IFERROR(__xludf.DUMMYFUNCTION("""COMPUTED_VALUE"""),229000.0)</f>
        <v>229000</v>
      </c>
      <c r="K52" s="68">
        <f>IFERROR(__xludf.DUMMYFUNCTION("""COMPUTED_VALUE"""),229000.0)</f>
        <v>229000</v>
      </c>
      <c r="L52" s="1" t="str">
        <f>IFERROR(__xludf.DUMMYFUNCTION("""COMPUTED_VALUE"""),"Shirt")</f>
        <v>Shirt</v>
      </c>
    </row>
    <row r="53">
      <c r="A53" s="1" t="str">
        <f>IFERROR(__xludf.DUMMYFUNCTION("""COMPUTED_VALUE"""),"EF132921180234890")</f>
        <v>EF132921180234890</v>
      </c>
      <c r="B53" s="67">
        <f>IFERROR(__xludf.DUMMYFUNCTION("""COMPUTED_VALUE"""),45671.0)</f>
        <v>45671</v>
      </c>
      <c r="C53" s="1" t="str">
        <f>IFERROR(__xludf.DUMMYFUNCTION("""COMPUTED_VALUE"""),"SH000818577553")</f>
        <v>SH000818577553</v>
      </c>
      <c r="D53" s="1" t="str">
        <f>IFERROR(__xludf.DUMMYFUNCTION("""COMPUTED_VALUE"""),"SiLumayanCepat")</f>
        <v>SiLumayanCepat</v>
      </c>
      <c r="E53" s="1" t="str">
        <f>IFERROR(__xludf.DUMMYFUNCTION("""COMPUTED_VALUE"""),"Sergio Agüero")</f>
        <v>Sergio Agüero</v>
      </c>
      <c r="F53" s="1" t="str">
        <f>IFERROR(__xludf.DUMMYFUNCTION("""COMPUTED_VALUE"""),"Mataram")</f>
        <v>Mataram</v>
      </c>
      <c r="G53" s="1" t="str">
        <f>IFERROR(__xludf.DUMMYFUNCTION("""COMPUTED_VALUE"""),"Running Jacket - Navy")</f>
        <v>Running Jacket - Navy</v>
      </c>
      <c r="H53" s="68">
        <f>IFERROR(__xludf.DUMMYFUNCTION("""COMPUTED_VALUE"""),199000.0)</f>
        <v>199000</v>
      </c>
      <c r="I53" s="68">
        <f>IFERROR(__xludf.DUMMYFUNCTION("""COMPUTED_VALUE"""),1.0)</f>
        <v>1</v>
      </c>
      <c r="J53" s="68">
        <f>IFERROR(__xludf.DUMMYFUNCTION("""COMPUTED_VALUE"""),199000.0)</f>
        <v>199000</v>
      </c>
      <c r="K53" s="68">
        <f>IFERROR(__xludf.DUMMYFUNCTION("""COMPUTED_VALUE"""),795000.0)</f>
        <v>795000</v>
      </c>
      <c r="L53" s="1" t="str">
        <f>IFERROR(__xludf.DUMMYFUNCTION("""COMPUTED_VALUE"""),"Sportswear")</f>
        <v>Sportswear</v>
      </c>
    </row>
    <row r="54">
      <c r="A54" s="1" t="str">
        <f>IFERROR(__xludf.DUMMYFUNCTION("""COMPUTED_VALUE"""),"EF132921180234890")</f>
        <v>EF132921180234890</v>
      </c>
      <c r="B54" s="67">
        <f>IFERROR(__xludf.DUMMYFUNCTION("""COMPUTED_VALUE"""),45671.0)</f>
        <v>45671</v>
      </c>
      <c r="C54" s="1" t="str">
        <f>IFERROR(__xludf.DUMMYFUNCTION("""COMPUTED_VALUE"""),"SH000818577553")</f>
        <v>SH000818577553</v>
      </c>
      <c r="D54" s="1" t="str">
        <f>IFERROR(__xludf.DUMMYFUNCTION("""COMPUTED_VALUE"""),"SiLumayanCepat")</f>
        <v>SiLumayanCepat</v>
      </c>
      <c r="E54" s="1" t="str">
        <f>IFERROR(__xludf.DUMMYFUNCTION("""COMPUTED_VALUE"""),"Sergio Agüero")</f>
        <v>Sergio Agüero</v>
      </c>
      <c r="F54" s="1" t="str">
        <f>IFERROR(__xludf.DUMMYFUNCTION("""COMPUTED_VALUE"""),"Mataram")</f>
        <v>Mataram</v>
      </c>
      <c r="G54" s="1" t="str">
        <f>IFERROR(__xludf.DUMMYFUNCTION("""COMPUTED_VALUE"""),"Running Pants - Black")</f>
        <v>Running Pants - Black</v>
      </c>
      <c r="H54" s="68">
        <f>IFERROR(__xludf.DUMMYFUNCTION("""COMPUTED_VALUE"""),149000.0)</f>
        <v>149000</v>
      </c>
      <c r="I54" s="68">
        <f>IFERROR(__xludf.DUMMYFUNCTION("""COMPUTED_VALUE"""),1.0)</f>
        <v>1</v>
      </c>
      <c r="J54" s="68">
        <f>IFERROR(__xludf.DUMMYFUNCTION("""COMPUTED_VALUE"""),149000.0)</f>
        <v>149000</v>
      </c>
      <c r="K54" s="68">
        <f>IFERROR(__xludf.DUMMYFUNCTION("""COMPUTED_VALUE"""),795000.0)</f>
        <v>795000</v>
      </c>
      <c r="L54" s="1" t="str">
        <f>IFERROR(__xludf.DUMMYFUNCTION("""COMPUTED_VALUE"""),"Sportswear")</f>
        <v>Sportswear</v>
      </c>
    </row>
    <row r="55">
      <c r="A55" s="1" t="str">
        <f>IFERROR(__xludf.DUMMYFUNCTION("""COMPUTED_VALUE"""),"EF132921180234890")</f>
        <v>EF132921180234890</v>
      </c>
      <c r="B55" s="67">
        <f>IFERROR(__xludf.DUMMYFUNCTION("""COMPUTED_VALUE"""),45671.0)</f>
        <v>45671</v>
      </c>
      <c r="C55" s="1" t="str">
        <f>IFERROR(__xludf.DUMMYFUNCTION("""COMPUTED_VALUE"""),"SH000818577553")</f>
        <v>SH000818577553</v>
      </c>
      <c r="D55" s="1" t="str">
        <f>IFERROR(__xludf.DUMMYFUNCTION("""COMPUTED_VALUE"""),"SiLumayanCepat")</f>
        <v>SiLumayanCepat</v>
      </c>
      <c r="E55" s="1" t="str">
        <f>IFERROR(__xludf.DUMMYFUNCTION("""COMPUTED_VALUE"""),"Sergio Agüero")</f>
        <v>Sergio Agüero</v>
      </c>
      <c r="F55" s="1" t="str">
        <f>IFERROR(__xludf.DUMMYFUNCTION("""COMPUTED_VALUE"""),"Mataram")</f>
        <v>Mataram</v>
      </c>
      <c r="G55" s="1" t="str">
        <f>IFERROR(__xludf.DUMMYFUNCTION("""COMPUTED_VALUE"""),"Running Pants - Grey")</f>
        <v>Running Pants - Grey</v>
      </c>
      <c r="H55" s="68">
        <f>IFERROR(__xludf.DUMMYFUNCTION("""COMPUTED_VALUE"""),149000.0)</f>
        <v>149000</v>
      </c>
      <c r="I55" s="68">
        <f>IFERROR(__xludf.DUMMYFUNCTION("""COMPUTED_VALUE"""),1.0)</f>
        <v>1</v>
      </c>
      <c r="J55" s="68">
        <f>IFERROR(__xludf.DUMMYFUNCTION("""COMPUTED_VALUE"""),149000.0)</f>
        <v>149000</v>
      </c>
      <c r="K55" s="68">
        <f>IFERROR(__xludf.DUMMYFUNCTION("""COMPUTED_VALUE"""),795000.0)</f>
        <v>795000</v>
      </c>
      <c r="L55" s="1" t="str">
        <f>IFERROR(__xludf.DUMMYFUNCTION("""COMPUTED_VALUE"""),"Sportswear")</f>
        <v>Sportswear</v>
      </c>
    </row>
    <row r="56">
      <c r="A56" s="1" t="str">
        <f>IFERROR(__xludf.DUMMYFUNCTION("""COMPUTED_VALUE"""),"EF132921180234890")</f>
        <v>EF132921180234890</v>
      </c>
      <c r="B56" s="67">
        <f>IFERROR(__xludf.DUMMYFUNCTION("""COMPUTED_VALUE"""),45671.0)</f>
        <v>45671</v>
      </c>
      <c r="C56" s="1" t="str">
        <f>IFERROR(__xludf.DUMMYFUNCTION("""COMPUTED_VALUE"""),"SH000818577553")</f>
        <v>SH000818577553</v>
      </c>
      <c r="D56" s="1" t="str">
        <f>IFERROR(__xludf.DUMMYFUNCTION("""COMPUTED_VALUE"""),"SiLumayanCepat")</f>
        <v>SiLumayanCepat</v>
      </c>
      <c r="E56" s="1" t="str">
        <f>IFERROR(__xludf.DUMMYFUNCTION("""COMPUTED_VALUE"""),"Sergio Agüero")</f>
        <v>Sergio Agüero</v>
      </c>
      <c r="F56" s="1" t="str">
        <f>IFERROR(__xludf.DUMMYFUNCTION("""COMPUTED_VALUE"""),"Mataram")</f>
        <v>Mataram</v>
      </c>
      <c r="G56" s="1" t="str">
        <f>IFERROR(__xludf.DUMMYFUNCTION("""COMPUTED_VALUE"""),"Running Pants - Navy")</f>
        <v>Running Pants - Navy</v>
      </c>
      <c r="H56" s="68">
        <f>IFERROR(__xludf.DUMMYFUNCTION("""COMPUTED_VALUE"""),149000.0)</f>
        <v>149000</v>
      </c>
      <c r="I56" s="68">
        <f>IFERROR(__xludf.DUMMYFUNCTION("""COMPUTED_VALUE"""),2.0)</f>
        <v>2</v>
      </c>
      <c r="J56" s="68">
        <f>IFERROR(__xludf.DUMMYFUNCTION("""COMPUTED_VALUE"""),298000.0)</f>
        <v>298000</v>
      </c>
      <c r="K56" s="68">
        <f>IFERROR(__xludf.DUMMYFUNCTION("""COMPUTED_VALUE"""),795000.0)</f>
        <v>795000</v>
      </c>
      <c r="L56" s="1" t="str">
        <f>IFERROR(__xludf.DUMMYFUNCTION("""COMPUTED_VALUE"""),"Sportswear")</f>
        <v>Sportswear</v>
      </c>
    </row>
    <row r="57">
      <c r="A57" s="1" t="str">
        <f>IFERROR(__xludf.DUMMYFUNCTION("""COMPUTED_VALUE"""),"EF129911005641710")</f>
        <v>EF129911005641710</v>
      </c>
      <c r="B57" s="67">
        <f>IFERROR(__xludf.DUMMYFUNCTION("""COMPUTED_VALUE"""),45672.0)</f>
        <v>45672</v>
      </c>
      <c r="C57" s="1" t="str">
        <f>IFERROR(__xludf.DUMMYFUNCTION("""COMPUTED_VALUE"""),"SH000816904862")</f>
        <v>SH000816904862</v>
      </c>
      <c r="D57" s="1" t="str">
        <f>IFERROR(__xludf.DUMMYFUNCTION("""COMPUTED_VALUE"""),"JemputAja")</f>
        <v>JemputAja</v>
      </c>
      <c r="E57" s="1" t="str">
        <f>IFERROR(__xludf.DUMMYFUNCTION("""COMPUTED_VALUE"""),"Mateo Kovačić")</f>
        <v>Mateo Kovačić</v>
      </c>
      <c r="F57" s="1" t="str">
        <f>IFERROR(__xludf.DUMMYFUNCTION("""COMPUTED_VALUE"""),"Malang")</f>
        <v>Malang</v>
      </c>
      <c r="G57" s="1" t="str">
        <f>IFERROR(__xludf.DUMMYFUNCTION("""COMPUTED_VALUE"""),"Linen Shirt - Slimfit - Navy")</f>
        <v>Linen Shirt - Slimfit - Navy</v>
      </c>
      <c r="H57" s="68">
        <f>IFERROR(__xludf.DUMMYFUNCTION("""COMPUTED_VALUE"""),229000.0)</f>
        <v>229000</v>
      </c>
      <c r="I57" s="68">
        <f>IFERROR(__xludf.DUMMYFUNCTION("""COMPUTED_VALUE"""),1.0)</f>
        <v>1</v>
      </c>
      <c r="J57" s="68">
        <f>IFERROR(__xludf.DUMMYFUNCTION("""COMPUTED_VALUE"""),229000.0)</f>
        <v>229000</v>
      </c>
      <c r="K57" s="68">
        <f>IFERROR(__xludf.DUMMYFUNCTION("""COMPUTED_VALUE"""),229000.0)</f>
        <v>229000</v>
      </c>
      <c r="L57" s="1" t="str">
        <f>IFERROR(__xludf.DUMMYFUNCTION("""COMPUTED_VALUE"""),"Shirt")</f>
        <v>Shirt</v>
      </c>
    </row>
    <row r="58">
      <c r="A58" s="1" t="str">
        <f>IFERROR(__xludf.DUMMYFUNCTION("""COMPUTED_VALUE"""),"EF129948679833346")</f>
        <v>EF129948679833346</v>
      </c>
      <c r="B58" s="67">
        <f>IFERROR(__xludf.DUMMYFUNCTION("""COMPUTED_VALUE"""),45673.0)</f>
        <v>45673</v>
      </c>
      <c r="C58" s="1" t="str">
        <f>IFERROR(__xludf.DUMMYFUNCTION("""COMPUTED_VALUE"""),"SH000816903683")</f>
        <v>SH000816903683</v>
      </c>
      <c r="D58" s="1" t="str">
        <f>IFERROR(__xludf.DUMMYFUNCTION("""COMPUTED_VALUE"""),"SiLumayanCepat")</f>
        <v>SiLumayanCepat</v>
      </c>
      <c r="E58" s="1" t="str">
        <f>IFERROR(__xludf.DUMMYFUNCTION("""COMPUTED_VALUE"""),"Olivier Giroud")</f>
        <v>Olivier Giroud</v>
      </c>
      <c r="F58" s="1" t="str">
        <f>IFERROR(__xludf.DUMMYFUNCTION("""COMPUTED_VALUE"""),"Manado")</f>
        <v>Manado</v>
      </c>
      <c r="G58" s="1" t="str">
        <f>IFERROR(__xludf.DUMMYFUNCTION("""COMPUTED_VALUE"""),"Linen Shirt - Slimfit - Khaki")</f>
        <v>Linen Shirt - Slimfit - Khaki</v>
      </c>
      <c r="H58" s="68">
        <f>IFERROR(__xludf.DUMMYFUNCTION("""COMPUTED_VALUE"""),229000.0)</f>
        <v>229000</v>
      </c>
      <c r="I58" s="68">
        <f>IFERROR(__xludf.DUMMYFUNCTION("""COMPUTED_VALUE"""),3.0)</f>
        <v>3</v>
      </c>
      <c r="J58" s="68">
        <f>IFERROR(__xludf.DUMMYFUNCTION("""COMPUTED_VALUE"""),687000.0)</f>
        <v>687000</v>
      </c>
      <c r="K58" s="68">
        <f>IFERROR(__xludf.DUMMYFUNCTION("""COMPUTED_VALUE"""),687000.0)</f>
        <v>687000</v>
      </c>
      <c r="L58" s="1" t="str">
        <f>IFERROR(__xludf.DUMMYFUNCTION("""COMPUTED_VALUE"""),"Shirt")</f>
        <v>Shirt</v>
      </c>
    </row>
    <row r="59">
      <c r="A59" s="1" t="str">
        <f>IFERROR(__xludf.DUMMYFUNCTION("""COMPUTED_VALUE"""),"EF131464640289950")</f>
        <v>EF131464640289950</v>
      </c>
      <c r="B59" s="67">
        <f>IFERROR(__xludf.DUMMYFUNCTION("""COMPUTED_VALUE"""),45673.0)</f>
        <v>45673</v>
      </c>
      <c r="C59" s="1" t="str">
        <f>IFERROR(__xludf.DUMMYFUNCTION("""COMPUTED_VALUE"""),"SH000818210806")</f>
        <v>SH000818210806</v>
      </c>
      <c r="D59" s="1" t="str">
        <f>IFERROR(__xludf.DUMMYFUNCTION("""COMPUTED_VALUE"""),"SiLumayanCepat")</f>
        <v>SiLumayanCepat</v>
      </c>
      <c r="E59" s="1" t="str">
        <f>IFERROR(__xludf.DUMMYFUNCTION("""COMPUTED_VALUE"""),"Victor Lindelöf")</f>
        <v>Victor Lindelöf</v>
      </c>
      <c r="F59" s="1" t="str">
        <f>IFERROR(__xludf.DUMMYFUNCTION("""COMPUTED_VALUE"""),"Pontianak")</f>
        <v>Pontianak</v>
      </c>
      <c r="G59" s="1" t="str">
        <f>IFERROR(__xludf.DUMMYFUNCTION("""COMPUTED_VALUE"""),"Running Jacket - Navy")</f>
        <v>Running Jacket - Navy</v>
      </c>
      <c r="H59" s="68">
        <f>IFERROR(__xludf.DUMMYFUNCTION("""COMPUTED_VALUE"""),199000.0)</f>
        <v>199000</v>
      </c>
      <c r="I59" s="68">
        <f>IFERROR(__xludf.DUMMYFUNCTION("""COMPUTED_VALUE"""),1.0)</f>
        <v>1</v>
      </c>
      <c r="J59" s="68">
        <f>IFERROR(__xludf.DUMMYFUNCTION("""COMPUTED_VALUE"""),199000.0)</f>
        <v>199000</v>
      </c>
      <c r="K59" s="68">
        <f>IFERROR(__xludf.DUMMYFUNCTION("""COMPUTED_VALUE"""),199000.0)</f>
        <v>199000</v>
      </c>
      <c r="L59" s="1" t="str">
        <f>IFERROR(__xludf.DUMMYFUNCTION("""COMPUTED_VALUE"""),"Sportswear")</f>
        <v>Sportswear</v>
      </c>
    </row>
    <row r="60">
      <c r="A60" s="1" t="str">
        <f>IFERROR(__xludf.DUMMYFUNCTION("""COMPUTED_VALUE"""),"EF129986364950498")</f>
        <v>EF129986364950498</v>
      </c>
      <c r="B60" s="67">
        <f>IFERROR(__xludf.DUMMYFUNCTION("""COMPUTED_VALUE"""),45674.0)</f>
        <v>45674</v>
      </c>
      <c r="C60" s="1" t="str">
        <f>IFERROR(__xludf.DUMMYFUNCTION("""COMPUTED_VALUE"""),"SHJP2696000516")</f>
        <v>SHJP2696000516</v>
      </c>
      <c r="D60" s="1" t="str">
        <f>IFERROR(__xludf.DUMMYFUNCTION("""COMPUTED_VALUE"""),"J&amp;G Compress")</f>
        <v>J&amp;G Compress</v>
      </c>
      <c r="E60" s="1" t="str">
        <f>IFERROR(__xludf.DUMMYFUNCTION("""COMPUTED_VALUE"""),"Mason Mount")</f>
        <v>Mason Mount</v>
      </c>
      <c r="F60" s="1" t="str">
        <f>IFERROR(__xludf.DUMMYFUNCTION("""COMPUTED_VALUE"""),"Medan")</f>
        <v>Medan</v>
      </c>
      <c r="G60" s="1" t="str">
        <f>IFERROR(__xludf.DUMMYFUNCTION("""COMPUTED_VALUE"""),"Linen Shirt - Slimfit - White")</f>
        <v>Linen Shirt - Slimfit - White</v>
      </c>
      <c r="H60" s="68">
        <f>IFERROR(__xludf.DUMMYFUNCTION("""COMPUTED_VALUE"""),229000.0)</f>
        <v>229000</v>
      </c>
      <c r="I60" s="68">
        <f>IFERROR(__xludf.DUMMYFUNCTION("""COMPUTED_VALUE"""),1.0)</f>
        <v>1</v>
      </c>
      <c r="J60" s="68">
        <f>IFERROR(__xludf.DUMMYFUNCTION("""COMPUTED_VALUE"""),229000.0)</f>
        <v>229000</v>
      </c>
      <c r="K60" s="68">
        <f>IFERROR(__xludf.DUMMYFUNCTION("""COMPUTED_VALUE"""),229000.0)</f>
        <v>229000</v>
      </c>
      <c r="L60" s="1" t="str">
        <f>IFERROR(__xludf.DUMMYFUNCTION("""COMPUTED_VALUE"""),"Shirt")</f>
        <v>Shirt</v>
      </c>
    </row>
    <row r="61">
      <c r="A61" s="1" t="str">
        <f>IFERROR(__xludf.DUMMYFUNCTION("""COMPUTED_VALUE"""),"EF131502765035634")</f>
        <v>EF131502765035634</v>
      </c>
      <c r="B61" s="67">
        <f>IFERROR(__xludf.DUMMYFUNCTION("""COMPUTED_VALUE"""),45674.0)</f>
        <v>45674</v>
      </c>
      <c r="C61" s="1" t="str">
        <f>IFERROR(__xludf.DUMMYFUNCTION("""COMPUTED_VALUE"""),"SH000816903539")</f>
        <v>SH000816903539</v>
      </c>
      <c r="D61" s="1" t="str">
        <f>IFERROR(__xludf.DUMMYFUNCTION("""COMPUTED_VALUE"""),"JemputAja")</f>
        <v>JemputAja</v>
      </c>
      <c r="E61" s="1" t="str">
        <f>IFERROR(__xludf.DUMMYFUNCTION("""COMPUTED_VALUE"""),"Eric Bailly")</f>
        <v>Eric Bailly</v>
      </c>
      <c r="F61" s="1" t="str">
        <f>IFERROR(__xludf.DUMMYFUNCTION("""COMPUTED_VALUE"""),"Samarinda")</f>
        <v>Samarinda</v>
      </c>
      <c r="G61" s="1" t="str">
        <f>IFERROR(__xludf.DUMMYFUNCTION("""COMPUTED_VALUE"""),"Running Pants - Black")</f>
        <v>Running Pants - Black</v>
      </c>
      <c r="H61" s="68">
        <f>IFERROR(__xludf.DUMMYFUNCTION("""COMPUTED_VALUE"""),149000.0)</f>
        <v>149000</v>
      </c>
      <c r="I61" s="68">
        <f>IFERROR(__xludf.DUMMYFUNCTION("""COMPUTED_VALUE"""),1.0)</f>
        <v>1</v>
      </c>
      <c r="J61" s="68">
        <f>IFERROR(__xludf.DUMMYFUNCTION("""COMPUTED_VALUE"""),149000.0)</f>
        <v>149000</v>
      </c>
      <c r="K61" s="68">
        <f>IFERROR(__xludf.DUMMYFUNCTION("""COMPUTED_VALUE"""),149000.0)</f>
        <v>149000</v>
      </c>
      <c r="L61" s="1" t="str">
        <f>IFERROR(__xludf.DUMMYFUNCTION("""COMPUTED_VALUE"""),"Sportswear")</f>
        <v>Sportswear</v>
      </c>
    </row>
    <row r="62">
      <c r="A62" s="1" t="str">
        <f>IFERROR(__xludf.DUMMYFUNCTION("""COMPUTED_VALUE"""),"EF130024060996333")</f>
        <v>EF130024060996333</v>
      </c>
      <c r="B62" s="67">
        <f>IFERROR(__xludf.DUMMYFUNCTION("""COMPUTED_VALUE"""),45675.0)</f>
        <v>45675</v>
      </c>
      <c r="C62" s="1" t="str">
        <f>IFERROR(__xludf.DUMMYFUNCTION("""COMPUTED_VALUE"""),"SH000817827245")</f>
        <v>SH000817827245</v>
      </c>
      <c r="D62" s="1" t="str">
        <f>IFERROR(__xludf.DUMMYFUNCTION("""COMPUTED_VALUE"""),"SiLumayanCepat")</f>
        <v>SiLumayanCepat</v>
      </c>
      <c r="E62" s="1" t="str">
        <f>IFERROR(__xludf.DUMMYFUNCTION("""COMPUTED_VALUE"""),"Callum Hudson-Odoi")</f>
        <v>Callum Hudson-Odoi</v>
      </c>
      <c r="F62" s="1" t="str">
        <f>IFERROR(__xludf.DUMMYFUNCTION("""COMPUTED_VALUE"""),"Palembang")</f>
        <v>Palembang</v>
      </c>
      <c r="G62" s="1" t="str">
        <f>IFERROR(__xludf.DUMMYFUNCTION("""COMPUTED_VALUE"""),"Linen Shirt - Slimfit - Black")</f>
        <v>Linen Shirt - Slimfit - Black</v>
      </c>
      <c r="H62" s="68">
        <f>IFERROR(__xludf.DUMMYFUNCTION("""COMPUTED_VALUE"""),229000.0)</f>
        <v>229000</v>
      </c>
      <c r="I62" s="68">
        <f>IFERROR(__xludf.DUMMYFUNCTION("""COMPUTED_VALUE"""),1.0)</f>
        <v>1</v>
      </c>
      <c r="J62" s="68">
        <f>IFERROR(__xludf.DUMMYFUNCTION("""COMPUTED_VALUE"""),229000.0)</f>
        <v>229000</v>
      </c>
      <c r="K62" s="68">
        <f>IFERROR(__xludf.DUMMYFUNCTION("""COMPUTED_VALUE"""),229000.0)</f>
        <v>229000</v>
      </c>
      <c r="L62" s="1" t="str">
        <f>IFERROR(__xludf.DUMMYFUNCTION("""COMPUTED_VALUE"""),"Shirt")</f>
        <v>Shirt</v>
      </c>
    </row>
    <row r="63">
      <c r="A63" s="1" t="str">
        <f>IFERROR(__xludf.DUMMYFUNCTION("""COMPUTED_VALUE"""),"EF131540900837494")</f>
        <v>EF131540900837494</v>
      </c>
      <c r="B63" s="67">
        <f>IFERROR(__xludf.DUMMYFUNCTION("""COMPUTED_VALUE"""),45675.0)</f>
        <v>45675</v>
      </c>
      <c r="C63" s="1" t="str">
        <f>IFERROR(__xludf.DUMMYFUNCTION("""COMPUTED_VALUE"""),"SH000818576045")</f>
        <v>SH000818576045</v>
      </c>
      <c r="D63" s="1" t="str">
        <f>IFERROR(__xludf.DUMMYFUNCTION("""COMPUTED_VALUE"""),"SiLumayanCepat")</f>
        <v>SiLumayanCepat</v>
      </c>
      <c r="E63" s="1" t="str">
        <f>IFERROR(__xludf.DUMMYFUNCTION("""COMPUTED_VALUE"""),"Phil Jones")</f>
        <v>Phil Jones</v>
      </c>
      <c r="F63" s="1" t="str">
        <f>IFERROR(__xludf.DUMMYFUNCTION("""COMPUTED_VALUE"""),"Semarang")</f>
        <v>Semarang</v>
      </c>
      <c r="G63" s="1" t="str">
        <f>IFERROR(__xludf.DUMMYFUNCTION("""COMPUTED_VALUE"""),"Running Pants - Grey")</f>
        <v>Running Pants - Grey</v>
      </c>
      <c r="H63" s="68">
        <f>IFERROR(__xludf.DUMMYFUNCTION("""COMPUTED_VALUE"""),149000.0)</f>
        <v>149000</v>
      </c>
      <c r="I63" s="68">
        <f>IFERROR(__xludf.DUMMYFUNCTION("""COMPUTED_VALUE"""),1.0)</f>
        <v>1</v>
      </c>
      <c r="J63" s="68">
        <f>IFERROR(__xludf.DUMMYFUNCTION("""COMPUTED_VALUE"""),149000.0)</f>
        <v>149000</v>
      </c>
      <c r="K63" s="68">
        <f>IFERROR(__xludf.DUMMYFUNCTION("""COMPUTED_VALUE"""),149000.0)</f>
        <v>149000</v>
      </c>
      <c r="L63" s="1" t="str">
        <f>IFERROR(__xludf.DUMMYFUNCTION("""COMPUTED_VALUE"""),"Sportswear")</f>
        <v>Sportswear</v>
      </c>
    </row>
    <row r="64">
      <c r="A64" s="1" t="str">
        <f>IFERROR(__xludf.DUMMYFUNCTION("""COMPUTED_VALUE"""),"EF133075435888958")</f>
        <v>EF133075435888958</v>
      </c>
      <c r="B64" s="67">
        <f>IFERROR(__xludf.DUMMYFUNCTION("""COMPUTED_VALUE"""),45675.0)</f>
        <v>45675</v>
      </c>
      <c r="C64" s="1" t="str">
        <f>IFERROR(__xludf.DUMMYFUNCTION("""COMPUTED_VALUE"""),"SHJP3589573667")</f>
        <v>SHJP3589573667</v>
      </c>
      <c r="D64" s="1" t="str">
        <f>IFERROR(__xludf.DUMMYFUNCTION("""COMPUTED_VALUE"""),"J&amp;G Compress")</f>
        <v>J&amp;G Compress</v>
      </c>
      <c r="E64" s="1" t="str">
        <f>IFERROR(__xludf.DUMMYFUNCTION("""COMPUTED_VALUE"""),"Oleksandr Zinchenko")</f>
        <v>Oleksandr Zinchenko</v>
      </c>
      <c r="F64" s="1" t="str">
        <f>IFERROR(__xludf.DUMMYFUNCTION("""COMPUTED_VALUE"""),"Jayapura")</f>
        <v>Jayapura</v>
      </c>
      <c r="G64" s="1" t="str">
        <f>IFERROR(__xludf.DUMMYFUNCTION("""COMPUTED_VALUE"""),"Running Sneakers - Black")</f>
        <v>Running Sneakers - Black</v>
      </c>
      <c r="H64" s="68">
        <f>IFERROR(__xludf.DUMMYFUNCTION("""COMPUTED_VALUE"""),349000.0)</f>
        <v>349000</v>
      </c>
      <c r="I64" s="68">
        <f>IFERROR(__xludf.DUMMYFUNCTION("""COMPUTED_VALUE"""),1.0)</f>
        <v>1</v>
      </c>
      <c r="J64" s="68">
        <f>IFERROR(__xludf.DUMMYFUNCTION("""COMPUTED_VALUE"""),349000.0)</f>
        <v>349000</v>
      </c>
      <c r="K64" s="68">
        <f>IFERROR(__xludf.DUMMYFUNCTION("""COMPUTED_VALUE"""),349000.0)</f>
        <v>349000</v>
      </c>
      <c r="L64" s="1" t="str">
        <f>IFERROR(__xludf.DUMMYFUNCTION("""COMPUTED_VALUE"""),"Sportswear")</f>
        <v>Sportswear</v>
      </c>
    </row>
    <row r="65">
      <c r="A65" s="1" t="str">
        <f>IFERROR(__xludf.DUMMYFUNCTION("""COMPUTED_VALUE"""),"EF130061767974022")</f>
        <v>EF130061767974022</v>
      </c>
      <c r="B65" s="67">
        <f>IFERROR(__xludf.DUMMYFUNCTION("""COMPUTED_VALUE"""),45676.0)</f>
        <v>45676</v>
      </c>
      <c r="C65" s="1" t="str">
        <f>IFERROR(__xludf.DUMMYFUNCTION("""COMPUTED_VALUE"""),"SH000817827244")</f>
        <v>SH000817827244</v>
      </c>
      <c r="D65" s="1" t="str">
        <f>IFERROR(__xludf.DUMMYFUNCTION("""COMPUTED_VALUE"""),"SiLumayanCepat")</f>
        <v>SiLumayanCepat</v>
      </c>
      <c r="E65" s="1" t="str">
        <f>IFERROR(__xludf.DUMMYFUNCTION("""COMPUTED_VALUE"""),"Ben Chilwell")</f>
        <v>Ben Chilwell</v>
      </c>
      <c r="F65" s="1" t="str">
        <f>IFERROR(__xludf.DUMMYFUNCTION("""COMPUTED_VALUE"""),"Pekanbaru")</f>
        <v>Pekanbaru</v>
      </c>
      <c r="G65" s="1" t="str">
        <f>IFERROR(__xludf.DUMMYFUNCTION("""COMPUTED_VALUE"""),"Linen Shirt - Slimfit - Maroon")</f>
        <v>Linen Shirt - Slimfit - Maroon</v>
      </c>
      <c r="H65" s="68">
        <f>IFERROR(__xludf.DUMMYFUNCTION("""COMPUTED_VALUE"""),229000.0)</f>
        <v>229000</v>
      </c>
      <c r="I65" s="68">
        <f>IFERROR(__xludf.DUMMYFUNCTION("""COMPUTED_VALUE"""),1.0)</f>
        <v>1</v>
      </c>
      <c r="J65" s="68">
        <f>IFERROR(__xludf.DUMMYFUNCTION("""COMPUTED_VALUE"""),229000.0)</f>
        <v>229000</v>
      </c>
      <c r="K65" s="68">
        <f>IFERROR(__xludf.DUMMYFUNCTION("""COMPUTED_VALUE"""),229000.0)</f>
        <v>229000</v>
      </c>
      <c r="L65" s="1" t="str">
        <f>IFERROR(__xludf.DUMMYFUNCTION("""COMPUTED_VALUE"""),"Shirt")</f>
        <v>Shirt</v>
      </c>
    </row>
    <row r="66">
      <c r="A66" s="1" t="str">
        <f>IFERROR(__xludf.DUMMYFUNCTION("""COMPUTED_VALUE"""),"EF131579047698737")</f>
        <v>EF131579047698737</v>
      </c>
      <c r="B66" s="67">
        <f>IFERROR(__xludf.DUMMYFUNCTION("""COMPUTED_VALUE"""),45676.0)</f>
        <v>45676</v>
      </c>
      <c r="C66" s="1" t="str">
        <f>IFERROR(__xludf.DUMMYFUNCTION("""COMPUTED_VALUE"""),"SH100817954797")</f>
        <v>SH100817954797</v>
      </c>
      <c r="D66" s="1" t="str">
        <f>IFERROR(__xludf.DUMMYFUNCTION("""COMPUTED_VALUE"""),"SiLumayanCepat")</f>
        <v>SiLumayanCepat</v>
      </c>
      <c r="E66" s="1" t="str">
        <f>IFERROR(__xludf.DUMMYFUNCTION("""COMPUTED_VALUE"""),"Harry Maguire")</f>
        <v>Harry Maguire</v>
      </c>
      <c r="F66" s="1" t="str">
        <f>IFERROR(__xludf.DUMMYFUNCTION("""COMPUTED_VALUE"""),"Solo")</f>
        <v>Solo</v>
      </c>
      <c r="G66" s="1" t="str">
        <f>IFERROR(__xludf.DUMMYFUNCTION("""COMPUTED_VALUE"""),"Running Pants - Navy")</f>
        <v>Running Pants - Navy</v>
      </c>
      <c r="H66" s="68">
        <f>IFERROR(__xludf.DUMMYFUNCTION("""COMPUTED_VALUE"""),149000.0)</f>
        <v>149000</v>
      </c>
      <c r="I66" s="68">
        <f>IFERROR(__xludf.DUMMYFUNCTION("""COMPUTED_VALUE"""),1.0)</f>
        <v>1</v>
      </c>
      <c r="J66" s="68">
        <f>IFERROR(__xludf.DUMMYFUNCTION("""COMPUTED_VALUE"""),149000.0)</f>
        <v>149000</v>
      </c>
      <c r="K66" s="68">
        <f>IFERROR(__xludf.DUMMYFUNCTION("""COMPUTED_VALUE"""),149000.0)</f>
        <v>149000</v>
      </c>
      <c r="L66" s="1" t="str">
        <f>IFERROR(__xludf.DUMMYFUNCTION("""COMPUTED_VALUE"""),"Sportswear")</f>
        <v>Sportswear</v>
      </c>
    </row>
    <row r="67">
      <c r="A67" s="1" t="str">
        <f>IFERROR(__xludf.DUMMYFUNCTION("""COMPUTED_VALUE"""),"EF133114027765366")</f>
        <v>EF133114027765366</v>
      </c>
      <c r="B67" s="67">
        <f>IFERROR(__xludf.DUMMYFUNCTION("""COMPUTED_VALUE"""),45676.0)</f>
        <v>45676</v>
      </c>
      <c r="C67" s="1" t="str">
        <f>IFERROR(__xludf.DUMMYFUNCTION("""COMPUTED_VALUE"""),"SHJP0910496816")</f>
        <v>SHJP0910496816</v>
      </c>
      <c r="D67" s="1" t="str">
        <f>IFERROR(__xludf.DUMMYFUNCTION("""COMPUTED_VALUE"""),"J&amp;G Compress")</f>
        <v>J&amp;G Compress</v>
      </c>
      <c r="E67" s="1" t="str">
        <f>IFERROR(__xludf.DUMMYFUNCTION("""COMPUTED_VALUE"""),"Zack Steffen")</f>
        <v>Zack Steffen</v>
      </c>
      <c r="F67" s="1" t="str">
        <f>IFERROR(__xludf.DUMMYFUNCTION("""COMPUTED_VALUE"""),"Palu")</f>
        <v>Palu</v>
      </c>
      <c r="G67" s="1" t="str">
        <f>IFERROR(__xludf.DUMMYFUNCTION("""COMPUTED_VALUE"""),"Linen Shirt - Slimfit - Grey")</f>
        <v>Linen Shirt - Slimfit - Grey</v>
      </c>
      <c r="H67" s="68">
        <f>IFERROR(__xludf.DUMMYFUNCTION("""COMPUTED_VALUE"""),229000.0)</f>
        <v>229000</v>
      </c>
      <c r="I67" s="68">
        <f>IFERROR(__xludf.DUMMYFUNCTION("""COMPUTED_VALUE"""),2.0)</f>
        <v>2</v>
      </c>
      <c r="J67" s="68">
        <f>IFERROR(__xludf.DUMMYFUNCTION("""COMPUTED_VALUE"""),458000.0)</f>
        <v>458000</v>
      </c>
      <c r="K67" s="68">
        <f>IFERROR(__xludf.DUMMYFUNCTION("""COMPUTED_VALUE"""),458000.0)</f>
        <v>458000</v>
      </c>
      <c r="L67" s="1" t="str">
        <f>IFERROR(__xludf.DUMMYFUNCTION("""COMPUTED_VALUE"""),"Shirt")</f>
        <v>Shirt</v>
      </c>
    </row>
    <row r="68">
      <c r="A68" s="1" t="str">
        <f>IFERROR(__xludf.DUMMYFUNCTION("""COMPUTED_VALUE"""),"EF130099485886735")</f>
        <v>EF130099485886735</v>
      </c>
      <c r="B68" s="67">
        <f>IFERROR(__xludf.DUMMYFUNCTION("""COMPUTED_VALUE"""),45677.0)</f>
        <v>45677</v>
      </c>
      <c r="C68" s="1" t="str">
        <f>IFERROR(__xludf.DUMMYFUNCTION("""COMPUTED_VALUE"""),"SH000816903579")</f>
        <v>SH000816903579</v>
      </c>
      <c r="D68" s="1" t="str">
        <f>IFERROR(__xludf.DUMMYFUNCTION("""COMPUTED_VALUE"""),"SiLumayanCepat")</f>
        <v>SiLumayanCepat</v>
      </c>
      <c r="E68" s="1" t="str">
        <f>IFERROR(__xludf.DUMMYFUNCTION("""COMPUTED_VALUE"""),"Hakim Ziyech")</f>
        <v>Hakim Ziyech</v>
      </c>
      <c r="F68" s="1" t="str">
        <f>IFERROR(__xludf.DUMMYFUNCTION("""COMPUTED_VALUE"""),"Pontianak")</f>
        <v>Pontianak</v>
      </c>
      <c r="G68" s="1" t="str">
        <f>IFERROR(__xludf.DUMMYFUNCTION("""COMPUTED_VALUE"""),"Short Sleeve - Cotton Shirt Black")</f>
        <v>Short Sleeve - Cotton Shirt Black</v>
      </c>
      <c r="H68" s="68">
        <f>IFERROR(__xludf.DUMMYFUNCTION("""COMPUTED_VALUE"""),179000.0)</f>
        <v>179000</v>
      </c>
      <c r="I68" s="68">
        <f>IFERROR(__xludf.DUMMYFUNCTION("""COMPUTED_VALUE"""),1.0)</f>
        <v>1</v>
      </c>
      <c r="J68" s="68">
        <f>IFERROR(__xludf.DUMMYFUNCTION("""COMPUTED_VALUE"""),179000.0)</f>
        <v>179000</v>
      </c>
      <c r="K68" s="68">
        <f>IFERROR(__xludf.DUMMYFUNCTION("""COMPUTED_VALUE"""),179000.0)</f>
        <v>179000</v>
      </c>
      <c r="L68" s="1" t="str">
        <f>IFERROR(__xludf.DUMMYFUNCTION("""COMPUTED_VALUE"""),"Shirt")</f>
        <v>Shirt</v>
      </c>
    </row>
    <row r="69">
      <c r="A69" s="1" t="str">
        <f>IFERROR(__xludf.DUMMYFUNCTION("""COMPUTED_VALUE"""),"EF131617205622570")</f>
        <v>EF131617205622570</v>
      </c>
      <c r="B69" s="67">
        <f>IFERROR(__xludf.DUMMYFUNCTION("""COMPUTED_VALUE"""),45677.0)</f>
        <v>45677</v>
      </c>
      <c r="C69" s="1" t="str">
        <f>IFERROR(__xludf.DUMMYFUNCTION("""COMPUTED_VALUE"""),"SH000817954797")</f>
        <v>SH000817954797</v>
      </c>
      <c r="D69" s="1" t="str">
        <f>IFERROR(__xludf.DUMMYFUNCTION("""COMPUTED_VALUE"""),"SiLumayanCepat")</f>
        <v>SiLumayanCepat</v>
      </c>
      <c r="E69" s="1" t="str">
        <f>IFERROR(__xludf.DUMMYFUNCTION("""COMPUTED_VALUE"""),"Paul Pogba")</f>
        <v>Paul Pogba</v>
      </c>
      <c r="F69" s="1" t="str">
        <f>IFERROR(__xludf.DUMMYFUNCTION("""COMPUTED_VALUE"""),"Surabaya")</f>
        <v>Surabaya</v>
      </c>
      <c r="G69" s="1" t="str">
        <f>IFERROR(__xludf.DUMMYFUNCTION("""COMPUTED_VALUE"""),"Running Sneakers - Black")</f>
        <v>Running Sneakers - Black</v>
      </c>
      <c r="H69" s="68">
        <f>IFERROR(__xludf.DUMMYFUNCTION("""COMPUTED_VALUE"""),349000.0)</f>
        <v>349000</v>
      </c>
      <c r="I69" s="68">
        <f>IFERROR(__xludf.DUMMYFUNCTION("""COMPUTED_VALUE"""),1.0)</f>
        <v>1</v>
      </c>
      <c r="J69" s="68">
        <f>IFERROR(__xludf.DUMMYFUNCTION("""COMPUTED_VALUE"""),349000.0)</f>
        <v>349000</v>
      </c>
      <c r="K69" s="68">
        <f>IFERROR(__xludf.DUMMYFUNCTION("""COMPUTED_VALUE"""),349000.0)</f>
        <v>349000</v>
      </c>
      <c r="L69" s="1" t="str">
        <f>IFERROR(__xludf.DUMMYFUNCTION("""COMPUTED_VALUE"""),"Sportswear")</f>
        <v>Sportswear</v>
      </c>
    </row>
    <row r="70">
      <c r="A70" s="1" t="str">
        <f>IFERROR(__xludf.DUMMYFUNCTION("""COMPUTED_VALUE"""),"EF133152630833418")</f>
        <v>EF133152630833418</v>
      </c>
      <c r="B70" s="67">
        <f>IFERROR(__xludf.DUMMYFUNCTION("""COMPUTED_VALUE"""),45677.0)</f>
        <v>45677</v>
      </c>
      <c r="C70" s="1" t="str">
        <f>IFERROR(__xludf.DUMMYFUNCTION("""COMPUTED_VALUE"""),"SHJP3073075289")</f>
        <v>SHJP3073075289</v>
      </c>
      <c r="D70" s="1" t="str">
        <f>IFERROR(__xludf.DUMMYFUNCTION("""COMPUTED_VALUE"""),"J&amp;G Compress")</f>
        <v>J&amp;G Compress</v>
      </c>
      <c r="E70" s="1" t="str">
        <f>IFERROR(__xludf.DUMMYFUNCTION("""COMPUTED_VALUE"""),"Aymeric Laporte")</f>
        <v>Aymeric Laporte</v>
      </c>
      <c r="F70" s="1" t="str">
        <f>IFERROR(__xludf.DUMMYFUNCTION("""COMPUTED_VALUE"""),"Tarakan")</f>
        <v>Tarakan</v>
      </c>
      <c r="G70" s="1" t="str">
        <f>IFERROR(__xludf.DUMMYFUNCTION("""COMPUTED_VALUE"""),"Linen Shirt - Slimfit - Navy")</f>
        <v>Linen Shirt - Slimfit - Navy</v>
      </c>
      <c r="H70" s="68">
        <f>IFERROR(__xludf.DUMMYFUNCTION("""COMPUTED_VALUE"""),229000.0)</f>
        <v>229000</v>
      </c>
      <c r="I70" s="68">
        <f>IFERROR(__xludf.DUMMYFUNCTION("""COMPUTED_VALUE"""),1.0)</f>
        <v>1</v>
      </c>
      <c r="J70" s="68">
        <f>IFERROR(__xludf.DUMMYFUNCTION("""COMPUTED_VALUE"""),229000.0)</f>
        <v>229000</v>
      </c>
      <c r="K70" s="68">
        <f>IFERROR(__xludf.DUMMYFUNCTION("""COMPUTED_VALUE"""),229000.0)</f>
        <v>229000</v>
      </c>
      <c r="L70" s="1" t="str">
        <f>IFERROR(__xludf.DUMMYFUNCTION("""COMPUTED_VALUE"""),"Shirt")</f>
        <v>Shirt</v>
      </c>
    </row>
    <row r="71">
      <c r="A71" s="1" t="str">
        <f>IFERROR(__xludf.DUMMYFUNCTION("""COMPUTED_VALUE"""),"EF130137214737642")</f>
        <v>EF130137214737642</v>
      </c>
      <c r="B71" s="67">
        <f>IFERROR(__xludf.DUMMYFUNCTION("""COMPUTED_VALUE"""),45678.0)</f>
        <v>45678</v>
      </c>
      <c r="C71" s="1" t="str">
        <f>IFERROR(__xludf.DUMMYFUNCTION("""COMPUTED_VALUE"""),"SH000817955864")</f>
        <v>SH000817955864</v>
      </c>
      <c r="D71" s="1" t="str">
        <f>IFERROR(__xludf.DUMMYFUNCTION("""COMPUTED_VALUE"""),"SiLumayanCepat")</f>
        <v>SiLumayanCepat</v>
      </c>
      <c r="E71" s="1" t="str">
        <f>IFERROR(__xludf.DUMMYFUNCTION("""COMPUTED_VALUE"""),"Billy Gilmour")</f>
        <v>Billy Gilmour</v>
      </c>
      <c r="F71" s="1" t="str">
        <f>IFERROR(__xludf.DUMMYFUNCTION("""COMPUTED_VALUE"""),"Samarinda")</f>
        <v>Samarinda</v>
      </c>
      <c r="G71" s="1" t="str">
        <f>IFERROR(__xludf.DUMMYFUNCTION("""COMPUTED_VALUE"""),"Short Sleeve - Cotton Shirt Navy")</f>
        <v>Short Sleeve - Cotton Shirt Navy</v>
      </c>
      <c r="H71" s="68">
        <f>IFERROR(__xludf.DUMMYFUNCTION("""COMPUTED_VALUE"""),179000.0)</f>
        <v>179000</v>
      </c>
      <c r="I71" s="68">
        <f>IFERROR(__xludf.DUMMYFUNCTION("""COMPUTED_VALUE"""),1.0)</f>
        <v>1</v>
      </c>
      <c r="J71" s="68">
        <f>IFERROR(__xludf.DUMMYFUNCTION("""COMPUTED_VALUE"""),179000.0)</f>
        <v>179000</v>
      </c>
      <c r="K71" s="68">
        <f>IFERROR(__xludf.DUMMYFUNCTION("""COMPUTED_VALUE"""),179000.0)</f>
        <v>179000</v>
      </c>
      <c r="L71" s="1" t="str">
        <f>IFERROR(__xludf.DUMMYFUNCTION("""COMPUTED_VALUE"""),"Shirt")</f>
        <v>Shirt</v>
      </c>
    </row>
    <row r="72">
      <c r="A72" s="1" t="str">
        <f>IFERROR(__xludf.DUMMYFUNCTION("""COMPUTED_VALUE"""),"EF131655374612200")</f>
        <v>EF131655374612200</v>
      </c>
      <c r="B72" s="67">
        <f>IFERROR(__xludf.DUMMYFUNCTION("""COMPUTED_VALUE"""),45678.0)</f>
        <v>45678</v>
      </c>
      <c r="C72" s="1" t="str">
        <f>IFERROR(__xludf.DUMMYFUNCTION("""COMPUTED_VALUE"""),"SH000818335010")</f>
        <v>SH000818335010</v>
      </c>
      <c r="D72" s="1" t="str">
        <f>IFERROR(__xludf.DUMMYFUNCTION("""COMPUTED_VALUE"""),"SiLumayanCepat")</f>
        <v>SiLumayanCepat</v>
      </c>
      <c r="E72" s="1" t="str">
        <f>IFERROR(__xludf.DUMMYFUNCTION("""COMPUTED_VALUE"""),"Juan Mata")</f>
        <v>Juan Mata</v>
      </c>
      <c r="F72" s="1" t="str">
        <f>IFERROR(__xludf.DUMMYFUNCTION("""COMPUTED_VALUE"""),"Tangerang")</f>
        <v>Tangerang</v>
      </c>
      <c r="G72" s="1" t="str">
        <f>IFERROR(__xludf.DUMMYFUNCTION("""COMPUTED_VALUE"""),"Linen Shirt - Slimfit - Grey")</f>
        <v>Linen Shirt - Slimfit - Grey</v>
      </c>
      <c r="H72" s="68">
        <f>IFERROR(__xludf.DUMMYFUNCTION("""COMPUTED_VALUE"""),229000.0)</f>
        <v>229000</v>
      </c>
      <c r="I72" s="68">
        <f>IFERROR(__xludf.DUMMYFUNCTION("""COMPUTED_VALUE"""),1.0)</f>
        <v>1</v>
      </c>
      <c r="J72" s="68">
        <f>IFERROR(__xludf.DUMMYFUNCTION("""COMPUTED_VALUE"""),229000.0)</f>
        <v>229000</v>
      </c>
      <c r="K72" s="68">
        <f>IFERROR(__xludf.DUMMYFUNCTION("""COMPUTED_VALUE"""),229000.0)</f>
        <v>229000</v>
      </c>
      <c r="L72" s="1" t="str">
        <f>IFERROR(__xludf.DUMMYFUNCTION("""COMPUTED_VALUE"""),"Shirt")</f>
        <v>Shirt</v>
      </c>
    </row>
    <row r="73">
      <c r="A73" s="1" t="str">
        <f>IFERROR(__xludf.DUMMYFUNCTION("""COMPUTED_VALUE"""),"EF133191245096359")</f>
        <v>EF133191245096359</v>
      </c>
      <c r="B73" s="67">
        <f>IFERROR(__xludf.DUMMYFUNCTION("""COMPUTED_VALUE"""),45678.0)</f>
        <v>45678</v>
      </c>
      <c r="C73" s="1" t="str">
        <f>IFERROR(__xludf.DUMMYFUNCTION("""COMPUTED_VALUE"""),"SH000817335280")</f>
        <v>SH000817335280</v>
      </c>
      <c r="D73" s="1" t="str">
        <f>IFERROR(__xludf.DUMMYFUNCTION("""COMPUTED_VALUE"""),"SiLumayanCepat")</f>
        <v>SiLumayanCepat</v>
      </c>
      <c r="E73" s="1" t="str">
        <f>IFERROR(__xludf.DUMMYFUNCTION("""COMPUTED_VALUE"""),"Sergio Romero")</f>
        <v>Sergio Romero</v>
      </c>
      <c r="F73" s="1" t="str">
        <f>IFERROR(__xludf.DUMMYFUNCTION("""COMPUTED_VALUE"""),"Jakarta")</f>
        <v>Jakarta</v>
      </c>
      <c r="G73" s="1" t="str">
        <f>IFERROR(__xludf.DUMMYFUNCTION("""COMPUTED_VALUE"""),"Linen Shirt - Slimfit - Khaki")</f>
        <v>Linen Shirt - Slimfit - Khaki</v>
      </c>
      <c r="H73" s="68">
        <f>IFERROR(__xludf.DUMMYFUNCTION("""COMPUTED_VALUE"""),229000.0)</f>
        <v>229000</v>
      </c>
      <c r="I73" s="68">
        <f>IFERROR(__xludf.DUMMYFUNCTION("""COMPUTED_VALUE"""),1.0)</f>
        <v>1</v>
      </c>
      <c r="J73" s="68">
        <f>IFERROR(__xludf.DUMMYFUNCTION("""COMPUTED_VALUE"""),229000.0)</f>
        <v>229000</v>
      </c>
      <c r="K73" s="68">
        <f>IFERROR(__xludf.DUMMYFUNCTION("""COMPUTED_VALUE"""),916000.0)</f>
        <v>916000</v>
      </c>
      <c r="L73" s="1" t="str">
        <f>IFERROR(__xludf.DUMMYFUNCTION("""COMPUTED_VALUE"""),"Shirt")</f>
        <v>Shirt</v>
      </c>
    </row>
    <row r="74">
      <c r="A74" s="1" t="str">
        <f>IFERROR(__xludf.DUMMYFUNCTION("""COMPUTED_VALUE"""),"EF133191245096359")</f>
        <v>EF133191245096359</v>
      </c>
      <c r="B74" s="67">
        <f>IFERROR(__xludf.DUMMYFUNCTION("""COMPUTED_VALUE"""),45678.0)</f>
        <v>45678</v>
      </c>
      <c r="C74" s="1" t="str">
        <f>IFERROR(__xludf.DUMMYFUNCTION("""COMPUTED_VALUE"""),"SH000817335280")</f>
        <v>SH000817335280</v>
      </c>
      <c r="D74" s="1" t="str">
        <f>IFERROR(__xludf.DUMMYFUNCTION("""COMPUTED_VALUE"""),"SiLumayanCepat")</f>
        <v>SiLumayanCepat</v>
      </c>
      <c r="E74" s="1" t="str">
        <f>IFERROR(__xludf.DUMMYFUNCTION("""COMPUTED_VALUE"""),"Sergio Romero")</f>
        <v>Sergio Romero</v>
      </c>
      <c r="F74" s="1" t="str">
        <f>IFERROR(__xludf.DUMMYFUNCTION("""COMPUTED_VALUE"""),"Jakarta")</f>
        <v>Jakarta</v>
      </c>
      <c r="G74" s="1" t="str">
        <f>IFERROR(__xludf.DUMMYFUNCTION("""COMPUTED_VALUE"""),"Linen Shirt - Slimfit - White")</f>
        <v>Linen Shirt - Slimfit - White</v>
      </c>
      <c r="H74" s="68">
        <f>IFERROR(__xludf.DUMMYFUNCTION("""COMPUTED_VALUE"""),229000.0)</f>
        <v>229000</v>
      </c>
      <c r="I74" s="68">
        <f>IFERROR(__xludf.DUMMYFUNCTION("""COMPUTED_VALUE"""),1.0)</f>
        <v>1</v>
      </c>
      <c r="J74" s="68">
        <f>IFERROR(__xludf.DUMMYFUNCTION("""COMPUTED_VALUE"""),229000.0)</f>
        <v>229000</v>
      </c>
      <c r="K74" s="68">
        <f>IFERROR(__xludf.DUMMYFUNCTION("""COMPUTED_VALUE"""),916000.0)</f>
        <v>916000</v>
      </c>
      <c r="L74" s="1" t="str">
        <f>IFERROR(__xludf.DUMMYFUNCTION("""COMPUTED_VALUE"""),"Shirt")</f>
        <v>Shirt</v>
      </c>
    </row>
    <row r="75">
      <c r="A75" s="1" t="str">
        <f>IFERROR(__xludf.DUMMYFUNCTION("""COMPUTED_VALUE"""),"EF133191245096359")</f>
        <v>EF133191245096359</v>
      </c>
      <c r="B75" s="67">
        <f>IFERROR(__xludf.DUMMYFUNCTION("""COMPUTED_VALUE"""),45678.0)</f>
        <v>45678</v>
      </c>
      <c r="C75" s="1" t="str">
        <f>IFERROR(__xludf.DUMMYFUNCTION("""COMPUTED_VALUE"""),"SH000817335280")</f>
        <v>SH000817335280</v>
      </c>
      <c r="D75" s="1" t="str">
        <f>IFERROR(__xludf.DUMMYFUNCTION("""COMPUTED_VALUE"""),"SiLumayanCepat")</f>
        <v>SiLumayanCepat</v>
      </c>
      <c r="E75" s="1" t="str">
        <f>IFERROR(__xludf.DUMMYFUNCTION("""COMPUTED_VALUE"""),"Sergio Romero")</f>
        <v>Sergio Romero</v>
      </c>
      <c r="F75" s="1" t="str">
        <f>IFERROR(__xludf.DUMMYFUNCTION("""COMPUTED_VALUE"""),"Jakarta")</f>
        <v>Jakarta</v>
      </c>
      <c r="G75" s="1" t="str">
        <f>IFERROR(__xludf.DUMMYFUNCTION("""COMPUTED_VALUE"""),"Linen Shirt - Slimfit - Black")</f>
        <v>Linen Shirt - Slimfit - Black</v>
      </c>
      <c r="H75" s="68">
        <f>IFERROR(__xludf.DUMMYFUNCTION("""COMPUTED_VALUE"""),229000.0)</f>
        <v>229000</v>
      </c>
      <c r="I75" s="68">
        <f>IFERROR(__xludf.DUMMYFUNCTION("""COMPUTED_VALUE"""),1.0)</f>
        <v>1</v>
      </c>
      <c r="J75" s="68">
        <f>IFERROR(__xludf.DUMMYFUNCTION("""COMPUTED_VALUE"""),229000.0)</f>
        <v>229000</v>
      </c>
      <c r="K75" s="68">
        <f>IFERROR(__xludf.DUMMYFUNCTION("""COMPUTED_VALUE"""),916000.0)</f>
        <v>916000</v>
      </c>
      <c r="L75" s="1" t="str">
        <f>IFERROR(__xludf.DUMMYFUNCTION("""COMPUTED_VALUE"""),"Shirt")</f>
        <v>Shirt</v>
      </c>
    </row>
    <row r="76">
      <c r="A76" s="1" t="str">
        <f>IFERROR(__xludf.DUMMYFUNCTION("""COMPUTED_VALUE"""),"EF133191245096359")</f>
        <v>EF133191245096359</v>
      </c>
      <c r="B76" s="67">
        <f>IFERROR(__xludf.DUMMYFUNCTION("""COMPUTED_VALUE"""),45678.0)</f>
        <v>45678</v>
      </c>
      <c r="C76" s="1" t="str">
        <f>IFERROR(__xludf.DUMMYFUNCTION("""COMPUTED_VALUE"""),"SH000817335280")</f>
        <v>SH000817335280</v>
      </c>
      <c r="D76" s="1" t="str">
        <f>IFERROR(__xludf.DUMMYFUNCTION("""COMPUTED_VALUE"""),"SiLumayanCepat")</f>
        <v>SiLumayanCepat</v>
      </c>
      <c r="E76" s="1" t="str">
        <f>IFERROR(__xludf.DUMMYFUNCTION("""COMPUTED_VALUE"""),"Sergio Romero")</f>
        <v>Sergio Romero</v>
      </c>
      <c r="F76" s="1" t="str">
        <f>IFERROR(__xludf.DUMMYFUNCTION("""COMPUTED_VALUE"""),"Jakarta")</f>
        <v>Jakarta</v>
      </c>
      <c r="G76" s="1" t="str">
        <f>IFERROR(__xludf.DUMMYFUNCTION("""COMPUTED_VALUE"""),"Linen Shirt - Slimfit - Maroon")</f>
        <v>Linen Shirt - Slimfit - Maroon</v>
      </c>
      <c r="H76" s="68">
        <f>IFERROR(__xludf.DUMMYFUNCTION("""COMPUTED_VALUE"""),229000.0)</f>
        <v>229000</v>
      </c>
      <c r="I76" s="68">
        <f>IFERROR(__xludf.DUMMYFUNCTION("""COMPUTED_VALUE"""),1.0)</f>
        <v>1</v>
      </c>
      <c r="J76" s="68">
        <f>IFERROR(__xludf.DUMMYFUNCTION("""COMPUTED_VALUE"""),229000.0)</f>
        <v>229000</v>
      </c>
      <c r="K76" s="68">
        <f>IFERROR(__xludf.DUMMYFUNCTION("""COMPUTED_VALUE"""),916000.0)</f>
        <v>916000</v>
      </c>
      <c r="L76" s="1" t="str">
        <f>IFERROR(__xludf.DUMMYFUNCTION("""COMPUTED_VALUE"""),"Shirt")</f>
        <v>Shirt</v>
      </c>
    </row>
    <row r="77">
      <c r="A77" s="1" t="str">
        <f>IFERROR(__xludf.DUMMYFUNCTION("""COMPUTED_VALUE"""),"EF130174954529916")</f>
        <v>EF130174954529916</v>
      </c>
      <c r="B77" s="67">
        <f>IFERROR(__xludf.DUMMYFUNCTION("""COMPUTED_VALUE"""),45679.0)</f>
        <v>45679</v>
      </c>
      <c r="C77" s="1" t="str">
        <f>IFERROR(__xludf.DUMMYFUNCTION("""COMPUTED_VALUE"""),"SH000817955863")</f>
        <v>SH000817955863</v>
      </c>
      <c r="D77" s="1" t="str">
        <f>IFERROR(__xludf.DUMMYFUNCTION("""COMPUTED_VALUE"""),"SiLumayanCepat")</f>
        <v>SiLumayanCepat</v>
      </c>
      <c r="E77" s="1" t="str">
        <f>IFERROR(__xludf.DUMMYFUNCTION("""COMPUTED_VALUE"""),"Reece James")</f>
        <v>Reece James</v>
      </c>
      <c r="F77" s="1" t="str">
        <f>IFERROR(__xludf.DUMMYFUNCTION("""COMPUTED_VALUE"""),"Semarang")</f>
        <v>Semarang</v>
      </c>
      <c r="G77" s="1" t="str">
        <f>IFERROR(__xludf.DUMMYFUNCTION("""COMPUTED_VALUE"""),"Short Sleeve - Cotton Shirt Maroon")</f>
        <v>Short Sleeve - Cotton Shirt Maroon</v>
      </c>
      <c r="H77" s="68">
        <f>IFERROR(__xludf.DUMMYFUNCTION("""COMPUTED_VALUE"""),179000.0)</f>
        <v>179000</v>
      </c>
      <c r="I77" s="68">
        <f>IFERROR(__xludf.DUMMYFUNCTION("""COMPUTED_VALUE"""),1.0)</f>
        <v>1</v>
      </c>
      <c r="J77" s="68">
        <f>IFERROR(__xludf.DUMMYFUNCTION("""COMPUTED_VALUE"""),179000.0)</f>
        <v>179000</v>
      </c>
      <c r="K77" s="68">
        <f>IFERROR(__xludf.DUMMYFUNCTION("""COMPUTED_VALUE"""),179000.0)</f>
        <v>179000</v>
      </c>
      <c r="L77" s="1" t="str">
        <f>IFERROR(__xludf.DUMMYFUNCTION("""COMPUTED_VALUE"""),"Shirt")</f>
        <v>Shirt</v>
      </c>
    </row>
    <row r="78">
      <c r="A78" s="1" t="str">
        <f>IFERROR(__xludf.DUMMYFUNCTION("""COMPUTED_VALUE"""),"EF131693554670838")</f>
        <v>EF131693554670838</v>
      </c>
      <c r="B78" s="67">
        <f>IFERROR(__xludf.DUMMYFUNCTION("""COMPUTED_VALUE"""),45679.0)</f>
        <v>45679</v>
      </c>
      <c r="C78" s="1" t="str">
        <f>IFERROR(__xludf.DUMMYFUNCTION("""COMPUTED_VALUE"""),"SH000817829124")</f>
        <v>SH000817829124</v>
      </c>
      <c r="D78" s="1" t="str">
        <f>IFERROR(__xludf.DUMMYFUNCTION("""COMPUTED_VALUE"""),"SiLumayanCepat")</f>
        <v>SiLumayanCepat</v>
      </c>
      <c r="E78" s="1" t="str">
        <f>IFERROR(__xludf.DUMMYFUNCTION("""COMPUTED_VALUE"""),"Marcus Rashford")</f>
        <v>Marcus Rashford</v>
      </c>
      <c r="F78" s="1" t="str">
        <f>IFERROR(__xludf.DUMMYFUNCTION("""COMPUTED_VALUE"""),"Padang")</f>
        <v>Padang</v>
      </c>
      <c r="G78" s="1" t="str">
        <f>IFERROR(__xludf.DUMMYFUNCTION("""COMPUTED_VALUE"""),"Linen Shirt - Slimfit - Navy")</f>
        <v>Linen Shirt - Slimfit - Navy</v>
      </c>
      <c r="H78" s="68">
        <f>IFERROR(__xludf.DUMMYFUNCTION("""COMPUTED_VALUE"""),229000.0)</f>
        <v>229000</v>
      </c>
      <c r="I78" s="68">
        <f>IFERROR(__xludf.DUMMYFUNCTION("""COMPUTED_VALUE"""),2.0)</f>
        <v>2</v>
      </c>
      <c r="J78" s="68">
        <f>IFERROR(__xludf.DUMMYFUNCTION("""COMPUTED_VALUE"""),458000.0)</f>
        <v>458000</v>
      </c>
      <c r="K78" s="68">
        <f>IFERROR(__xludf.DUMMYFUNCTION("""COMPUTED_VALUE"""),1145000.0)</f>
        <v>1145000</v>
      </c>
      <c r="L78" s="1" t="str">
        <f>IFERROR(__xludf.DUMMYFUNCTION("""COMPUTED_VALUE"""),"Shirt")</f>
        <v>Shirt</v>
      </c>
    </row>
    <row r="79">
      <c r="A79" s="1" t="str">
        <f>IFERROR(__xludf.DUMMYFUNCTION("""COMPUTED_VALUE"""),"EF131693554670838")</f>
        <v>EF131693554670838</v>
      </c>
      <c r="B79" s="67">
        <f>IFERROR(__xludf.DUMMYFUNCTION("""COMPUTED_VALUE"""),45679.0)</f>
        <v>45679</v>
      </c>
      <c r="C79" s="1" t="str">
        <f>IFERROR(__xludf.DUMMYFUNCTION("""COMPUTED_VALUE"""),"SH000817829124")</f>
        <v>SH000817829124</v>
      </c>
      <c r="D79" s="1" t="str">
        <f>IFERROR(__xludf.DUMMYFUNCTION("""COMPUTED_VALUE"""),"SiLumayanCepat")</f>
        <v>SiLumayanCepat</v>
      </c>
      <c r="E79" s="1" t="str">
        <f>IFERROR(__xludf.DUMMYFUNCTION("""COMPUTED_VALUE"""),"Marcus Rashford")</f>
        <v>Marcus Rashford</v>
      </c>
      <c r="F79" s="1" t="str">
        <f>IFERROR(__xludf.DUMMYFUNCTION("""COMPUTED_VALUE"""),"Padang")</f>
        <v>Padang</v>
      </c>
      <c r="G79" s="1" t="str">
        <f>IFERROR(__xludf.DUMMYFUNCTION("""COMPUTED_VALUE"""),"Linen Shirt - Slimfit - Khaki")</f>
        <v>Linen Shirt - Slimfit - Khaki</v>
      </c>
      <c r="H79" s="68">
        <f>IFERROR(__xludf.DUMMYFUNCTION("""COMPUTED_VALUE"""),229000.0)</f>
        <v>229000</v>
      </c>
      <c r="I79" s="68">
        <f>IFERROR(__xludf.DUMMYFUNCTION("""COMPUTED_VALUE"""),1.0)</f>
        <v>1</v>
      </c>
      <c r="J79" s="68">
        <f>IFERROR(__xludf.DUMMYFUNCTION("""COMPUTED_VALUE"""),229000.0)</f>
        <v>229000</v>
      </c>
      <c r="K79" s="68">
        <f>IFERROR(__xludf.DUMMYFUNCTION("""COMPUTED_VALUE"""),1145000.0)</f>
        <v>1145000</v>
      </c>
      <c r="L79" s="1" t="str">
        <f>IFERROR(__xludf.DUMMYFUNCTION("""COMPUTED_VALUE"""),"Shirt")</f>
        <v>Shirt</v>
      </c>
    </row>
    <row r="80">
      <c r="A80" s="1" t="str">
        <f>IFERROR(__xludf.DUMMYFUNCTION("""COMPUTED_VALUE"""),"EF131693554670838")</f>
        <v>EF131693554670838</v>
      </c>
      <c r="B80" s="67">
        <f>IFERROR(__xludf.DUMMYFUNCTION("""COMPUTED_VALUE"""),45679.0)</f>
        <v>45679</v>
      </c>
      <c r="C80" s="1" t="str">
        <f>IFERROR(__xludf.DUMMYFUNCTION("""COMPUTED_VALUE"""),"SH000817829124")</f>
        <v>SH000817829124</v>
      </c>
      <c r="D80" s="1" t="str">
        <f>IFERROR(__xludf.DUMMYFUNCTION("""COMPUTED_VALUE"""),"SiLumayanCepat")</f>
        <v>SiLumayanCepat</v>
      </c>
      <c r="E80" s="1" t="str">
        <f>IFERROR(__xludf.DUMMYFUNCTION("""COMPUTED_VALUE"""),"Marcus Rashford")</f>
        <v>Marcus Rashford</v>
      </c>
      <c r="F80" s="1" t="str">
        <f>IFERROR(__xludf.DUMMYFUNCTION("""COMPUTED_VALUE"""),"Padang")</f>
        <v>Padang</v>
      </c>
      <c r="G80" s="1" t="str">
        <f>IFERROR(__xludf.DUMMYFUNCTION("""COMPUTED_VALUE"""),"Linen Shirt - Slimfit - White")</f>
        <v>Linen Shirt - Slimfit - White</v>
      </c>
      <c r="H80" s="68">
        <f>IFERROR(__xludf.DUMMYFUNCTION("""COMPUTED_VALUE"""),229000.0)</f>
        <v>229000</v>
      </c>
      <c r="I80" s="68">
        <f>IFERROR(__xludf.DUMMYFUNCTION("""COMPUTED_VALUE"""),2.0)</f>
        <v>2</v>
      </c>
      <c r="J80" s="68">
        <f>IFERROR(__xludf.DUMMYFUNCTION("""COMPUTED_VALUE"""),458000.0)</f>
        <v>458000</v>
      </c>
      <c r="K80" s="68">
        <f>IFERROR(__xludf.DUMMYFUNCTION("""COMPUTED_VALUE"""),1145000.0)</f>
        <v>1145000</v>
      </c>
      <c r="L80" s="1" t="str">
        <f>IFERROR(__xludf.DUMMYFUNCTION("""COMPUTED_VALUE"""),"Shirt")</f>
        <v>Shirt</v>
      </c>
    </row>
    <row r="81">
      <c r="A81" s="1" t="str">
        <f>IFERROR(__xludf.DUMMYFUNCTION("""COMPUTED_VALUE"""),"EF130212705266729")</f>
        <v>EF130212705266729</v>
      </c>
      <c r="B81" s="67">
        <f>IFERROR(__xludf.DUMMYFUNCTION("""COMPUTED_VALUE"""),45680.0)</f>
        <v>45680</v>
      </c>
      <c r="C81" s="1" t="str">
        <f>IFERROR(__xludf.DUMMYFUNCTION("""COMPUTED_VALUE"""),"SH000817828077")</f>
        <v>SH000817828077</v>
      </c>
      <c r="D81" s="1" t="str">
        <f>IFERROR(__xludf.DUMMYFUNCTION("""COMPUTED_VALUE"""),"SiLumayanCepat")</f>
        <v>SiLumayanCepat</v>
      </c>
      <c r="E81" s="1" t="str">
        <f>IFERROR(__xludf.DUMMYFUNCTION("""COMPUTED_VALUE"""),"César Azpilicueta")</f>
        <v>César Azpilicueta</v>
      </c>
      <c r="F81" s="1" t="str">
        <f>IFERROR(__xludf.DUMMYFUNCTION("""COMPUTED_VALUE"""),"Solo")</f>
        <v>Solo</v>
      </c>
      <c r="G81" s="1" t="str">
        <f>IFERROR(__xludf.DUMMYFUNCTION("""COMPUTED_VALUE"""),"Short Sleeve - Cotton Shirt White")</f>
        <v>Short Sleeve - Cotton Shirt White</v>
      </c>
      <c r="H81" s="68">
        <f>IFERROR(__xludf.DUMMYFUNCTION("""COMPUTED_VALUE"""),179000.0)</f>
        <v>179000</v>
      </c>
      <c r="I81" s="68">
        <f>IFERROR(__xludf.DUMMYFUNCTION("""COMPUTED_VALUE"""),1.0)</f>
        <v>1</v>
      </c>
      <c r="J81" s="68">
        <f>IFERROR(__xludf.DUMMYFUNCTION("""COMPUTED_VALUE"""),179000.0)</f>
        <v>179000</v>
      </c>
      <c r="K81" s="68">
        <f>IFERROR(__xludf.DUMMYFUNCTION("""COMPUTED_VALUE"""),686000.0)</f>
        <v>686000</v>
      </c>
      <c r="L81" s="1" t="str">
        <f>IFERROR(__xludf.DUMMYFUNCTION("""COMPUTED_VALUE"""),"Shirt")</f>
        <v>Shirt</v>
      </c>
    </row>
    <row r="82">
      <c r="A82" s="1" t="str">
        <f>IFERROR(__xludf.DUMMYFUNCTION("""COMPUTED_VALUE"""),"EF130212705266729")</f>
        <v>EF130212705266729</v>
      </c>
      <c r="B82" s="67">
        <f>IFERROR(__xludf.DUMMYFUNCTION("""COMPUTED_VALUE"""),45680.0)</f>
        <v>45680</v>
      </c>
      <c r="C82" s="1" t="str">
        <f>IFERROR(__xludf.DUMMYFUNCTION("""COMPUTED_VALUE"""),"SH000817828077")</f>
        <v>SH000817828077</v>
      </c>
      <c r="D82" s="1" t="str">
        <f>IFERROR(__xludf.DUMMYFUNCTION("""COMPUTED_VALUE"""),"SiLumayanCepat")</f>
        <v>SiLumayanCepat</v>
      </c>
      <c r="E82" s="1" t="str">
        <f>IFERROR(__xludf.DUMMYFUNCTION("""COMPUTED_VALUE"""),"César Azpilicueta")</f>
        <v>César Azpilicueta</v>
      </c>
      <c r="F82" s="1" t="str">
        <f>IFERROR(__xludf.DUMMYFUNCTION("""COMPUTED_VALUE"""),"Solo")</f>
        <v>Solo</v>
      </c>
      <c r="G82" s="1" t="str">
        <f>IFERROR(__xludf.DUMMYFUNCTION("""COMPUTED_VALUE"""),"Short Sleeve - Cotton Shirt Khaki")</f>
        <v>Short Sleeve - Cotton Shirt Khaki</v>
      </c>
      <c r="H82" s="68">
        <f>IFERROR(__xludf.DUMMYFUNCTION("""COMPUTED_VALUE"""),179000.0)</f>
        <v>179000</v>
      </c>
      <c r="I82" s="68">
        <f>IFERROR(__xludf.DUMMYFUNCTION("""COMPUTED_VALUE"""),1.0)</f>
        <v>1</v>
      </c>
      <c r="J82" s="68">
        <f>IFERROR(__xludf.DUMMYFUNCTION("""COMPUTED_VALUE"""),179000.0)</f>
        <v>179000</v>
      </c>
      <c r="K82" s="68">
        <f>IFERROR(__xludf.DUMMYFUNCTION("""COMPUTED_VALUE"""),686000.0)</f>
        <v>686000</v>
      </c>
      <c r="L82" s="1" t="str">
        <f>IFERROR(__xludf.DUMMYFUNCTION("""COMPUTED_VALUE"""),"Shirt")</f>
        <v>Shirt</v>
      </c>
    </row>
    <row r="83">
      <c r="A83" s="1" t="str">
        <f>IFERROR(__xludf.DUMMYFUNCTION("""COMPUTED_VALUE"""),"EF130212705266729")</f>
        <v>EF130212705266729</v>
      </c>
      <c r="B83" s="67">
        <f>IFERROR(__xludf.DUMMYFUNCTION("""COMPUTED_VALUE"""),45680.0)</f>
        <v>45680</v>
      </c>
      <c r="C83" s="1" t="str">
        <f>IFERROR(__xludf.DUMMYFUNCTION("""COMPUTED_VALUE"""),"SH000817828077")</f>
        <v>SH000817828077</v>
      </c>
      <c r="D83" s="1" t="str">
        <f>IFERROR(__xludf.DUMMYFUNCTION("""COMPUTED_VALUE"""),"SiLumayanCepat")</f>
        <v>SiLumayanCepat</v>
      </c>
      <c r="E83" s="1" t="str">
        <f>IFERROR(__xludf.DUMMYFUNCTION("""COMPUTED_VALUE"""),"César Azpilicueta")</f>
        <v>César Azpilicueta</v>
      </c>
      <c r="F83" s="1" t="str">
        <f>IFERROR(__xludf.DUMMYFUNCTION("""COMPUTED_VALUE"""),"Solo")</f>
        <v>Solo</v>
      </c>
      <c r="G83" s="1" t="str">
        <f>IFERROR(__xludf.DUMMYFUNCTION("""COMPUTED_VALUE"""),"Short Sleeve - Cotton Shirt Grey")</f>
        <v>Short Sleeve - Cotton Shirt Grey</v>
      </c>
      <c r="H83" s="68">
        <f>IFERROR(__xludf.DUMMYFUNCTION("""COMPUTED_VALUE"""),179000.0)</f>
        <v>179000</v>
      </c>
      <c r="I83" s="68">
        <f>IFERROR(__xludf.DUMMYFUNCTION("""COMPUTED_VALUE"""),1.0)</f>
        <v>1</v>
      </c>
      <c r="J83" s="68">
        <f>IFERROR(__xludf.DUMMYFUNCTION("""COMPUTED_VALUE"""),179000.0)</f>
        <v>179000</v>
      </c>
      <c r="K83" s="68">
        <f>IFERROR(__xludf.DUMMYFUNCTION("""COMPUTED_VALUE"""),686000.0)</f>
        <v>686000</v>
      </c>
      <c r="L83" s="1" t="str">
        <f>IFERROR(__xludf.DUMMYFUNCTION("""COMPUTED_VALUE"""),"Shirt")</f>
        <v>Shirt</v>
      </c>
    </row>
    <row r="84">
      <c r="A84" s="1" t="str">
        <f>IFERROR(__xludf.DUMMYFUNCTION("""COMPUTED_VALUE"""),"EF130212705266729")</f>
        <v>EF130212705266729</v>
      </c>
      <c r="B84" s="67">
        <f>IFERROR(__xludf.DUMMYFUNCTION("""COMPUTED_VALUE"""),45680.0)</f>
        <v>45680</v>
      </c>
      <c r="C84" s="1" t="str">
        <f>IFERROR(__xludf.DUMMYFUNCTION("""COMPUTED_VALUE"""),"SH000817828077")</f>
        <v>SH000817828077</v>
      </c>
      <c r="D84" s="1" t="str">
        <f>IFERROR(__xludf.DUMMYFUNCTION("""COMPUTED_VALUE"""),"SiLumayanCepat")</f>
        <v>SiLumayanCepat</v>
      </c>
      <c r="E84" s="1" t="str">
        <f>IFERROR(__xludf.DUMMYFUNCTION("""COMPUTED_VALUE"""),"César Azpilicueta")</f>
        <v>César Azpilicueta</v>
      </c>
      <c r="F84" s="1" t="str">
        <f>IFERROR(__xludf.DUMMYFUNCTION("""COMPUTED_VALUE"""),"Solo")</f>
        <v>Solo</v>
      </c>
      <c r="G84" s="1" t="str">
        <f>IFERROR(__xludf.DUMMYFUNCTION("""COMPUTED_VALUE"""),"Cotton Pants - Short Navy")</f>
        <v>Cotton Pants - Short Navy</v>
      </c>
      <c r="H84" s="68">
        <f>IFERROR(__xludf.DUMMYFUNCTION("""COMPUTED_VALUE"""),149000.0)</f>
        <v>149000</v>
      </c>
      <c r="I84" s="68">
        <f>IFERROR(__xludf.DUMMYFUNCTION("""COMPUTED_VALUE"""),1.0)</f>
        <v>1</v>
      </c>
      <c r="J84" s="68">
        <f>IFERROR(__xludf.DUMMYFUNCTION("""COMPUTED_VALUE"""),149000.0)</f>
        <v>149000</v>
      </c>
      <c r="K84" s="68">
        <f>IFERROR(__xludf.DUMMYFUNCTION("""COMPUTED_VALUE"""),686000.0)</f>
        <v>686000</v>
      </c>
      <c r="L84" s="1" t="str">
        <f>IFERROR(__xludf.DUMMYFUNCTION("""COMPUTED_VALUE"""),"Pants")</f>
        <v>Pants</v>
      </c>
    </row>
    <row r="85">
      <c r="A85" s="1" t="str">
        <f>IFERROR(__xludf.DUMMYFUNCTION("""COMPUTED_VALUE"""),"EF131808161292897")</f>
        <v>EF131808161292897</v>
      </c>
      <c r="B85" s="67">
        <f>IFERROR(__xludf.DUMMYFUNCTION("""COMPUTED_VALUE"""),45682.0)</f>
        <v>45682</v>
      </c>
      <c r="C85" s="1" t="str">
        <f>IFERROR(__xludf.DUMMYFUNCTION("""COMPUTED_VALUE"""),"SH000817957421")</f>
        <v>SH000817957421</v>
      </c>
      <c r="D85" s="1" t="str">
        <f>IFERROR(__xludf.DUMMYFUNCTION("""COMPUTED_VALUE"""),"SiLumayanCepat")</f>
        <v>SiLumayanCepat</v>
      </c>
      <c r="E85" s="1" t="str">
        <f>IFERROR(__xludf.DUMMYFUNCTION("""COMPUTED_VALUE"""),"Lee Grant")</f>
        <v>Lee Grant</v>
      </c>
      <c r="F85" s="1" t="str">
        <f>IFERROR(__xludf.DUMMYFUNCTION("""COMPUTED_VALUE"""),"Kupang")</f>
        <v>Kupang</v>
      </c>
      <c r="G85" s="1" t="str">
        <f>IFERROR(__xludf.DUMMYFUNCTION("""COMPUTED_VALUE"""),"Linen Shirt - Slimfit - Black")</f>
        <v>Linen Shirt - Slimfit - Black</v>
      </c>
      <c r="H85" s="68">
        <f>IFERROR(__xludf.DUMMYFUNCTION("""COMPUTED_VALUE"""),229000.0)</f>
        <v>229000</v>
      </c>
      <c r="I85" s="68">
        <f>IFERROR(__xludf.DUMMYFUNCTION("""COMPUTED_VALUE"""),1.0)</f>
        <v>1</v>
      </c>
      <c r="J85" s="68">
        <f>IFERROR(__xludf.DUMMYFUNCTION("""COMPUTED_VALUE"""),229000.0)</f>
        <v>229000</v>
      </c>
      <c r="K85" s="68">
        <f>IFERROR(__xludf.DUMMYFUNCTION("""COMPUTED_VALUE"""),229000.0)</f>
        <v>229000</v>
      </c>
      <c r="L85" s="1" t="str">
        <f>IFERROR(__xludf.DUMMYFUNCTION("""COMPUTED_VALUE"""),"Shirt")</f>
        <v>Shirt</v>
      </c>
    </row>
    <row r="86">
      <c r="A86" s="1" t="str">
        <f>IFERROR(__xludf.DUMMYFUNCTION("""COMPUTED_VALUE"""),"EF133345814161968")</f>
        <v>EF133345814161968</v>
      </c>
      <c r="B86" s="67">
        <f>IFERROR(__xludf.DUMMYFUNCTION("""COMPUTED_VALUE"""),45682.0)</f>
        <v>45682</v>
      </c>
      <c r="C86" s="1" t="str">
        <f>IFERROR(__xludf.DUMMYFUNCTION("""COMPUTED_VALUE"""),"SH000819410739")</f>
        <v>SH000819410739</v>
      </c>
      <c r="D86" s="1" t="str">
        <f>IFERROR(__xludf.DUMMYFUNCTION("""COMPUTED_VALUE"""),"SiLumayanCepat")</f>
        <v>SiLumayanCepat</v>
      </c>
      <c r="E86" s="1" t="str">
        <f>IFERROR(__xludf.DUMMYFUNCTION("""COMPUTED_VALUE"""),"Benjamin Mendy")</f>
        <v>Benjamin Mendy</v>
      </c>
      <c r="F86" s="1" t="str">
        <f>IFERROR(__xludf.DUMMYFUNCTION("""COMPUTED_VALUE"""),"Yogyakarta")</f>
        <v>Yogyakarta</v>
      </c>
      <c r="G86" s="1" t="str">
        <f>IFERROR(__xludf.DUMMYFUNCTION("""COMPUTED_VALUE"""),"Short Sleeve - Cotton Shirt Black")</f>
        <v>Short Sleeve - Cotton Shirt Black</v>
      </c>
      <c r="H86" s="68">
        <f>IFERROR(__xludf.DUMMYFUNCTION("""COMPUTED_VALUE"""),179000.0)</f>
        <v>179000</v>
      </c>
      <c r="I86" s="68">
        <f>IFERROR(__xludf.DUMMYFUNCTION("""COMPUTED_VALUE"""),1.0)</f>
        <v>1</v>
      </c>
      <c r="J86" s="68">
        <f>IFERROR(__xludf.DUMMYFUNCTION("""COMPUTED_VALUE"""),179000.0)</f>
        <v>179000</v>
      </c>
      <c r="K86" s="68">
        <f>IFERROR(__xludf.DUMMYFUNCTION("""COMPUTED_VALUE"""),179000.0)</f>
        <v>179000</v>
      </c>
      <c r="L86" s="1" t="str">
        <f>IFERROR(__xludf.DUMMYFUNCTION("""COMPUTED_VALUE"""),"Shirt")</f>
        <v>Shirt</v>
      </c>
    </row>
    <row r="87">
      <c r="A87" s="1" t="str">
        <f>IFERROR(__xludf.DUMMYFUNCTION("""COMPUTED_VALUE"""),"EF131846385659672")</f>
        <v>EF131846385659672</v>
      </c>
      <c r="B87" s="67">
        <f>IFERROR(__xludf.DUMMYFUNCTION("""COMPUTED_VALUE"""),45683.0)</f>
        <v>45683</v>
      </c>
      <c r="C87" s="1" t="str">
        <f>IFERROR(__xludf.DUMMYFUNCTION("""COMPUTED_VALUE"""),"SH000818576517")</f>
        <v>SH000818576517</v>
      </c>
      <c r="D87" s="1" t="str">
        <f>IFERROR(__xludf.DUMMYFUNCTION("""COMPUTED_VALUE"""),"SiLumayanCepat")</f>
        <v>SiLumayanCepat</v>
      </c>
      <c r="E87" s="1" t="str">
        <f>IFERROR(__xludf.DUMMYFUNCTION("""COMPUTED_VALUE"""),"Jesse Lingard")</f>
        <v>Jesse Lingard</v>
      </c>
      <c r="F87" s="1" t="str">
        <f>IFERROR(__xludf.DUMMYFUNCTION("""COMPUTED_VALUE"""),"Mataram")</f>
        <v>Mataram</v>
      </c>
      <c r="G87" s="1" t="str">
        <f>IFERROR(__xludf.DUMMYFUNCTION("""COMPUTED_VALUE"""),"Linen Shirt - Slimfit - Maroon")</f>
        <v>Linen Shirt - Slimfit - Maroon</v>
      </c>
      <c r="H87" s="68">
        <f>IFERROR(__xludf.DUMMYFUNCTION("""COMPUTED_VALUE"""),229000.0)</f>
        <v>229000</v>
      </c>
      <c r="I87" s="68">
        <f>IFERROR(__xludf.DUMMYFUNCTION("""COMPUTED_VALUE"""),1.0)</f>
        <v>1</v>
      </c>
      <c r="J87" s="68">
        <f>IFERROR(__xludf.DUMMYFUNCTION("""COMPUTED_VALUE"""),229000.0)</f>
        <v>229000</v>
      </c>
      <c r="K87" s="68">
        <f>IFERROR(__xludf.DUMMYFUNCTION("""COMPUTED_VALUE"""),229000.0)</f>
        <v>229000</v>
      </c>
      <c r="L87" s="1" t="str">
        <f>IFERROR(__xludf.DUMMYFUNCTION("""COMPUTED_VALUE"""),"Shirt")</f>
        <v>Shirt</v>
      </c>
    </row>
    <row r="88">
      <c r="A88" s="1" t="str">
        <f>IFERROR(__xludf.DUMMYFUNCTION("""COMPUTED_VALUE"""),"EF133384484448075")</f>
        <v>EF133384484448075</v>
      </c>
      <c r="B88" s="67">
        <f>IFERROR(__xludf.DUMMYFUNCTION("""COMPUTED_VALUE"""),45683.0)</f>
        <v>45683</v>
      </c>
      <c r="C88" s="1" t="str">
        <f>IFERROR(__xludf.DUMMYFUNCTION("""COMPUTED_VALUE"""),"SH000819407746")</f>
        <v>SH000819407746</v>
      </c>
      <c r="D88" s="1" t="str">
        <f>IFERROR(__xludf.DUMMYFUNCTION("""COMPUTED_VALUE"""),"SiLumayanCepat")</f>
        <v>SiLumayanCepat</v>
      </c>
      <c r="E88" s="1" t="str">
        <f>IFERROR(__xludf.DUMMYFUNCTION("""COMPUTED_VALUE"""),"Fernandinho")</f>
        <v>Fernandinho</v>
      </c>
      <c r="F88" s="1" t="str">
        <f>IFERROR(__xludf.DUMMYFUNCTION("""COMPUTED_VALUE"""),"Yogyakarta")</f>
        <v>Yogyakarta</v>
      </c>
      <c r="G88" s="1" t="str">
        <f>IFERROR(__xludf.DUMMYFUNCTION("""COMPUTED_VALUE"""),"Short Sleeve - Cotton Shirt Navy")</f>
        <v>Short Sleeve - Cotton Shirt Navy</v>
      </c>
      <c r="H88" s="68">
        <f>IFERROR(__xludf.DUMMYFUNCTION("""COMPUTED_VALUE"""),179000.0)</f>
        <v>179000</v>
      </c>
      <c r="I88" s="68">
        <f>IFERROR(__xludf.DUMMYFUNCTION("""COMPUTED_VALUE"""),1.0)</f>
        <v>1</v>
      </c>
      <c r="J88" s="68">
        <f>IFERROR(__xludf.DUMMYFUNCTION("""COMPUTED_VALUE"""),179000.0)</f>
        <v>179000</v>
      </c>
      <c r="K88" s="68">
        <f>IFERROR(__xludf.DUMMYFUNCTION("""COMPUTED_VALUE"""),179000.0)</f>
        <v>179000</v>
      </c>
      <c r="L88" s="1" t="str">
        <f>IFERROR(__xludf.DUMMYFUNCTION("""COMPUTED_VALUE"""),"Shirt")</f>
        <v>Shirt</v>
      </c>
    </row>
    <row r="89">
      <c r="A89" s="1" t="str">
        <f>IFERROR(__xludf.DUMMYFUNCTION("""COMPUTED_VALUE"""),"EF130363817722874")</f>
        <v>EF130363817722874</v>
      </c>
      <c r="B89" s="67">
        <f>IFERROR(__xludf.DUMMYFUNCTION("""COMPUTED_VALUE"""),45684.0)</f>
        <v>45684</v>
      </c>
      <c r="C89" s="1" t="str">
        <f>IFERROR(__xludf.DUMMYFUNCTION("""COMPUTED_VALUE"""),"SH000817828920")</f>
        <v>SH000817828920</v>
      </c>
      <c r="D89" s="1" t="str">
        <f>IFERROR(__xludf.DUMMYFUNCTION("""COMPUTED_VALUE"""),"SiLumayanCepat")</f>
        <v>SiLumayanCepat</v>
      </c>
      <c r="E89" s="1" t="str">
        <f>IFERROR(__xludf.DUMMYFUNCTION("""COMPUTED_VALUE"""),"Caoimhín Kelleher")</f>
        <v>Caoimhín Kelleher</v>
      </c>
      <c r="F89" s="1" t="str">
        <f>IFERROR(__xludf.DUMMYFUNCTION("""COMPUTED_VALUE"""),"Padang")</f>
        <v>Padang</v>
      </c>
      <c r="G89" s="1" t="str">
        <f>IFERROR(__xludf.DUMMYFUNCTION("""COMPUTED_VALUE"""),"Cotton Pants - Short Black")</f>
        <v>Cotton Pants - Short Black</v>
      </c>
      <c r="H89" s="68">
        <f>IFERROR(__xludf.DUMMYFUNCTION("""COMPUTED_VALUE"""),149000.0)</f>
        <v>149000</v>
      </c>
      <c r="I89" s="68">
        <f>IFERROR(__xludf.DUMMYFUNCTION("""COMPUTED_VALUE"""),2.0)</f>
        <v>2</v>
      </c>
      <c r="J89" s="68">
        <f>IFERROR(__xludf.DUMMYFUNCTION("""COMPUTED_VALUE"""),298000.0)</f>
        <v>298000</v>
      </c>
      <c r="K89" s="68">
        <f>IFERROR(__xludf.DUMMYFUNCTION("""COMPUTED_VALUE"""),298000.0)</f>
        <v>298000</v>
      </c>
      <c r="L89" s="1" t="str">
        <f>IFERROR(__xludf.DUMMYFUNCTION("""COMPUTED_VALUE"""),"Pants")</f>
        <v>Pants</v>
      </c>
    </row>
    <row r="90">
      <c r="A90" s="1" t="str">
        <f>IFERROR(__xludf.DUMMYFUNCTION("""COMPUTED_VALUE"""),"EF131884621111513")</f>
        <v>EF131884621111513</v>
      </c>
      <c r="B90" s="67">
        <f>IFERROR(__xludf.DUMMYFUNCTION("""COMPUTED_VALUE"""),45684.0)</f>
        <v>45684</v>
      </c>
      <c r="C90" s="1" t="str">
        <f>IFERROR(__xludf.DUMMYFUNCTION("""COMPUTED_VALUE"""),"SH000817828246")</f>
        <v>SH000817828246</v>
      </c>
      <c r="D90" s="1" t="str">
        <f>IFERROR(__xludf.DUMMYFUNCTION("""COMPUTED_VALUE"""),"JemputAja")</f>
        <v>JemputAja</v>
      </c>
      <c r="E90" s="1" t="str">
        <f>IFERROR(__xludf.DUMMYFUNCTION("""COMPUTED_VALUE"""),"Andreas Pereira")</f>
        <v>Andreas Pereira</v>
      </c>
      <c r="F90" s="1" t="str">
        <f>IFERROR(__xludf.DUMMYFUNCTION("""COMPUTED_VALUE"""),"Jayapura")</f>
        <v>Jayapura</v>
      </c>
      <c r="G90" s="1" t="str">
        <f>IFERROR(__xludf.DUMMYFUNCTION("""COMPUTED_VALUE"""),"Short Sleeve - Cotton Shirt Black")</f>
        <v>Short Sleeve - Cotton Shirt Black</v>
      </c>
      <c r="H90" s="68">
        <f>IFERROR(__xludf.DUMMYFUNCTION("""COMPUTED_VALUE"""),179000.0)</f>
        <v>179000</v>
      </c>
      <c r="I90" s="68">
        <f>IFERROR(__xludf.DUMMYFUNCTION("""COMPUTED_VALUE"""),1.0)</f>
        <v>1</v>
      </c>
      <c r="J90" s="68">
        <f>IFERROR(__xludf.DUMMYFUNCTION("""COMPUTED_VALUE"""),179000.0)</f>
        <v>179000</v>
      </c>
      <c r="K90" s="68">
        <f>IFERROR(__xludf.DUMMYFUNCTION("""COMPUTED_VALUE"""),179000.0)</f>
        <v>179000</v>
      </c>
      <c r="L90" s="1" t="str">
        <f>IFERROR(__xludf.DUMMYFUNCTION("""COMPUTED_VALUE"""),"Shirt")</f>
        <v>Shirt</v>
      </c>
    </row>
    <row r="91">
      <c r="A91" s="1" t="str">
        <f>IFERROR(__xludf.DUMMYFUNCTION("""COMPUTED_VALUE"""),"EF133423165948565")</f>
        <v>EF133423165948565</v>
      </c>
      <c r="B91" s="67">
        <f>IFERROR(__xludf.DUMMYFUNCTION("""COMPUTED_VALUE"""),45684.0)</f>
        <v>45684</v>
      </c>
      <c r="C91" s="1" t="str">
        <f>IFERROR(__xludf.DUMMYFUNCTION("""COMPUTED_VALUE"""),"SH000819407746")</f>
        <v>SH000819407746</v>
      </c>
      <c r="D91" s="1" t="str">
        <f>IFERROR(__xludf.DUMMYFUNCTION("""COMPUTED_VALUE"""),"SiLumayanCepat")</f>
        <v>SiLumayanCepat</v>
      </c>
      <c r="E91" s="1" t="str">
        <f>IFERROR(__xludf.DUMMYFUNCTION("""COMPUTED_VALUE"""),"Fernandinho")</f>
        <v>Fernandinho</v>
      </c>
      <c r="F91" s="1" t="str">
        <f>IFERROR(__xludf.DUMMYFUNCTION("""COMPUTED_VALUE"""),"Yogyakarta")</f>
        <v>Yogyakarta</v>
      </c>
      <c r="G91" s="1" t="str">
        <f>IFERROR(__xludf.DUMMYFUNCTION("""COMPUTED_VALUE"""),"Short Sleeve - Cotton Shirt Maroon")</f>
        <v>Short Sleeve - Cotton Shirt Maroon</v>
      </c>
      <c r="H91" s="68">
        <f>IFERROR(__xludf.DUMMYFUNCTION("""COMPUTED_VALUE"""),179000.0)</f>
        <v>179000</v>
      </c>
      <c r="I91" s="68">
        <f>IFERROR(__xludf.DUMMYFUNCTION("""COMPUTED_VALUE"""),1.0)</f>
        <v>1</v>
      </c>
      <c r="J91" s="68">
        <f>IFERROR(__xludf.DUMMYFUNCTION("""COMPUTED_VALUE"""),179000.0)</f>
        <v>179000</v>
      </c>
      <c r="K91" s="68">
        <f>IFERROR(__xludf.DUMMYFUNCTION("""COMPUTED_VALUE"""),358000.0)</f>
        <v>358000</v>
      </c>
      <c r="L91" s="1" t="str">
        <f>IFERROR(__xludf.DUMMYFUNCTION("""COMPUTED_VALUE"""),"Shirt")</f>
        <v>Shirt</v>
      </c>
    </row>
    <row r="92">
      <c r="A92" s="1" t="str">
        <f>IFERROR(__xludf.DUMMYFUNCTION("""COMPUTED_VALUE"""),"EF133423165948565")</f>
        <v>EF133423165948565</v>
      </c>
      <c r="B92" s="67">
        <f>IFERROR(__xludf.DUMMYFUNCTION("""COMPUTED_VALUE"""),45684.0)</f>
        <v>45684</v>
      </c>
      <c r="C92" s="1" t="str">
        <f>IFERROR(__xludf.DUMMYFUNCTION("""COMPUTED_VALUE"""),"SH000819407746")</f>
        <v>SH000819407746</v>
      </c>
      <c r="D92" s="1" t="str">
        <f>IFERROR(__xludf.DUMMYFUNCTION("""COMPUTED_VALUE"""),"SiLumayanCepat")</f>
        <v>SiLumayanCepat</v>
      </c>
      <c r="E92" s="1" t="str">
        <f>IFERROR(__xludf.DUMMYFUNCTION("""COMPUTED_VALUE"""),"Fernandinho")</f>
        <v>Fernandinho</v>
      </c>
      <c r="F92" s="1" t="str">
        <f>IFERROR(__xludf.DUMMYFUNCTION("""COMPUTED_VALUE"""),"Yogyakarta")</f>
        <v>Yogyakarta</v>
      </c>
      <c r="G92" s="1" t="str">
        <f>IFERROR(__xludf.DUMMYFUNCTION("""COMPUTED_VALUE"""),"Short Sleeve - Cotton Shirt White")</f>
        <v>Short Sleeve - Cotton Shirt White</v>
      </c>
      <c r="H92" s="68">
        <f>IFERROR(__xludf.DUMMYFUNCTION("""COMPUTED_VALUE"""),179000.0)</f>
        <v>179000</v>
      </c>
      <c r="I92" s="68">
        <f>IFERROR(__xludf.DUMMYFUNCTION("""COMPUTED_VALUE"""),1.0)</f>
        <v>1</v>
      </c>
      <c r="J92" s="68">
        <f>IFERROR(__xludf.DUMMYFUNCTION("""COMPUTED_VALUE"""),179000.0)</f>
        <v>179000</v>
      </c>
      <c r="K92" s="68">
        <f>IFERROR(__xludf.DUMMYFUNCTION("""COMPUTED_VALUE"""),358000.0)</f>
        <v>358000</v>
      </c>
      <c r="L92" s="1" t="str">
        <f>IFERROR(__xludf.DUMMYFUNCTION("""COMPUTED_VALUE"""),"Shirt")</f>
        <v>Shirt</v>
      </c>
    </row>
    <row r="93">
      <c r="A93" s="1" t="str">
        <f>IFERROR(__xludf.DUMMYFUNCTION("""COMPUTED_VALUE"""),"EF130401623230014")</f>
        <v>EF130401623230014</v>
      </c>
      <c r="B93" s="67">
        <f>IFERROR(__xludf.DUMMYFUNCTION("""COMPUTED_VALUE"""),45685.0)</f>
        <v>45685</v>
      </c>
      <c r="C93" s="1" t="str">
        <f>IFERROR(__xludf.DUMMYFUNCTION("""COMPUTED_VALUE"""),"SH000817841053")</f>
        <v>SH000817841053</v>
      </c>
      <c r="D93" s="1" t="str">
        <f>IFERROR(__xludf.DUMMYFUNCTION("""COMPUTED_VALUE"""),"SiLumayanCepat")</f>
        <v>SiLumayanCepat</v>
      </c>
      <c r="E93" s="1" t="str">
        <f>IFERROR(__xludf.DUMMYFUNCTION("""COMPUTED_VALUE"""),"Virgil van Dijk")</f>
        <v>Virgil van Dijk</v>
      </c>
      <c r="F93" s="1" t="str">
        <f>IFERROR(__xludf.DUMMYFUNCTION("""COMPUTED_VALUE"""),"Cilacap")</f>
        <v>Cilacap</v>
      </c>
      <c r="G93" s="1" t="str">
        <f>IFERROR(__xludf.DUMMYFUNCTION("""COMPUTED_VALUE"""),"Cotton Pants - Short White")</f>
        <v>Cotton Pants - Short White</v>
      </c>
      <c r="H93" s="68">
        <f>IFERROR(__xludf.DUMMYFUNCTION("""COMPUTED_VALUE"""),149000.0)</f>
        <v>149000</v>
      </c>
      <c r="I93" s="68">
        <f>IFERROR(__xludf.DUMMYFUNCTION("""COMPUTED_VALUE"""),1.0)</f>
        <v>1</v>
      </c>
      <c r="J93" s="68">
        <f>IFERROR(__xludf.DUMMYFUNCTION("""COMPUTED_VALUE"""),149000.0)</f>
        <v>149000</v>
      </c>
      <c r="K93" s="68">
        <f>IFERROR(__xludf.DUMMYFUNCTION("""COMPUTED_VALUE"""),696000.0)</f>
        <v>696000</v>
      </c>
      <c r="L93" s="1" t="str">
        <f>IFERROR(__xludf.DUMMYFUNCTION("""COMPUTED_VALUE"""),"Pants")</f>
        <v>Pants</v>
      </c>
    </row>
    <row r="94">
      <c r="A94" s="1" t="str">
        <f>IFERROR(__xludf.DUMMYFUNCTION("""COMPUTED_VALUE"""),"EF130401623230014")</f>
        <v>EF130401623230014</v>
      </c>
      <c r="B94" s="67">
        <f>IFERROR(__xludf.DUMMYFUNCTION("""COMPUTED_VALUE"""),45685.0)</f>
        <v>45685</v>
      </c>
      <c r="C94" s="1" t="str">
        <f>IFERROR(__xludf.DUMMYFUNCTION("""COMPUTED_VALUE"""),"SH000817841053")</f>
        <v>SH000817841053</v>
      </c>
      <c r="D94" s="1" t="str">
        <f>IFERROR(__xludf.DUMMYFUNCTION("""COMPUTED_VALUE"""),"SiLumayanCepat")</f>
        <v>SiLumayanCepat</v>
      </c>
      <c r="E94" s="1" t="str">
        <f>IFERROR(__xludf.DUMMYFUNCTION("""COMPUTED_VALUE"""),"Virgil van Dijk")</f>
        <v>Virgil van Dijk</v>
      </c>
      <c r="F94" s="1" t="str">
        <f>IFERROR(__xludf.DUMMYFUNCTION("""COMPUTED_VALUE"""),"Cilacap")</f>
        <v>Cilacap</v>
      </c>
      <c r="G94" s="1" t="str">
        <f>IFERROR(__xludf.DUMMYFUNCTION("""COMPUTED_VALUE"""),"Cotton Pants - Short Grey")</f>
        <v>Cotton Pants - Short Grey</v>
      </c>
      <c r="H94" s="68">
        <f>IFERROR(__xludf.DUMMYFUNCTION("""COMPUTED_VALUE"""),149000.0)</f>
        <v>149000</v>
      </c>
      <c r="I94" s="68">
        <f>IFERROR(__xludf.DUMMYFUNCTION("""COMPUTED_VALUE"""),2.0)</f>
        <v>2</v>
      </c>
      <c r="J94" s="68">
        <f>IFERROR(__xludf.DUMMYFUNCTION("""COMPUTED_VALUE"""),298000.0)</f>
        <v>298000</v>
      </c>
      <c r="K94" s="68">
        <f>IFERROR(__xludf.DUMMYFUNCTION("""COMPUTED_VALUE"""),696000.0)</f>
        <v>696000</v>
      </c>
      <c r="L94" s="1" t="str">
        <f>IFERROR(__xludf.DUMMYFUNCTION("""COMPUTED_VALUE"""),"Pants")</f>
        <v>Pants</v>
      </c>
    </row>
    <row r="95">
      <c r="A95" s="1" t="str">
        <f>IFERROR(__xludf.DUMMYFUNCTION("""COMPUTED_VALUE"""),"EF130401623230014")</f>
        <v>EF130401623230014</v>
      </c>
      <c r="B95" s="67">
        <f>IFERROR(__xludf.DUMMYFUNCTION("""COMPUTED_VALUE"""),45685.0)</f>
        <v>45685</v>
      </c>
      <c r="C95" s="1" t="str">
        <f>IFERROR(__xludf.DUMMYFUNCTION("""COMPUTED_VALUE"""),"SH000817841053")</f>
        <v>SH000817841053</v>
      </c>
      <c r="D95" s="1" t="str">
        <f>IFERROR(__xludf.DUMMYFUNCTION("""COMPUTED_VALUE"""),"SiLumayanCepat")</f>
        <v>SiLumayanCepat</v>
      </c>
      <c r="E95" s="1" t="str">
        <f>IFERROR(__xludf.DUMMYFUNCTION("""COMPUTED_VALUE"""),"Virgil van Dijk")</f>
        <v>Virgil van Dijk</v>
      </c>
      <c r="F95" s="1" t="str">
        <f>IFERROR(__xludf.DUMMYFUNCTION("""COMPUTED_VALUE"""),"Cilacap")</f>
        <v>Cilacap</v>
      </c>
      <c r="G95" s="1" t="str">
        <f>IFERROR(__xludf.DUMMYFUNCTION("""COMPUTED_VALUE"""),"Bomber - Jacket Black")</f>
        <v>Bomber - Jacket Black</v>
      </c>
      <c r="H95" s="68">
        <f>IFERROR(__xludf.DUMMYFUNCTION("""COMPUTED_VALUE"""),249000.0)</f>
        <v>249000</v>
      </c>
      <c r="I95" s="68">
        <f>IFERROR(__xludf.DUMMYFUNCTION("""COMPUTED_VALUE"""),1.0)</f>
        <v>1</v>
      </c>
      <c r="J95" s="68">
        <f>IFERROR(__xludf.DUMMYFUNCTION("""COMPUTED_VALUE"""),249000.0)</f>
        <v>249000</v>
      </c>
      <c r="K95" s="68">
        <f>IFERROR(__xludf.DUMMYFUNCTION("""COMPUTED_VALUE"""),696000.0)</f>
        <v>696000</v>
      </c>
      <c r="L95" s="1" t="str">
        <f>IFERROR(__xludf.DUMMYFUNCTION("""COMPUTED_VALUE"""),"Jacket")</f>
        <v>Jacket</v>
      </c>
    </row>
    <row r="96">
      <c r="A96" s="1" t="str">
        <f>IFERROR(__xludf.DUMMYFUNCTION("""COMPUTED_VALUE"""),"EF131922867651636")</f>
        <v>EF131922867651636</v>
      </c>
      <c r="B96" s="67">
        <f>IFERROR(__xludf.DUMMYFUNCTION("""COMPUTED_VALUE"""),45685.0)</f>
        <v>45685</v>
      </c>
      <c r="C96" s="1" t="str">
        <f>IFERROR(__xludf.DUMMYFUNCTION("""COMPUTED_VALUE"""),"SHJP2857577570")</f>
        <v>SHJP2857577570</v>
      </c>
      <c r="D96" s="1" t="str">
        <f>IFERROR(__xludf.DUMMYFUNCTION("""COMPUTED_VALUE"""),"J&amp;G Compress")</f>
        <v>J&amp;G Compress</v>
      </c>
      <c r="E96" s="1" t="str">
        <f>IFERROR(__xludf.DUMMYFUNCTION("""COMPUTED_VALUE"""),"Marcos Rojo")</f>
        <v>Marcos Rojo</v>
      </c>
      <c r="F96" s="1" t="str">
        <f>IFERROR(__xludf.DUMMYFUNCTION("""COMPUTED_VALUE"""),"Palu")</f>
        <v>Palu</v>
      </c>
      <c r="G96" s="1" t="str">
        <f>IFERROR(__xludf.DUMMYFUNCTION("""COMPUTED_VALUE"""),"Short Sleeve - Cotton Shirt Navy")</f>
        <v>Short Sleeve - Cotton Shirt Navy</v>
      </c>
      <c r="H96" s="68">
        <f>IFERROR(__xludf.DUMMYFUNCTION("""COMPUTED_VALUE"""),179000.0)</f>
        <v>179000</v>
      </c>
      <c r="I96" s="68">
        <f>IFERROR(__xludf.DUMMYFUNCTION("""COMPUTED_VALUE"""),1.0)</f>
        <v>1</v>
      </c>
      <c r="J96" s="68">
        <f>IFERROR(__xludf.DUMMYFUNCTION("""COMPUTED_VALUE"""),179000.0)</f>
        <v>179000</v>
      </c>
      <c r="K96" s="68">
        <f>IFERROR(__xludf.DUMMYFUNCTION("""COMPUTED_VALUE"""),179000.0)</f>
        <v>179000</v>
      </c>
      <c r="L96" s="1" t="str">
        <f>IFERROR(__xludf.DUMMYFUNCTION("""COMPUTED_VALUE"""),"Shirt")</f>
        <v>Shirt</v>
      </c>
    </row>
    <row r="97">
      <c r="A97" s="1" t="str">
        <f>IFERROR(__xludf.DUMMYFUNCTION("""COMPUTED_VALUE"""),"EF131961125283255")</f>
        <v>EF131961125283255</v>
      </c>
      <c r="B97" s="67">
        <f>IFERROR(__xludf.DUMMYFUNCTION("""COMPUTED_VALUE"""),45686.0)</f>
        <v>45686</v>
      </c>
      <c r="C97" s="1" t="str">
        <f>IFERROR(__xludf.DUMMYFUNCTION("""COMPUTED_VALUE"""),"SHJP6160957036")</f>
        <v>SHJP6160957036</v>
      </c>
      <c r="D97" s="1" t="str">
        <f>IFERROR(__xludf.DUMMYFUNCTION("""COMPUTED_VALUE"""),"J&amp;T Economy")</f>
        <v>J&amp;T Economy</v>
      </c>
      <c r="E97" s="1" t="str">
        <f>IFERROR(__xludf.DUMMYFUNCTION("""COMPUTED_VALUE"""),"Bruno Fernandes")</f>
        <v>Bruno Fernandes</v>
      </c>
      <c r="F97" s="1" t="str">
        <f>IFERROR(__xludf.DUMMYFUNCTION("""COMPUTED_VALUE"""),"Jakarta")</f>
        <v>Jakarta</v>
      </c>
      <c r="G97" s="1" t="str">
        <f>IFERROR(__xludf.DUMMYFUNCTION("""COMPUTED_VALUE"""),"Short Sleeve - Cotton Shirt Maroon")</f>
        <v>Short Sleeve - Cotton Shirt Maroon</v>
      </c>
      <c r="H97" s="68">
        <f>IFERROR(__xludf.DUMMYFUNCTION("""COMPUTED_VALUE"""),179000.0)</f>
        <v>179000</v>
      </c>
      <c r="I97" s="68">
        <f>IFERROR(__xludf.DUMMYFUNCTION("""COMPUTED_VALUE"""),1.0)</f>
        <v>1</v>
      </c>
      <c r="J97" s="68">
        <f>IFERROR(__xludf.DUMMYFUNCTION("""COMPUTED_VALUE"""),179000.0)</f>
        <v>179000</v>
      </c>
      <c r="K97" s="68">
        <f>IFERROR(__xludf.DUMMYFUNCTION("""COMPUTED_VALUE"""),358000.0)</f>
        <v>358000</v>
      </c>
      <c r="L97" s="1" t="str">
        <f>IFERROR(__xludf.DUMMYFUNCTION("""COMPUTED_VALUE"""),"Shirt")</f>
        <v>Shirt</v>
      </c>
    </row>
    <row r="98">
      <c r="A98" s="1" t="str">
        <f>IFERROR(__xludf.DUMMYFUNCTION("""COMPUTED_VALUE"""),"EF131961125283255")</f>
        <v>EF131961125283255</v>
      </c>
      <c r="B98" s="67">
        <f>IFERROR(__xludf.DUMMYFUNCTION("""COMPUTED_VALUE"""),45686.0)</f>
        <v>45686</v>
      </c>
      <c r="C98" s="1" t="str">
        <f>IFERROR(__xludf.DUMMYFUNCTION("""COMPUTED_VALUE"""),"SHJP6160957036")</f>
        <v>SHJP6160957036</v>
      </c>
      <c r="D98" s="1" t="str">
        <f>IFERROR(__xludf.DUMMYFUNCTION("""COMPUTED_VALUE"""),"J&amp;T Economy")</f>
        <v>J&amp;T Economy</v>
      </c>
      <c r="E98" s="1" t="str">
        <f>IFERROR(__xludf.DUMMYFUNCTION("""COMPUTED_VALUE"""),"Bruno Fernandes")</f>
        <v>Bruno Fernandes</v>
      </c>
      <c r="F98" s="1" t="str">
        <f>IFERROR(__xludf.DUMMYFUNCTION("""COMPUTED_VALUE"""),"Jakarta")</f>
        <v>Jakarta</v>
      </c>
      <c r="G98" s="1" t="str">
        <f>IFERROR(__xludf.DUMMYFUNCTION("""COMPUTED_VALUE"""),"Short Sleeve - Cotton Shirt White")</f>
        <v>Short Sleeve - Cotton Shirt White</v>
      </c>
      <c r="H98" s="68">
        <f>IFERROR(__xludf.DUMMYFUNCTION("""COMPUTED_VALUE"""),179000.0)</f>
        <v>179000</v>
      </c>
      <c r="I98" s="68">
        <f>IFERROR(__xludf.DUMMYFUNCTION("""COMPUTED_VALUE"""),1.0)</f>
        <v>1</v>
      </c>
      <c r="J98" s="68">
        <f>IFERROR(__xludf.DUMMYFUNCTION("""COMPUTED_VALUE"""),179000.0)</f>
        <v>179000</v>
      </c>
      <c r="K98" s="68">
        <f>IFERROR(__xludf.DUMMYFUNCTION("""COMPUTED_VALUE"""),358000.0)</f>
        <v>358000</v>
      </c>
      <c r="L98" s="1" t="str">
        <f>IFERROR(__xludf.DUMMYFUNCTION("""COMPUTED_VALUE"""),"Shirt")</f>
        <v>Shirt</v>
      </c>
    </row>
    <row r="99">
      <c r="A99" s="1" t="str">
        <f>IFERROR(__xludf.DUMMYFUNCTION("""COMPUTED_VALUE"""),"EF133500562605703")</f>
        <v>EF133500562605703</v>
      </c>
      <c r="B99" s="67">
        <f>IFERROR(__xludf.DUMMYFUNCTION("""COMPUTED_VALUE"""),45686.0)</f>
        <v>45686</v>
      </c>
      <c r="C99" s="1" t="str">
        <f>IFERROR(__xludf.DUMMYFUNCTION("""COMPUTED_VALUE"""),"SH000818825535")</f>
        <v>SH000818825535</v>
      </c>
      <c r="D99" s="1" t="str">
        <f>IFERROR(__xludf.DUMMYFUNCTION("""COMPUTED_VALUE"""),"SiLumayanCepat")</f>
        <v>SiLumayanCepat</v>
      </c>
      <c r="E99" s="1" t="str">
        <f>IFERROR(__xludf.DUMMYFUNCTION("""COMPUTED_VALUE"""),"Nicolás Otamendi")</f>
        <v>Nicolás Otamendi</v>
      </c>
      <c r="F99" s="1" t="str">
        <f>IFERROR(__xludf.DUMMYFUNCTION("""COMPUTED_VALUE"""),"Surabaya")</f>
        <v>Surabaya</v>
      </c>
      <c r="G99" s="1" t="str">
        <f>IFERROR(__xludf.DUMMYFUNCTION("""COMPUTED_VALUE"""),"Short Sleeve - Cotton Shirt Khaki")</f>
        <v>Short Sleeve - Cotton Shirt Khaki</v>
      </c>
      <c r="H99" s="68">
        <f>IFERROR(__xludf.DUMMYFUNCTION("""COMPUTED_VALUE"""),179000.0)</f>
        <v>179000</v>
      </c>
      <c r="I99" s="68">
        <f>IFERROR(__xludf.DUMMYFUNCTION("""COMPUTED_VALUE"""),2.0)</f>
        <v>2</v>
      </c>
      <c r="J99" s="68">
        <f>IFERROR(__xludf.DUMMYFUNCTION("""COMPUTED_VALUE"""),358000.0)</f>
        <v>358000</v>
      </c>
      <c r="K99" s="68">
        <f>IFERROR(__xludf.DUMMYFUNCTION("""COMPUTED_VALUE"""),358000.0)</f>
        <v>358000</v>
      </c>
      <c r="L99" s="1" t="str">
        <f>IFERROR(__xludf.DUMMYFUNCTION("""COMPUTED_VALUE"""),"Shirt")</f>
        <v>Shirt</v>
      </c>
    </row>
    <row r="100">
      <c r="A100" s="1" t="str">
        <f>IFERROR(__xludf.DUMMYFUNCTION("""COMPUTED_VALUE"""),"EF133539277768859")</f>
        <v>EF133539277768859</v>
      </c>
      <c r="B100" s="67">
        <f>IFERROR(__xludf.DUMMYFUNCTION("""COMPUTED_VALUE"""),45687.0)</f>
        <v>45687</v>
      </c>
      <c r="C100" s="1" t="str">
        <f>IFERROR(__xludf.DUMMYFUNCTION("""COMPUTED_VALUE"""),"SH000819410346")</f>
        <v>SH000819410346</v>
      </c>
      <c r="D100" s="1" t="str">
        <f>IFERROR(__xludf.DUMMYFUNCTION("""COMPUTED_VALUE"""),"SiLumayanCepat")</f>
        <v>SiLumayanCepat</v>
      </c>
      <c r="E100" s="1" t="str">
        <f>IFERROR(__xludf.DUMMYFUNCTION("""COMPUTED_VALUE"""),"Ederson")</f>
        <v>Ederson</v>
      </c>
      <c r="F100" s="1" t="str">
        <f>IFERROR(__xludf.DUMMYFUNCTION("""COMPUTED_VALUE"""),"Surabaya")</f>
        <v>Surabaya</v>
      </c>
      <c r="G100" s="1" t="str">
        <f>IFERROR(__xludf.DUMMYFUNCTION("""COMPUTED_VALUE"""),"Short Sleeve - Cotton Shirt Grey")</f>
        <v>Short Sleeve - Cotton Shirt Grey</v>
      </c>
      <c r="H100" s="68">
        <f>IFERROR(__xludf.DUMMYFUNCTION("""COMPUTED_VALUE"""),179000.0)</f>
        <v>179000</v>
      </c>
      <c r="I100" s="68">
        <f>IFERROR(__xludf.DUMMYFUNCTION("""COMPUTED_VALUE"""),1.0)</f>
        <v>1</v>
      </c>
      <c r="J100" s="68">
        <f>IFERROR(__xludf.DUMMYFUNCTION("""COMPUTED_VALUE"""),179000.0)</f>
        <v>179000</v>
      </c>
      <c r="K100" s="68">
        <f>IFERROR(__xludf.DUMMYFUNCTION("""COMPUTED_VALUE"""),179000.0)</f>
        <v>179000</v>
      </c>
      <c r="L100" s="1" t="str">
        <f>IFERROR(__xludf.DUMMYFUNCTION("""COMPUTED_VALUE"""),"Shirt")</f>
        <v>Shirt</v>
      </c>
    </row>
    <row r="101">
      <c r="A101" s="1" t="str">
        <f>IFERROR(__xludf.DUMMYFUNCTION("""COMPUTED_VALUE"""),"EF130515105545733")</f>
        <v>EF130515105545733</v>
      </c>
      <c r="B101" s="67">
        <f>IFERROR(__xludf.DUMMYFUNCTION("""COMPUTED_VALUE"""),45688.0)</f>
        <v>45688</v>
      </c>
      <c r="C101" s="1" t="str">
        <f>IFERROR(__xludf.DUMMYFUNCTION("""COMPUTED_VALUE"""),"SH000817956942")</f>
        <v>SH000817956942</v>
      </c>
      <c r="D101" s="1" t="str">
        <f>IFERROR(__xludf.DUMMYFUNCTION("""COMPUTED_VALUE"""),"SiLumayanCepat")</f>
        <v>SiLumayanCepat</v>
      </c>
      <c r="E101" s="1" t="str">
        <f>IFERROR(__xludf.DUMMYFUNCTION("""COMPUTED_VALUE"""),"Andrew Robertson")</f>
        <v>Andrew Robertson</v>
      </c>
      <c r="F101" s="1" t="str">
        <f>IFERROR(__xludf.DUMMYFUNCTION("""COMPUTED_VALUE"""),"Jayapura")</f>
        <v>Jayapura</v>
      </c>
      <c r="G101" s="1" t="str">
        <f>IFERROR(__xludf.DUMMYFUNCTION("""COMPUTED_VALUE"""),"Bomber - Jacket Navy")</f>
        <v>Bomber - Jacket Navy</v>
      </c>
      <c r="H101" s="68">
        <f>IFERROR(__xludf.DUMMYFUNCTION("""COMPUTED_VALUE"""),249000.0)</f>
        <v>249000</v>
      </c>
      <c r="I101" s="68">
        <f>IFERROR(__xludf.DUMMYFUNCTION("""COMPUTED_VALUE"""),1.0)</f>
        <v>1</v>
      </c>
      <c r="J101" s="68">
        <f>IFERROR(__xludf.DUMMYFUNCTION("""COMPUTED_VALUE"""),249000.0)</f>
        <v>249000</v>
      </c>
      <c r="K101" s="68">
        <f>IFERROR(__xludf.DUMMYFUNCTION("""COMPUTED_VALUE"""),249000.0)</f>
        <v>249000</v>
      </c>
      <c r="L101" s="1" t="str">
        <f>IFERROR(__xludf.DUMMYFUNCTION("""COMPUTED_VALUE"""),"Jacket")</f>
        <v>Jacket</v>
      </c>
    </row>
    <row r="102">
      <c r="A102" s="1" t="str">
        <f>IFERROR(__xludf.DUMMYFUNCTION("""COMPUTED_VALUE"""),"EF132037673833850")</f>
        <v>EF132037673833850</v>
      </c>
      <c r="B102" s="67">
        <f>IFERROR(__xludf.DUMMYFUNCTION("""COMPUTED_VALUE"""),45688.0)</f>
        <v>45688</v>
      </c>
      <c r="C102" s="1" t="str">
        <f>IFERROR(__xludf.DUMMYFUNCTION("""COMPUTED_VALUE"""),"SH000818208847")</f>
        <v>SH000818208847</v>
      </c>
      <c r="D102" s="1" t="str">
        <f>IFERROR(__xludf.DUMMYFUNCTION("""COMPUTED_VALUE"""),"SiLumayanCepat")</f>
        <v>SiLumayanCepat</v>
      </c>
      <c r="E102" s="1" t="str">
        <f>IFERROR(__xludf.DUMMYFUNCTION("""COMPUTED_VALUE"""),"Diogo Dalot")</f>
        <v>Diogo Dalot</v>
      </c>
      <c r="F102" s="1" t="str">
        <f>IFERROR(__xludf.DUMMYFUNCTION("""COMPUTED_VALUE"""),"Jakarta")</f>
        <v>Jakarta</v>
      </c>
      <c r="G102" s="1" t="str">
        <f>IFERROR(__xludf.DUMMYFUNCTION("""COMPUTED_VALUE"""),"Short Sleeve - Cotton Shirt Khaki")</f>
        <v>Short Sleeve - Cotton Shirt Khaki</v>
      </c>
      <c r="H102" s="68">
        <f>IFERROR(__xludf.DUMMYFUNCTION("""COMPUTED_VALUE"""),179000.0)</f>
        <v>179000</v>
      </c>
      <c r="I102" s="68">
        <f>IFERROR(__xludf.DUMMYFUNCTION("""COMPUTED_VALUE"""),1.0)</f>
        <v>1</v>
      </c>
      <c r="J102" s="68">
        <f>IFERROR(__xludf.DUMMYFUNCTION("""COMPUTED_VALUE"""),179000.0)</f>
        <v>179000</v>
      </c>
      <c r="K102" s="68">
        <f>IFERROR(__xludf.DUMMYFUNCTION("""COMPUTED_VALUE"""),179000.0)</f>
        <v>179000</v>
      </c>
      <c r="L102" s="1" t="str">
        <f>IFERROR(__xludf.DUMMYFUNCTION("""COMPUTED_VALUE"""),"Shirt")</f>
        <v>Shirt</v>
      </c>
    </row>
    <row r="103">
      <c r="A103" s="1" t="str">
        <f>IFERROR(__xludf.DUMMYFUNCTION("""COMPUTED_VALUE"""),"EF133578004159412")</f>
        <v>EF133578004159412</v>
      </c>
      <c r="B103" s="67">
        <f>IFERROR(__xludf.DUMMYFUNCTION("""COMPUTED_VALUE"""),45688.0)</f>
        <v>45688</v>
      </c>
      <c r="C103" s="1" t="str">
        <f>IFERROR(__xludf.DUMMYFUNCTION("""COMPUTED_VALUE"""),"SHJP3028369494")</f>
        <v>SHJP3028369494</v>
      </c>
      <c r="D103" s="1" t="str">
        <f>IFERROR(__xludf.DUMMYFUNCTION("""COMPUTED_VALUE"""),"J&amp;G Compress")</f>
        <v>J&amp;G Compress</v>
      </c>
      <c r="E103" s="1" t="str">
        <f>IFERROR(__xludf.DUMMYFUNCTION("""COMPUTED_VALUE"""),"Scott Carson")</f>
        <v>Scott Carson</v>
      </c>
      <c r="F103" s="1" t="str">
        <f>IFERROR(__xludf.DUMMYFUNCTION("""COMPUTED_VALUE"""),"Surabaya")</f>
        <v>Surabaya</v>
      </c>
      <c r="G103" s="1" t="str">
        <f>IFERROR(__xludf.DUMMYFUNCTION("""COMPUTED_VALUE"""),"Cotton Pants - Short Navy")</f>
        <v>Cotton Pants - Short Navy</v>
      </c>
      <c r="H103" s="68">
        <f>IFERROR(__xludf.DUMMYFUNCTION("""COMPUTED_VALUE"""),149000.0)</f>
        <v>149000</v>
      </c>
      <c r="I103" s="68">
        <f>IFERROR(__xludf.DUMMYFUNCTION("""COMPUTED_VALUE"""),1.0)</f>
        <v>1</v>
      </c>
      <c r="J103" s="68">
        <f>IFERROR(__xludf.DUMMYFUNCTION("""COMPUTED_VALUE"""),149000.0)</f>
        <v>149000</v>
      </c>
      <c r="K103" s="68">
        <f>IFERROR(__xludf.DUMMYFUNCTION("""COMPUTED_VALUE"""),298000.0)</f>
        <v>298000</v>
      </c>
      <c r="L103" s="1" t="str">
        <f>IFERROR(__xludf.DUMMYFUNCTION("""COMPUTED_VALUE"""),"Pants")</f>
        <v>Pants</v>
      </c>
    </row>
    <row r="104">
      <c r="A104" s="1" t="str">
        <f>IFERROR(__xludf.DUMMYFUNCTION("""COMPUTED_VALUE"""),"EF133578004159412")</f>
        <v>EF133578004159412</v>
      </c>
      <c r="B104" s="67">
        <f>IFERROR(__xludf.DUMMYFUNCTION("""COMPUTED_VALUE"""),45688.0)</f>
        <v>45688</v>
      </c>
      <c r="C104" s="1" t="str">
        <f>IFERROR(__xludf.DUMMYFUNCTION("""COMPUTED_VALUE"""),"SHJP3028369494")</f>
        <v>SHJP3028369494</v>
      </c>
      <c r="D104" s="1" t="str">
        <f>IFERROR(__xludf.DUMMYFUNCTION("""COMPUTED_VALUE"""),"J&amp;G Compress")</f>
        <v>J&amp;G Compress</v>
      </c>
      <c r="E104" s="1" t="str">
        <f>IFERROR(__xludf.DUMMYFUNCTION("""COMPUTED_VALUE"""),"Scott Carson")</f>
        <v>Scott Carson</v>
      </c>
      <c r="F104" s="1" t="str">
        <f>IFERROR(__xludf.DUMMYFUNCTION("""COMPUTED_VALUE"""),"Surabaya")</f>
        <v>Surabaya</v>
      </c>
      <c r="G104" s="1" t="str">
        <f>IFERROR(__xludf.DUMMYFUNCTION("""COMPUTED_VALUE"""),"Cotton Pants - Short Black")</f>
        <v>Cotton Pants - Short Black</v>
      </c>
      <c r="H104" s="68">
        <f>IFERROR(__xludf.DUMMYFUNCTION("""COMPUTED_VALUE"""),149000.0)</f>
        <v>149000</v>
      </c>
      <c r="I104" s="68">
        <f>IFERROR(__xludf.DUMMYFUNCTION("""COMPUTED_VALUE"""),1.0)</f>
        <v>1</v>
      </c>
      <c r="J104" s="68">
        <f>IFERROR(__xludf.DUMMYFUNCTION("""COMPUTED_VALUE"""),149000.0)</f>
        <v>149000</v>
      </c>
      <c r="K104" s="68">
        <f>IFERROR(__xludf.DUMMYFUNCTION("""COMPUTED_VALUE"""),298000.0)</f>
        <v>298000</v>
      </c>
      <c r="L104" s="1" t="str">
        <f>IFERROR(__xludf.DUMMYFUNCTION("""COMPUTED_VALUE"""),"Pants")</f>
        <v>Pants</v>
      </c>
    </row>
    <row r="105">
      <c r="A105" s="1" t="str">
        <f>IFERROR(__xludf.DUMMYFUNCTION("""COMPUTED_VALUE"""),"EF130552954926342")</f>
        <v>EF130552954926342</v>
      </c>
      <c r="B105" s="67">
        <f>IFERROR(__xludf.DUMMYFUNCTION("""COMPUTED_VALUE"""),45689.0)</f>
        <v>45689</v>
      </c>
      <c r="C105" s="1" t="str">
        <f>IFERROR(__xludf.DUMMYFUNCTION("""COMPUTED_VALUE"""),"SH000817829369")</f>
        <v>SH000817829369</v>
      </c>
      <c r="D105" s="1" t="str">
        <f>IFERROR(__xludf.DUMMYFUNCTION("""COMPUTED_VALUE"""),"SiLumayanCepat")</f>
        <v>SiLumayanCepat</v>
      </c>
      <c r="E105" s="1" t="str">
        <f>IFERROR(__xludf.DUMMYFUNCTION("""COMPUTED_VALUE"""),"Joël Matip")</f>
        <v>Joël Matip</v>
      </c>
      <c r="F105" s="1" t="str">
        <f>IFERROR(__xludf.DUMMYFUNCTION("""COMPUTED_VALUE"""),"Palu")</f>
        <v>Palu</v>
      </c>
      <c r="G105" s="1" t="str">
        <f>IFERROR(__xludf.DUMMYFUNCTION("""COMPUTED_VALUE"""),"Bomber - Jacket Dark Grey")</f>
        <v>Bomber - Jacket Dark Grey</v>
      </c>
      <c r="H105" s="68">
        <f>IFERROR(__xludf.DUMMYFUNCTION("""COMPUTED_VALUE"""),249000.0)</f>
        <v>249000</v>
      </c>
      <c r="I105" s="68">
        <f>IFERROR(__xludf.DUMMYFUNCTION("""COMPUTED_VALUE"""),1.0)</f>
        <v>1</v>
      </c>
      <c r="J105" s="68">
        <f>IFERROR(__xludf.DUMMYFUNCTION("""COMPUTED_VALUE"""),249000.0)</f>
        <v>249000</v>
      </c>
      <c r="K105" s="68">
        <f>IFERROR(__xludf.DUMMYFUNCTION("""COMPUTED_VALUE"""),249000.0)</f>
        <v>249000</v>
      </c>
      <c r="L105" s="1" t="str">
        <f>IFERROR(__xludf.DUMMYFUNCTION("""COMPUTED_VALUE"""),"Jacket")</f>
        <v>Jacket</v>
      </c>
    </row>
    <row r="106">
      <c r="A106" s="1" t="str">
        <f>IFERROR(__xludf.DUMMYFUNCTION("""COMPUTED_VALUE"""),"EF132075964759261")</f>
        <v>EF132075964759261</v>
      </c>
      <c r="B106" s="67">
        <f>IFERROR(__xludf.DUMMYFUNCTION("""COMPUTED_VALUE"""),45689.0)</f>
        <v>45689</v>
      </c>
      <c r="C106" s="1" t="str">
        <f>IFERROR(__xludf.DUMMYFUNCTION("""COMPUTED_VALUE"""),"SHJP6764314964")</f>
        <v>SHJP6764314964</v>
      </c>
      <c r="D106" s="1" t="str">
        <f>IFERROR(__xludf.DUMMYFUNCTION("""COMPUTED_VALUE"""),"J&amp;G Compress")</f>
        <v>J&amp;G Compress</v>
      </c>
      <c r="E106" s="1" t="str">
        <f>IFERROR(__xludf.DUMMYFUNCTION("""COMPUTED_VALUE"""),"Daniel James")</f>
        <v>Daniel James</v>
      </c>
      <c r="F106" s="1" t="str">
        <f>IFERROR(__xludf.DUMMYFUNCTION("""COMPUTED_VALUE"""),"Jakarta")</f>
        <v>Jakarta</v>
      </c>
      <c r="G106" s="1" t="str">
        <f>IFERROR(__xludf.DUMMYFUNCTION("""COMPUTED_VALUE"""),"Short Sleeve - Cotton Shirt Grey")</f>
        <v>Short Sleeve - Cotton Shirt Grey</v>
      </c>
      <c r="H106" s="68">
        <f>IFERROR(__xludf.DUMMYFUNCTION("""COMPUTED_VALUE"""),179000.0)</f>
        <v>179000</v>
      </c>
      <c r="I106" s="68">
        <f>IFERROR(__xludf.DUMMYFUNCTION("""COMPUTED_VALUE"""),1.0)</f>
        <v>1</v>
      </c>
      <c r="J106" s="68">
        <f>IFERROR(__xludf.DUMMYFUNCTION("""COMPUTED_VALUE"""),179000.0)</f>
        <v>179000</v>
      </c>
      <c r="K106" s="68">
        <f>IFERROR(__xludf.DUMMYFUNCTION("""COMPUTED_VALUE"""),328000.0)</f>
        <v>328000</v>
      </c>
      <c r="L106" s="1" t="str">
        <f>IFERROR(__xludf.DUMMYFUNCTION("""COMPUTED_VALUE"""),"Shirt")</f>
        <v>Shirt</v>
      </c>
    </row>
    <row r="107">
      <c r="A107" s="1" t="str">
        <f>IFERROR(__xludf.DUMMYFUNCTION("""COMPUTED_VALUE"""),"EF132075964759261")</f>
        <v>EF132075964759261</v>
      </c>
      <c r="B107" s="67">
        <f>IFERROR(__xludf.DUMMYFUNCTION("""COMPUTED_VALUE"""),45689.0)</f>
        <v>45689</v>
      </c>
      <c r="C107" s="1" t="str">
        <f>IFERROR(__xludf.DUMMYFUNCTION("""COMPUTED_VALUE"""),"SHJP6764314964")</f>
        <v>SHJP6764314964</v>
      </c>
      <c r="D107" s="1" t="str">
        <f>IFERROR(__xludf.DUMMYFUNCTION("""COMPUTED_VALUE"""),"J&amp;G Compress")</f>
        <v>J&amp;G Compress</v>
      </c>
      <c r="E107" s="1" t="str">
        <f>IFERROR(__xludf.DUMMYFUNCTION("""COMPUTED_VALUE"""),"Daniel James")</f>
        <v>Daniel James</v>
      </c>
      <c r="F107" s="1" t="str">
        <f>IFERROR(__xludf.DUMMYFUNCTION("""COMPUTED_VALUE"""),"Jakarta")</f>
        <v>Jakarta</v>
      </c>
      <c r="G107" s="1" t="str">
        <f>IFERROR(__xludf.DUMMYFUNCTION("""COMPUTED_VALUE"""),"Cotton Pants - Short Navy")</f>
        <v>Cotton Pants - Short Navy</v>
      </c>
      <c r="H107" s="68">
        <f>IFERROR(__xludf.DUMMYFUNCTION("""COMPUTED_VALUE"""),149000.0)</f>
        <v>149000</v>
      </c>
      <c r="I107" s="68">
        <f>IFERROR(__xludf.DUMMYFUNCTION("""COMPUTED_VALUE"""),1.0)</f>
        <v>1</v>
      </c>
      <c r="J107" s="68">
        <f>IFERROR(__xludf.DUMMYFUNCTION("""COMPUTED_VALUE"""),149000.0)</f>
        <v>149000</v>
      </c>
      <c r="K107" s="68">
        <f>IFERROR(__xludf.DUMMYFUNCTION("""COMPUTED_VALUE"""),328000.0)</f>
        <v>328000</v>
      </c>
      <c r="L107" s="1" t="str">
        <f>IFERROR(__xludf.DUMMYFUNCTION("""COMPUTED_VALUE"""),"Pants")</f>
        <v>Pants</v>
      </c>
    </row>
    <row r="108">
      <c r="A108" s="1" t="str">
        <f>IFERROR(__xludf.DUMMYFUNCTION("""COMPUTED_VALUE"""),"EF138387881635695")</f>
        <v>EF138387881635695</v>
      </c>
      <c r="B108" s="67">
        <f>IFERROR(__xludf.DUMMYFUNCTION("""COMPUTED_VALUE"""),45689.0)</f>
        <v>45689</v>
      </c>
      <c r="C108" s="1" t="str">
        <f>IFERROR(__xludf.DUMMYFUNCTION("""COMPUTED_VALUE"""),"SHJP6817208100")</f>
        <v>SHJP6817208100</v>
      </c>
      <c r="D108" s="1" t="str">
        <f>IFERROR(__xludf.DUMMYFUNCTION("""COMPUTED_VALUE"""),"J&amp;G Compress")</f>
        <v>J&amp;G Compress</v>
      </c>
      <c r="E108" s="1" t="str">
        <f>IFERROR(__xludf.DUMMYFUNCTION("""COMPUTED_VALUE"""),"Carles Aleñá")</f>
        <v>Carles Aleñá</v>
      </c>
      <c r="F108" s="1" t="str">
        <f>IFERROR(__xludf.DUMMYFUNCTION("""COMPUTED_VALUE"""),"Surabaya")</f>
        <v>Surabaya</v>
      </c>
      <c r="G108" s="1" t="str">
        <f>IFERROR(__xludf.DUMMYFUNCTION("""COMPUTED_VALUE"""),"Short Sleeve - Cotton Shirt Navy")</f>
        <v>Short Sleeve - Cotton Shirt Navy</v>
      </c>
      <c r="H108" s="68">
        <f>IFERROR(__xludf.DUMMYFUNCTION("""COMPUTED_VALUE"""),179000.0)</f>
        <v>179000</v>
      </c>
      <c r="I108" s="68">
        <f>IFERROR(__xludf.DUMMYFUNCTION("""COMPUTED_VALUE"""),1.0)</f>
        <v>1</v>
      </c>
      <c r="J108" s="68">
        <f>IFERROR(__xludf.DUMMYFUNCTION("""COMPUTED_VALUE"""),179000.0)</f>
        <v>179000</v>
      </c>
      <c r="K108" s="68">
        <f>IFERROR(__xludf.DUMMYFUNCTION("""COMPUTED_VALUE"""),179000.0)</f>
        <v>179000</v>
      </c>
      <c r="L108" s="1" t="str">
        <f>IFERROR(__xludf.DUMMYFUNCTION("""COMPUTED_VALUE"""),"Shirt")</f>
        <v>Shirt</v>
      </c>
    </row>
    <row r="109">
      <c r="A109" s="1" t="str">
        <f>IFERROR(__xludf.DUMMYFUNCTION("""COMPUTED_VALUE"""),"EF130590815283270")</f>
        <v>EF130590815283270</v>
      </c>
      <c r="B109" s="67">
        <f>IFERROR(__xludf.DUMMYFUNCTION("""COMPUTED_VALUE"""),45690.0)</f>
        <v>45690</v>
      </c>
      <c r="C109" s="1" t="str">
        <f>IFERROR(__xludf.DUMMYFUNCTION("""COMPUTED_VALUE"""),"SHJP9517936622")</f>
        <v>SHJP9517936622</v>
      </c>
      <c r="D109" s="1" t="str">
        <f>IFERROR(__xludf.DUMMYFUNCTION("""COMPUTED_VALUE"""),"J&amp;G Compress")</f>
        <v>J&amp;G Compress</v>
      </c>
      <c r="E109" s="1" t="str">
        <f>IFERROR(__xludf.DUMMYFUNCTION("""COMPUTED_VALUE"""),"Nathaniel Phillips")</f>
        <v>Nathaniel Phillips</v>
      </c>
      <c r="F109" s="1" t="str">
        <f>IFERROR(__xludf.DUMMYFUNCTION("""COMPUTED_VALUE"""),"Tarakan")</f>
        <v>Tarakan</v>
      </c>
      <c r="G109" s="1" t="str">
        <f>IFERROR(__xludf.DUMMYFUNCTION("""COMPUTED_VALUE"""),"Bomber - Jacket Maroon")</f>
        <v>Bomber - Jacket Maroon</v>
      </c>
      <c r="H109" s="68">
        <f>IFERROR(__xludf.DUMMYFUNCTION("""COMPUTED_VALUE"""),249000.0)</f>
        <v>249000</v>
      </c>
      <c r="I109" s="68">
        <f>IFERROR(__xludf.DUMMYFUNCTION("""COMPUTED_VALUE"""),1.0)</f>
        <v>1</v>
      </c>
      <c r="J109" s="68">
        <f>IFERROR(__xludf.DUMMYFUNCTION("""COMPUTED_VALUE"""),249000.0)</f>
        <v>249000</v>
      </c>
      <c r="K109" s="68">
        <f>IFERROR(__xludf.DUMMYFUNCTION("""COMPUTED_VALUE"""),249000.0)</f>
        <v>249000</v>
      </c>
      <c r="L109" s="1" t="str">
        <f>IFERROR(__xludf.DUMMYFUNCTION("""COMPUTED_VALUE"""),"Jacket")</f>
        <v>Jacket</v>
      </c>
    </row>
    <row r="110">
      <c r="A110" s="1" t="str">
        <f>IFERROR(__xludf.DUMMYFUNCTION("""COMPUTED_VALUE"""),"EF133655490635734")</f>
        <v>EF133655490635734</v>
      </c>
      <c r="B110" s="67">
        <f>IFERROR(__xludf.DUMMYFUNCTION("""COMPUTED_VALUE"""),45690.0)</f>
        <v>45690</v>
      </c>
      <c r="C110" s="1" t="str">
        <f>IFERROR(__xludf.DUMMYFUNCTION("""COMPUTED_VALUE"""),"SH000819410486")</f>
        <v>SH000819410486</v>
      </c>
      <c r="D110" s="1" t="str">
        <f>IFERROR(__xludf.DUMMYFUNCTION("""COMPUTED_VALUE"""),"SiLumayanCepat")</f>
        <v>SiLumayanCepat</v>
      </c>
      <c r="E110" s="1" t="str">
        <f>IFERROR(__xludf.DUMMYFUNCTION("""COMPUTED_VALUE"""),"Phil Foden")</f>
        <v>Phil Foden</v>
      </c>
      <c r="F110" s="1" t="str">
        <f>IFERROR(__xludf.DUMMYFUNCTION("""COMPUTED_VALUE"""),"Surabaya")</f>
        <v>Surabaya</v>
      </c>
      <c r="G110" s="1" t="str">
        <f>IFERROR(__xludf.DUMMYFUNCTION("""COMPUTED_VALUE"""),"Cotton Pants - Short White")</f>
        <v>Cotton Pants - Short White</v>
      </c>
      <c r="H110" s="68">
        <f>IFERROR(__xludf.DUMMYFUNCTION("""COMPUTED_VALUE"""),149000.0)</f>
        <v>149000</v>
      </c>
      <c r="I110" s="68">
        <f>IFERROR(__xludf.DUMMYFUNCTION("""COMPUTED_VALUE"""),1.0)</f>
        <v>1</v>
      </c>
      <c r="J110" s="68">
        <f>IFERROR(__xludf.DUMMYFUNCTION("""COMPUTED_VALUE"""),149000.0)</f>
        <v>149000</v>
      </c>
      <c r="K110" s="68">
        <f>IFERROR(__xludf.DUMMYFUNCTION("""COMPUTED_VALUE"""),1742000.0)</f>
        <v>1742000</v>
      </c>
      <c r="L110" s="1" t="str">
        <f>IFERROR(__xludf.DUMMYFUNCTION("""COMPUTED_VALUE"""),"Pants")</f>
        <v>Pants</v>
      </c>
    </row>
    <row r="111">
      <c r="A111" s="1" t="str">
        <f>IFERROR(__xludf.DUMMYFUNCTION("""COMPUTED_VALUE"""),"EF133655490635734")</f>
        <v>EF133655490635734</v>
      </c>
      <c r="B111" s="67">
        <f>IFERROR(__xludf.DUMMYFUNCTION("""COMPUTED_VALUE"""),45690.0)</f>
        <v>45690</v>
      </c>
      <c r="C111" s="1" t="str">
        <f>IFERROR(__xludf.DUMMYFUNCTION("""COMPUTED_VALUE"""),"SH000819410486")</f>
        <v>SH000819410486</v>
      </c>
      <c r="D111" s="1" t="str">
        <f>IFERROR(__xludf.DUMMYFUNCTION("""COMPUTED_VALUE"""),"SiLumayanCepat")</f>
        <v>SiLumayanCepat</v>
      </c>
      <c r="E111" s="1" t="str">
        <f>IFERROR(__xludf.DUMMYFUNCTION("""COMPUTED_VALUE"""),"Phil Foden")</f>
        <v>Phil Foden</v>
      </c>
      <c r="F111" s="1" t="str">
        <f>IFERROR(__xludf.DUMMYFUNCTION("""COMPUTED_VALUE"""),"Surabaya")</f>
        <v>Surabaya</v>
      </c>
      <c r="G111" s="1" t="str">
        <f>IFERROR(__xludf.DUMMYFUNCTION("""COMPUTED_VALUE"""),"Cotton Pants - Short Grey")</f>
        <v>Cotton Pants - Short Grey</v>
      </c>
      <c r="H111" s="68">
        <f>IFERROR(__xludf.DUMMYFUNCTION("""COMPUTED_VALUE"""),149000.0)</f>
        <v>149000</v>
      </c>
      <c r="I111" s="68">
        <f>IFERROR(__xludf.DUMMYFUNCTION("""COMPUTED_VALUE"""),1.0)</f>
        <v>1</v>
      </c>
      <c r="J111" s="68">
        <f>IFERROR(__xludf.DUMMYFUNCTION("""COMPUTED_VALUE"""),149000.0)</f>
        <v>149000</v>
      </c>
      <c r="K111" s="68">
        <f>IFERROR(__xludf.DUMMYFUNCTION("""COMPUTED_VALUE"""),1742000.0)</f>
        <v>1742000</v>
      </c>
      <c r="L111" s="1" t="str">
        <f>IFERROR(__xludf.DUMMYFUNCTION("""COMPUTED_VALUE"""),"Pants")</f>
        <v>Pants</v>
      </c>
    </row>
    <row r="112">
      <c r="A112" s="1" t="str">
        <f>IFERROR(__xludf.DUMMYFUNCTION("""COMPUTED_VALUE"""),"EF133655490635734")</f>
        <v>EF133655490635734</v>
      </c>
      <c r="B112" s="67">
        <f>IFERROR(__xludf.DUMMYFUNCTION("""COMPUTED_VALUE"""),45690.0)</f>
        <v>45690</v>
      </c>
      <c r="C112" s="1" t="str">
        <f>IFERROR(__xludf.DUMMYFUNCTION("""COMPUTED_VALUE"""),"SH000819410486")</f>
        <v>SH000819410486</v>
      </c>
      <c r="D112" s="1" t="str">
        <f>IFERROR(__xludf.DUMMYFUNCTION("""COMPUTED_VALUE"""),"SiLumayanCepat")</f>
        <v>SiLumayanCepat</v>
      </c>
      <c r="E112" s="1" t="str">
        <f>IFERROR(__xludf.DUMMYFUNCTION("""COMPUTED_VALUE"""),"Phil Foden")</f>
        <v>Phil Foden</v>
      </c>
      <c r="F112" s="1" t="str">
        <f>IFERROR(__xludf.DUMMYFUNCTION("""COMPUTED_VALUE"""),"Surabaya")</f>
        <v>Surabaya</v>
      </c>
      <c r="G112" s="1" t="str">
        <f>IFERROR(__xludf.DUMMYFUNCTION("""COMPUTED_VALUE"""),"Bomber - Jacket Black")</f>
        <v>Bomber - Jacket Black</v>
      </c>
      <c r="H112" s="68">
        <f>IFERROR(__xludf.DUMMYFUNCTION("""COMPUTED_VALUE"""),249000.0)</f>
        <v>249000</v>
      </c>
      <c r="I112" s="68">
        <f>IFERROR(__xludf.DUMMYFUNCTION("""COMPUTED_VALUE"""),1.0)</f>
        <v>1</v>
      </c>
      <c r="J112" s="68">
        <f>IFERROR(__xludf.DUMMYFUNCTION("""COMPUTED_VALUE"""),249000.0)</f>
        <v>249000</v>
      </c>
      <c r="K112" s="68">
        <f>IFERROR(__xludf.DUMMYFUNCTION("""COMPUTED_VALUE"""),1742000.0)</f>
        <v>1742000</v>
      </c>
      <c r="L112" s="1" t="str">
        <f>IFERROR(__xludf.DUMMYFUNCTION("""COMPUTED_VALUE"""),"Jacket")</f>
        <v>Jacket</v>
      </c>
    </row>
    <row r="113">
      <c r="A113" s="1" t="str">
        <f>IFERROR(__xludf.DUMMYFUNCTION("""COMPUTED_VALUE"""),"EF133655490635734")</f>
        <v>EF133655490635734</v>
      </c>
      <c r="B113" s="67">
        <f>IFERROR(__xludf.DUMMYFUNCTION("""COMPUTED_VALUE"""),45690.0)</f>
        <v>45690</v>
      </c>
      <c r="C113" s="1" t="str">
        <f>IFERROR(__xludf.DUMMYFUNCTION("""COMPUTED_VALUE"""),"SH000819410486")</f>
        <v>SH000819410486</v>
      </c>
      <c r="D113" s="1" t="str">
        <f>IFERROR(__xludf.DUMMYFUNCTION("""COMPUTED_VALUE"""),"SiLumayanCepat")</f>
        <v>SiLumayanCepat</v>
      </c>
      <c r="E113" s="1" t="str">
        <f>IFERROR(__xludf.DUMMYFUNCTION("""COMPUTED_VALUE"""),"Phil Foden")</f>
        <v>Phil Foden</v>
      </c>
      <c r="F113" s="1" t="str">
        <f>IFERROR(__xludf.DUMMYFUNCTION("""COMPUTED_VALUE"""),"Surabaya")</f>
        <v>Surabaya</v>
      </c>
      <c r="G113" s="1" t="str">
        <f>IFERROR(__xludf.DUMMYFUNCTION("""COMPUTED_VALUE"""),"Bomber - Jacket Navy")</f>
        <v>Bomber - Jacket Navy</v>
      </c>
      <c r="H113" s="68">
        <f>IFERROR(__xludf.DUMMYFUNCTION("""COMPUTED_VALUE"""),249000.0)</f>
        <v>249000</v>
      </c>
      <c r="I113" s="68">
        <f>IFERROR(__xludf.DUMMYFUNCTION("""COMPUTED_VALUE"""),1.0)</f>
        <v>1</v>
      </c>
      <c r="J113" s="68">
        <f>IFERROR(__xludf.DUMMYFUNCTION("""COMPUTED_VALUE"""),249000.0)</f>
        <v>249000</v>
      </c>
      <c r="K113" s="68">
        <f>IFERROR(__xludf.DUMMYFUNCTION("""COMPUTED_VALUE"""),1742000.0)</f>
        <v>1742000</v>
      </c>
      <c r="L113" s="1" t="str">
        <f>IFERROR(__xludf.DUMMYFUNCTION("""COMPUTED_VALUE"""),"Jacket")</f>
        <v>Jacket</v>
      </c>
    </row>
    <row r="114">
      <c r="A114" s="1" t="str">
        <f>IFERROR(__xludf.DUMMYFUNCTION("""COMPUTED_VALUE"""),"EF133655490635734")</f>
        <v>EF133655490635734</v>
      </c>
      <c r="B114" s="67">
        <f>IFERROR(__xludf.DUMMYFUNCTION("""COMPUTED_VALUE"""),45690.0)</f>
        <v>45690</v>
      </c>
      <c r="C114" s="1" t="str">
        <f>IFERROR(__xludf.DUMMYFUNCTION("""COMPUTED_VALUE"""),"SH000819410486")</f>
        <v>SH000819410486</v>
      </c>
      <c r="D114" s="1" t="str">
        <f>IFERROR(__xludf.DUMMYFUNCTION("""COMPUTED_VALUE"""),"SiLumayanCepat")</f>
        <v>SiLumayanCepat</v>
      </c>
      <c r="E114" s="1" t="str">
        <f>IFERROR(__xludf.DUMMYFUNCTION("""COMPUTED_VALUE"""),"Phil Foden")</f>
        <v>Phil Foden</v>
      </c>
      <c r="F114" s="1" t="str">
        <f>IFERROR(__xludf.DUMMYFUNCTION("""COMPUTED_VALUE"""),"Surabaya")</f>
        <v>Surabaya</v>
      </c>
      <c r="G114" s="1" t="str">
        <f>IFERROR(__xludf.DUMMYFUNCTION("""COMPUTED_VALUE"""),"Bomber - Jacket Dark Grey")</f>
        <v>Bomber - Jacket Dark Grey</v>
      </c>
      <c r="H114" s="68">
        <f>IFERROR(__xludf.DUMMYFUNCTION("""COMPUTED_VALUE"""),249000.0)</f>
        <v>249000</v>
      </c>
      <c r="I114" s="68">
        <f>IFERROR(__xludf.DUMMYFUNCTION("""COMPUTED_VALUE"""),1.0)</f>
        <v>1</v>
      </c>
      <c r="J114" s="68">
        <f>IFERROR(__xludf.DUMMYFUNCTION("""COMPUTED_VALUE"""),249000.0)</f>
        <v>249000</v>
      </c>
      <c r="K114" s="68">
        <f>IFERROR(__xludf.DUMMYFUNCTION("""COMPUTED_VALUE"""),1742000.0)</f>
        <v>1742000</v>
      </c>
      <c r="L114" s="1" t="str">
        <f>IFERROR(__xludf.DUMMYFUNCTION("""COMPUTED_VALUE"""),"Jacket")</f>
        <v>Jacket</v>
      </c>
    </row>
    <row r="115">
      <c r="A115" s="1" t="str">
        <f>IFERROR(__xludf.DUMMYFUNCTION("""COMPUTED_VALUE"""),"EF133655490635734")</f>
        <v>EF133655490635734</v>
      </c>
      <c r="B115" s="67">
        <f>IFERROR(__xludf.DUMMYFUNCTION("""COMPUTED_VALUE"""),45690.0)</f>
        <v>45690</v>
      </c>
      <c r="C115" s="1" t="str">
        <f>IFERROR(__xludf.DUMMYFUNCTION("""COMPUTED_VALUE"""),"SH000819410486")</f>
        <v>SH000819410486</v>
      </c>
      <c r="D115" s="1" t="str">
        <f>IFERROR(__xludf.DUMMYFUNCTION("""COMPUTED_VALUE"""),"SiLumayanCepat")</f>
        <v>SiLumayanCepat</v>
      </c>
      <c r="E115" s="1" t="str">
        <f>IFERROR(__xludf.DUMMYFUNCTION("""COMPUTED_VALUE"""),"Phil Foden")</f>
        <v>Phil Foden</v>
      </c>
      <c r="F115" s="1" t="str">
        <f>IFERROR(__xludf.DUMMYFUNCTION("""COMPUTED_VALUE"""),"Surabaya")</f>
        <v>Surabaya</v>
      </c>
      <c r="G115" s="1" t="str">
        <f>IFERROR(__xludf.DUMMYFUNCTION("""COMPUTED_VALUE"""),"Bomber - Jacket Maroon")</f>
        <v>Bomber - Jacket Maroon</v>
      </c>
      <c r="H115" s="68">
        <f>IFERROR(__xludf.DUMMYFUNCTION("""COMPUTED_VALUE"""),249000.0)</f>
        <v>249000</v>
      </c>
      <c r="I115" s="68">
        <f>IFERROR(__xludf.DUMMYFUNCTION("""COMPUTED_VALUE"""),2.0)</f>
        <v>2</v>
      </c>
      <c r="J115" s="68">
        <f>IFERROR(__xludf.DUMMYFUNCTION("""COMPUTED_VALUE"""),498000.0)</f>
        <v>498000</v>
      </c>
      <c r="K115" s="68">
        <f>IFERROR(__xludf.DUMMYFUNCTION("""COMPUTED_VALUE"""),1742000.0)</f>
        <v>1742000</v>
      </c>
      <c r="L115" s="1" t="str">
        <f>IFERROR(__xludf.DUMMYFUNCTION("""COMPUTED_VALUE"""),"Jacket")</f>
        <v>Jacket</v>
      </c>
    </row>
    <row r="116">
      <c r="A116" s="1" t="str">
        <f>IFERROR(__xludf.DUMMYFUNCTION("""COMPUTED_VALUE"""),"EF133655490635734")</f>
        <v>EF133655490635734</v>
      </c>
      <c r="B116" s="67">
        <f>IFERROR(__xludf.DUMMYFUNCTION("""COMPUTED_VALUE"""),45690.0)</f>
        <v>45690</v>
      </c>
      <c r="C116" s="1" t="str">
        <f>IFERROR(__xludf.DUMMYFUNCTION("""COMPUTED_VALUE"""),"SH000819410486")</f>
        <v>SH000819410486</v>
      </c>
      <c r="D116" s="1" t="str">
        <f>IFERROR(__xludf.DUMMYFUNCTION("""COMPUTED_VALUE"""),"SiLumayanCepat")</f>
        <v>SiLumayanCepat</v>
      </c>
      <c r="E116" s="1" t="str">
        <f>IFERROR(__xludf.DUMMYFUNCTION("""COMPUTED_VALUE"""),"Phil Foden")</f>
        <v>Phil Foden</v>
      </c>
      <c r="F116" s="1" t="str">
        <f>IFERROR(__xludf.DUMMYFUNCTION("""COMPUTED_VALUE"""),"Surabaya")</f>
        <v>Surabaya</v>
      </c>
      <c r="G116" s="1" t="str">
        <f>IFERROR(__xludf.DUMMYFUNCTION("""COMPUTED_VALUE"""),"Colarless Shirt Long Sleeve Black")</f>
        <v>Colarless Shirt Long Sleeve Black</v>
      </c>
      <c r="H116" s="68">
        <f>IFERROR(__xludf.DUMMYFUNCTION("""COMPUTED_VALUE"""),199000.0)</f>
        <v>199000</v>
      </c>
      <c r="I116" s="68">
        <f>IFERROR(__xludf.DUMMYFUNCTION("""COMPUTED_VALUE"""),1.0)</f>
        <v>1</v>
      </c>
      <c r="J116" s="68">
        <f>IFERROR(__xludf.DUMMYFUNCTION("""COMPUTED_VALUE"""),199000.0)</f>
        <v>199000</v>
      </c>
      <c r="K116" s="68">
        <f>IFERROR(__xludf.DUMMYFUNCTION("""COMPUTED_VALUE"""),1742000.0)</f>
        <v>1742000</v>
      </c>
      <c r="L116" s="1" t="str">
        <f>IFERROR(__xludf.DUMMYFUNCTION("""COMPUTED_VALUE"""),"Shirt")</f>
        <v>Shirt</v>
      </c>
    </row>
    <row r="117">
      <c r="A117" s="1" t="str">
        <f>IFERROR(__xludf.DUMMYFUNCTION("""COMPUTED_VALUE"""),"EF138428014121369")</f>
        <v>EF138428014121369</v>
      </c>
      <c r="B117" s="67">
        <f>IFERROR(__xludf.DUMMYFUNCTION("""COMPUTED_VALUE"""),45690.0)</f>
        <v>45690</v>
      </c>
      <c r="C117" s="1" t="str">
        <f>IFERROR(__xludf.DUMMYFUNCTION("""COMPUTED_VALUE"""),"SH002501038613")</f>
        <v>SH002501038613</v>
      </c>
      <c r="D117" s="1" t="str">
        <f>IFERROR(__xludf.DUMMYFUNCTION("""COMPUTED_VALUE"""),"SiLumayanCepat")</f>
        <v>SiLumayanCepat</v>
      </c>
      <c r="E117" s="1" t="str">
        <f>IFERROR(__xludf.DUMMYFUNCTION("""COMPUTED_VALUE"""),"Oriol Busquets")</f>
        <v>Oriol Busquets</v>
      </c>
      <c r="F117" s="1" t="str">
        <f>IFERROR(__xludf.DUMMYFUNCTION("""COMPUTED_VALUE"""),"Tangerang")</f>
        <v>Tangerang</v>
      </c>
      <c r="G117" s="1" t="str">
        <f>IFERROR(__xludf.DUMMYFUNCTION("""COMPUTED_VALUE"""),"Short Sleeve - Cotton Shirt Maroon")</f>
        <v>Short Sleeve - Cotton Shirt Maroon</v>
      </c>
      <c r="H117" s="68">
        <f>IFERROR(__xludf.DUMMYFUNCTION("""COMPUTED_VALUE"""),179000.0)</f>
        <v>179000</v>
      </c>
      <c r="I117" s="68">
        <f>IFERROR(__xludf.DUMMYFUNCTION("""COMPUTED_VALUE"""),1.0)</f>
        <v>1</v>
      </c>
      <c r="J117" s="68">
        <f>IFERROR(__xludf.DUMMYFUNCTION("""COMPUTED_VALUE"""),179000.0)</f>
        <v>179000</v>
      </c>
      <c r="K117" s="68">
        <f>IFERROR(__xludf.DUMMYFUNCTION("""COMPUTED_VALUE"""),179000.0)</f>
        <v>179000</v>
      </c>
      <c r="L117" s="1" t="str">
        <f>IFERROR(__xludf.DUMMYFUNCTION("""COMPUTED_VALUE"""),"Shirt")</f>
        <v>Shirt</v>
      </c>
    </row>
    <row r="118">
      <c r="A118" s="1" t="str">
        <f>IFERROR(__xludf.DUMMYFUNCTION("""COMPUTED_VALUE"""),"EF130628686619702")</f>
        <v>EF130628686619702</v>
      </c>
      <c r="B118" s="67">
        <f>IFERROR(__xludf.DUMMYFUNCTION("""COMPUTED_VALUE"""),45691.0)</f>
        <v>45691</v>
      </c>
      <c r="C118" s="1" t="str">
        <f>IFERROR(__xludf.DUMMYFUNCTION("""COMPUTED_VALUE"""),"SHJP5607552322")</f>
        <v>SHJP5607552322</v>
      </c>
      <c r="D118" s="1" t="str">
        <f>IFERROR(__xludf.DUMMYFUNCTION("""COMPUTED_VALUE"""),"J&amp;G Compress")</f>
        <v>J&amp;G Compress</v>
      </c>
      <c r="E118" s="1" t="str">
        <f>IFERROR(__xludf.DUMMYFUNCTION("""COMPUTED_VALUE"""),"Trent Alexander-Arnold")</f>
        <v>Trent Alexander-Arnold</v>
      </c>
      <c r="F118" s="1" t="str">
        <f>IFERROR(__xludf.DUMMYFUNCTION("""COMPUTED_VALUE"""),"Jakarta")</f>
        <v>Jakarta</v>
      </c>
      <c r="G118" s="1" t="str">
        <f>IFERROR(__xludf.DUMMYFUNCTION("""COMPUTED_VALUE"""),"Colarless Shirt Long Sleeve Black")</f>
        <v>Colarless Shirt Long Sleeve Black</v>
      </c>
      <c r="H118" s="68">
        <f>IFERROR(__xludf.DUMMYFUNCTION("""COMPUTED_VALUE"""),199000.0)</f>
        <v>199000</v>
      </c>
      <c r="I118" s="68">
        <f>IFERROR(__xludf.DUMMYFUNCTION("""COMPUTED_VALUE"""),1.0)</f>
        <v>1</v>
      </c>
      <c r="J118" s="68">
        <f>IFERROR(__xludf.DUMMYFUNCTION("""COMPUTED_VALUE"""),199000.0)</f>
        <v>199000</v>
      </c>
      <c r="K118" s="68">
        <f>IFERROR(__xludf.DUMMYFUNCTION("""COMPUTED_VALUE"""),199000.0)</f>
        <v>199000</v>
      </c>
      <c r="L118" s="1" t="str">
        <f>IFERROR(__xludf.DUMMYFUNCTION("""COMPUTED_VALUE"""),"Shirt")</f>
        <v>Shirt</v>
      </c>
    </row>
    <row r="119">
      <c r="A119" s="1" t="str">
        <f>IFERROR(__xludf.DUMMYFUNCTION("""COMPUTED_VALUE"""),"EF132152579926410")</f>
        <v>EF132152579926410</v>
      </c>
      <c r="B119" s="67">
        <f>IFERROR(__xludf.DUMMYFUNCTION("""COMPUTED_VALUE"""),45691.0)</f>
        <v>45691</v>
      </c>
      <c r="C119" s="1" t="str">
        <f>IFERROR(__xludf.DUMMYFUNCTION("""COMPUTED_VALUE"""),"SHJP4763729595")</f>
        <v>SHJP4763729595</v>
      </c>
      <c r="D119" s="1" t="str">
        <f>IFERROR(__xludf.DUMMYFUNCTION("""COMPUTED_VALUE"""),"J&amp;G Compress")</f>
        <v>J&amp;G Compress</v>
      </c>
      <c r="E119" s="1" t="str">
        <f>IFERROR(__xludf.DUMMYFUNCTION("""COMPUTED_VALUE"""),"Luke Shaw")</f>
        <v>Luke Shaw</v>
      </c>
      <c r="F119" s="1" t="str">
        <f>IFERROR(__xludf.DUMMYFUNCTION("""COMPUTED_VALUE"""),"Balikpapan")</f>
        <v>Balikpapan</v>
      </c>
      <c r="G119" s="1" t="str">
        <f>IFERROR(__xludf.DUMMYFUNCTION("""COMPUTED_VALUE"""),"Cotton Pants - Short Black")</f>
        <v>Cotton Pants - Short Black</v>
      </c>
      <c r="H119" s="68">
        <f>IFERROR(__xludf.DUMMYFUNCTION("""COMPUTED_VALUE"""),149000.0)</f>
        <v>149000</v>
      </c>
      <c r="I119" s="68">
        <f>IFERROR(__xludf.DUMMYFUNCTION("""COMPUTED_VALUE"""),2.0)</f>
        <v>2</v>
      </c>
      <c r="J119" s="68">
        <f>IFERROR(__xludf.DUMMYFUNCTION("""COMPUTED_VALUE"""),298000.0)</f>
        <v>298000</v>
      </c>
      <c r="K119" s="68">
        <f>IFERROR(__xludf.DUMMYFUNCTION("""COMPUTED_VALUE"""),298000.0)</f>
        <v>298000</v>
      </c>
      <c r="L119" s="1" t="str">
        <f>IFERROR(__xludf.DUMMYFUNCTION("""COMPUTED_VALUE"""),"Pants")</f>
        <v>Pants</v>
      </c>
    </row>
    <row r="120">
      <c r="A120" s="1" t="str">
        <f>IFERROR(__xludf.DUMMYFUNCTION("""COMPUTED_VALUE"""),"EF138468158245465")</f>
        <v>EF138468158245465</v>
      </c>
      <c r="B120" s="67">
        <f>IFERROR(__xludf.DUMMYFUNCTION("""COMPUTED_VALUE"""),45691.0)</f>
        <v>45691</v>
      </c>
      <c r="C120" s="1" t="str">
        <f>IFERROR(__xludf.DUMMYFUNCTION("""COMPUTED_VALUE"""),"SH002501038614")</f>
        <v>SH002501038614</v>
      </c>
      <c r="D120" s="1" t="str">
        <f>IFERROR(__xludf.DUMMYFUNCTION("""COMPUTED_VALUE"""),"SiLumayanCepat")</f>
        <v>SiLumayanCepat</v>
      </c>
      <c r="E120" s="1" t="str">
        <f>IFERROR(__xludf.DUMMYFUNCTION("""COMPUTED_VALUE"""),"Matheus Fernandes")</f>
        <v>Matheus Fernandes</v>
      </c>
      <c r="F120" s="1" t="str">
        <f>IFERROR(__xludf.DUMMYFUNCTION("""COMPUTED_VALUE"""),"Yogyakarta")</f>
        <v>Yogyakarta</v>
      </c>
      <c r="G120" s="1" t="str">
        <f>IFERROR(__xludf.DUMMYFUNCTION("""COMPUTED_VALUE"""),"Short Sleeve - Cotton Shirt White")</f>
        <v>Short Sleeve - Cotton Shirt White</v>
      </c>
      <c r="H120" s="68">
        <f>IFERROR(__xludf.DUMMYFUNCTION("""COMPUTED_VALUE"""),179000.0)</f>
        <v>179000</v>
      </c>
      <c r="I120" s="68">
        <f>IFERROR(__xludf.DUMMYFUNCTION("""COMPUTED_VALUE"""),1.0)</f>
        <v>1</v>
      </c>
      <c r="J120" s="68">
        <f>IFERROR(__xludf.DUMMYFUNCTION("""COMPUTED_VALUE"""),179000.0)</f>
        <v>179000</v>
      </c>
      <c r="K120" s="68">
        <f>IFERROR(__xludf.DUMMYFUNCTION("""COMPUTED_VALUE"""),179000.0)</f>
        <v>179000</v>
      </c>
      <c r="L120" s="1" t="str">
        <f>IFERROR(__xludf.DUMMYFUNCTION("""COMPUTED_VALUE"""),"Shirt")</f>
        <v>Shirt</v>
      </c>
    </row>
    <row r="121">
      <c r="A121" s="1" t="str">
        <f>IFERROR(__xludf.DUMMYFUNCTION("""COMPUTED_VALUE"""),"EF130666568938822")</f>
        <v>EF130666568938822</v>
      </c>
      <c r="B121" s="67">
        <f>IFERROR(__xludf.DUMMYFUNCTION("""COMPUTED_VALUE"""),45692.0)</f>
        <v>45692</v>
      </c>
      <c r="C121" s="1" t="str">
        <f>IFERROR(__xludf.DUMMYFUNCTION("""COMPUTED_VALUE"""),"SHJP7827576301")</f>
        <v>SHJP7827576301</v>
      </c>
      <c r="D121" s="1" t="str">
        <f>IFERROR(__xludf.DUMMYFUNCTION("""COMPUTED_VALUE"""),"J&amp;G Compress")</f>
        <v>J&amp;G Compress</v>
      </c>
      <c r="E121" s="1" t="str">
        <f>IFERROR(__xludf.DUMMYFUNCTION("""COMPUTED_VALUE"""),"Neco Williams")</f>
        <v>Neco Williams</v>
      </c>
      <c r="F121" s="1" t="str">
        <f>IFERROR(__xludf.DUMMYFUNCTION("""COMPUTED_VALUE"""),"Jakarta")</f>
        <v>Jakarta</v>
      </c>
      <c r="G121" s="1" t="str">
        <f>IFERROR(__xludf.DUMMYFUNCTION("""COMPUTED_VALUE"""),"Colarless Shirt Long Sleeve Maroon")</f>
        <v>Colarless Shirt Long Sleeve Maroon</v>
      </c>
      <c r="H121" s="68">
        <f>IFERROR(__xludf.DUMMYFUNCTION("""COMPUTED_VALUE"""),199000.0)</f>
        <v>199000</v>
      </c>
      <c r="I121" s="68">
        <f>IFERROR(__xludf.DUMMYFUNCTION("""COMPUTED_VALUE"""),1.0)</f>
        <v>1</v>
      </c>
      <c r="J121" s="68">
        <f>IFERROR(__xludf.DUMMYFUNCTION("""COMPUTED_VALUE"""),199000.0)</f>
        <v>199000</v>
      </c>
      <c r="K121" s="68">
        <f>IFERROR(__xludf.DUMMYFUNCTION("""COMPUTED_VALUE"""),398000.0)</f>
        <v>398000</v>
      </c>
      <c r="L121" s="1" t="str">
        <f>IFERROR(__xludf.DUMMYFUNCTION("""COMPUTED_VALUE"""),"Shirt")</f>
        <v>Shirt</v>
      </c>
    </row>
    <row r="122">
      <c r="A122" s="1" t="str">
        <f>IFERROR(__xludf.DUMMYFUNCTION("""COMPUTED_VALUE"""),"EF130666568938822")</f>
        <v>EF130666568938822</v>
      </c>
      <c r="B122" s="67">
        <f>IFERROR(__xludf.DUMMYFUNCTION("""COMPUTED_VALUE"""),45692.0)</f>
        <v>45692</v>
      </c>
      <c r="C122" s="1" t="str">
        <f>IFERROR(__xludf.DUMMYFUNCTION("""COMPUTED_VALUE"""),"SHJP7827576301")</f>
        <v>SHJP7827576301</v>
      </c>
      <c r="D122" s="1" t="str">
        <f>IFERROR(__xludf.DUMMYFUNCTION("""COMPUTED_VALUE"""),"J&amp;G Compress")</f>
        <v>J&amp;G Compress</v>
      </c>
      <c r="E122" s="1" t="str">
        <f>IFERROR(__xludf.DUMMYFUNCTION("""COMPUTED_VALUE"""),"Neco Williams")</f>
        <v>Neco Williams</v>
      </c>
      <c r="F122" s="1" t="str">
        <f>IFERROR(__xludf.DUMMYFUNCTION("""COMPUTED_VALUE"""),"Jakarta")</f>
        <v>Jakarta</v>
      </c>
      <c r="G122" s="1" t="str">
        <f>IFERROR(__xludf.DUMMYFUNCTION("""COMPUTED_VALUE"""),"Colarless Shirt Long Sleeve Navy")</f>
        <v>Colarless Shirt Long Sleeve Navy</v>
      </c>
      <c r="H122" s="68">
        <f>IFERROR(__xludf.DUMMYFUNCTION("""COMPUTED_VALUE"""),199000.0)</f>
        <v>199000</v>
      </c>
      <c r="I122" s="68">
        <f>IFERROR(__xludf.DUMMYFUNCTION("""COMPUTED_VALUE"""),1.0)</f>
        <v>1</v>
      </c>
      <c r="J122" s="68">
        <f>IFERROR(__xludf.DUMMYFUNCTION("""COMPUTED_VALUE"""),199000.0)</f>
        <v>199000</v>
      </c>
      <c r="K122" s="68">
        <f>IFERROR(__xludf.DUMMYFUNCTION("""COMPUTED_VALUE"""),398000.0)</f>
        <v>398000</v>
      </c>
      <c r="L122" s="1" t="str">
        <f>IFERROR(__xludf.DUMMYFUNCTION("""COMPUTED_VALUE"""),"Shirt")</f>
        <v>Shirt</v>
      </c>
    </row>
    <row r="123">
      <c r="A123" s="1" t="str">
        <f>IFERROR(__xludf.DUMMYFUNCTION("""COMPUTED_VALUE"""),"EF132190904174589")</f>
        <v>EF132190904174589</v>
      </c>
      <c r="B123" s="67">
        <f>IFERROR(__xludf.DUMMYFUNCTION("""COMPUTED_VALUE"""),45692.0)</f>
        <v>45692</v>
      </c>
      <c r="C123" s="1" t="str">
        <f>IFERROR(__xludf.DUMMYFUNCTION("""COMPUTED_VALUE"""),"SH000818826617")</f>
        <v>SH000818826617</v>
      </c>
      <c r="D123" s="1" t="str">
        <f>IFERROR(__xludf.DUMMYFUNCTION("""COMPUTED_VALUE"""),"SiLumayanCepat")</f>
        <v>SiLumayanCepat</v>
      </c>
      <c r="E123" s="1" t="str">
        <f>IFERROR(__xludf.DUMMYFUNCTION("""COMPUTED_VALUE"""),"Timothy Fosu-Mensah")</f>
        <v>Timothy Fosu-Mensah</v>
      </c>
      <c r="F123" s="1" t="str">
        <f>IFERROR(__xludf.DUMMYFUNCTION("""COMPUTED_VALUE"""),"Bandung")</f>
        <v>Bandung</v>
      </c>
      <c r="G123" s="1" t="str">
        <f>IFERROR(__xludf.DUMMYFUNCTION("""COMPUTED_VALUE"""),"Cotton Pants - Short White")</f>
        <v>Cotton Pants - Short White</v>
      </c>
      <c r="H123" s="68">
        <f>IFERROR(__xludf.DUMMYFUNCTION("""COMPUTED_VALUE"""),149000.0)</f>
        <v>149000</v>
      </c>
      <c r="I123" s="68">
        <f>IFERROR(__xludf.DUMMYFUNCTION("""COMPUTED_VALUE"""),1.0)</f>
        <v>1</v>
      </c>
      <c r="J123" s="68">
        <f>IFERROR(__xludf.DUMMYFUNCTION("""COMPUTED_VALUE"""),149000.0)</f>
        <v>149000</v>
      </c>
      <c r="K123" s="68">
        <f>IFERROR(__xludf.DUMMYFUNCTION("""COMPUTED_VALUE"""),149000.0)</f>
        <v>149000</v>
      </c>
      <c r="L123" s="1" t="str">
        <f>IFERROR(__xludf.DUMMYFUNCTION("""COMPUTED_VALUE"""),"Pants")</f>
        <v>Pants</v>
      </c>
    </row>
    <row r="124">
      <c r="A124" s="1" t="str">
        <f>IFERROR(__xludf.DUMMYFUNCTION("""COMPUTED_VALUE"""),"EF138508314011356")</f>
        <v>EF138508314011356</v>
      </c>
      <c r="B124" s="67">
        <f>IFERROR(__xludf.DUMMYFUNCTION("""COMPUTED_VALUE"""),45692.0)</f>
        <v>45692</v>
      </c>
      <c r="C124" s="1" t="str">
        <f>IFERROR(__xludf.DUMMYFUNCTION("""COMPUTED_VALUE"""),"SH002501038615")</f>
        <v>SH002501038615</v>
      </c>
      <c r="D124" s="1" t="str">
        <f>IFERROR(__xludf.DUMMYFUNCTION("""COMPUTED_VALUE"""),"SiLumayanCepat")</f>
        <v>SiLumayanCepat</v>
      </c>
      <c r="E124" s="1" t="str">
        <f>IFERROR(__xludf.DUMMYFUNCTION("""COMPUTED_VALUE"""),"Moussa Wagué")</f>
        <v>Moussa Wagué</v>
      </c>
      <c r="F124" s="1" t="str">
        <f>IFERROR(__xludf.DUMMYFUNCTION("""COMPUTED_VALUE"""),"Padang")</f>
        <v>Padang</v>
      </c>
      <c r="G124" s="1" t="str">
        <f>IFERROR(__xludf.DUMMYFUNCTION("""COMPUTED_VALUE"""),"Short Sleeve - Cotton Shirt Khaki")</f>
        <v>Short Sleeve - Cotton Shirt Khaki</v>
      </c>
      <c r="H124" s="68">
        <f>IFERROR(__xludf.DUMMYFUNCTION("""COMPUTED_VALUE"""),179000.0)</f>
        <v>179000</v>
      </c>
      <c r="I124" s="68">
        <f>IFERROR(__xludf.DUMMYFUNCTION("""COMPUTED_VALUE"""),1.0)</f>
        <v>1</v>
      </c>
      <c r="J124" s="68">
        <f>IFERROR(__xludf.DUMMYFUNCTION("""COMPUTED_VALUE"""),179000.0)</f>
        <v>179000</v>
      </c>
      <c r="K124" s="68">
        <f>IFERROR(__xludf.DUMMYFUNCTION("""COMPUTED_VALUE"""),179000.0)</f>
        <v>179000</v>
      </c>
      <c r="L124" s="1" t="str">
        <f>IFERROR(__xludf.DUMMYFUNCTION("""COMPUTED_VALUE"""),"Shirt")</f>
        <v>Shirt</v>
      </c>
    </row>
    <row r="125">
      <c r="A125" s="1" t="str">
        <f>IFERROR(__xludf.DUMMYFUNCTION("""COMPUTED_VALUE"""),"EF132229239536800")</f>
        <v>EF132229239536800</v>
      </c>
      <c r="B125" s="67">
        <f>IFERROR(__xludf.DUMMYFUNCTION("""COMPUTED_VALUE"""),45693.0)</f>
        <v>45693</v>
      </c>
      <c r="C125" s="1" t="str">
        <f>IFERROR(__xludf.DUMMYFUNCTION("""COMPUTED_VALUE"""),"SH000818928053")</f>
        <v>SH000818928053</v>
      </c>
      <c r="D125" s="1" t="str">
        <f>IFERROR(__xludf.DUMMYFUNCTION("""COMPUTED_VALUE"""),"SiLumayanCepat")</f>
        <v>SiLumayanCepat</v>
      </c>
      <c r="E125" s="1" t="str">
        <f>IFERROR(__xludf.DUMMYFUNCTION("""COMPUTED_VALUE"""),"Odion Ighalo")</f>
        <v>Odion Ighalo</v>
      </c>
      <c r="F125" s="1" t="str">
        <f>IFERROR(__xludf.DUMMYFUNCTION("""COMPUTED_VALUE"""),"Banjarmasin")</f>
        <v>Banjarmasin</v>
      </c>
      <c r="G125" s="1" t="str">
        <f>IFERROR(__xludf.DUMMYFUNCTION("""COMPUTED_VALUE"""),"Cotton Pants - Short Grey")</f>
        <v>Cotton Pants - Short Grey</v>
      </c>
      <c r="H125" s="68">
        <f>IFERROR(__xludf.DUMMYFUNCTION("""COMPUTED_VALUE"""),149000.0)</f>
        <v>149000</v>
      </c>
      <c r="I125" s="68">
        <f>IFERROR(__xludf.DUMMYFUNCTION("""COMPUTED_VALUE"""),1.0)</f>
        <v>1</v>
      </c>
      <c r="J125" s="68">
        <f>IFERROR(__xludf.DUMMYFUNCTION("""COMPUTED_VALUE"""),149000.0)</f>
        <v>149000</v>
      </c>
      <c r="K125" s="68">
        <f>IFERROR(__xludf.DUMMYFUNCTION("""COMPUTED_VALUE"""),149000.0)</f>
        <v>149000</v>
      </c>
      <c r="L125" s="1" t="str">
        <f>IFERROR(__xludf.DUMMYFUNCTION("""COMPUTED_VALUE"""),"Pants")</f>
        <v>Pants</v>
      </c>
    </row>
    <row r="126">
      <c r="A126" s="1" t="str">
        <f>IFERROR(__xludf.DUMMYFUNCTION("""COMPUTED_VALUE"""),"EF138548481422419")</f>
        <v>EF138548481422419</v>
      </c>
      <c r="B126" s="67">
        <f>IFERROR(__xludf.DUMMYFUNCTION("""COMPUTED_VALUE"""),45693.0)</f>
        <v>45693</v>
      </c>
      <c r="C126" s="1" t="str">
        <f>IFERROR(__xludf.DUMMYFUNCTION("""COMPUTED_VALUE"""),"SHJP7150934162")</f>
        <v>SHJP7150934162</v>
      </c>
      <c r="D126" s="1" t="str">
        <f>IFERROR(__xludf.DUMMYFUNCTION("""COMPUTED_VALUE"""),"J&amp;G Compress")</f>
        <v>J&amp;G Compress</v>
      </c>
      <c r="E126" s="1" t="str">
        <f>IFERROR(__xludf.DUMMYFUNCTION("""COMPUTED_VALUE"""),"Francisco Trincão")</f>
        <v>Francisco Trincão</v>
      </c>
      <c r="F126" s="1" t="str">
        <f>IFERROR(__xludf.DUMMYFUNCTION("""COMPUTED_VALUE"""),"Cilacap")</f>
        <v>Cilacap</v>
      </c>
      <c r="G126" s="1" t="str">
        <f>IFERROR(__xludf.DUMMYFUNCTION("""COMPUTED_VALUE"""),"Short Sleeve - Cotton Shirt Grey")</f>
        <v>Short Sleeve - Cotton Shirt Grey</v>
      </c>
      <c r="H126" s="68">
        <f>IFERROR(__xludf.DUMMYFUNCTION("""COMPUTED_VALUE"""),179000.0)</f>
        <v>179000</v>
      </c>
      <c r="I126" s="68">
        <f>IFERROR(__xludf.DUMMYFUNCTION("""COMPUTED_VALUE"""),2.0)</f>
        <v>2</v>
      </c>
      <c r="J126" s="68">
        <f>IFERROR(__xludf.DUMMYFUNCTION("""COMPUTED_VALUE"""),358000.0)</f>
        <v>358000</v>
      </c>
      <c r="K126" s="68">
        <f>IFERROR(__xludf.DUMMYFUNCTION("""COMPUTED_VALUE"""),358000.0)</f>
        <v>358000</v>
      </c>
      <c r="L126" s="1" t="str">
        <f>IFERROR(__xludf.DUMMYFUNCTION("""COMPUTED_VALUE"""),"Shirt")</f>
        <v>Shirt</v>
      </c>
    </row>
    <row r="127">
      <c r="A127" s="1" t="str">
        <f>IFERROR(__xludf.DUMMYFUNCTION("""COMPUTED_VALUE"""),"EF130742366537865")</f>
        <v>EF130742366537865</v>
      </c>
      <c r="B127" s="67">
        <f>IFERROR(__xludf.DUMMYFUNCTION("""COMPUTED_VALUE"""),45694.0)</f>
        <v>45694</v>
      </c>
      <c r="C127" s="1" t="str">
        <f>IFERROR(__xludf.DUMMYFUNCTION("""COMPUTED_VALUE"""),"SHJP8202023808")</f>
        <v>SHJP8202023808</v>
      </c>
      <c r="D127" s="1" t="str">
        <f>IFERROR(__xludf.DUMMYFUNCTION("""COMPUTED_VALUE"""),"J&amp;G Compress")</f>
        <v>J&amp;G Compress</v>
      </c>
      <c r="E127" s="1" t="str">
        <f>IFERROR(__xludf.DUMMYFUNCTION("""COMPUTED_VALUE"""),"Fabinho")</f>
        <v>Fabinho</v>
      </c>
      <c r="F127" s="1" t="str">
        <f>IFERROR(__xludf.DUMMYFUNCTION("""COMPUTED_VALUE"""),"Jakarta")</f>
        <v>Jakarta</v>
      </c>
      <c r="G127" s="1" t="str">
        <f>IFERROR(__xludf.DUMMYFUNCTION("""COMPUTED_VALUE"""),"Colarless Shirt Long Sleeve White")</f>
        <v>Colarless Shirt Long Sleeve White</v>
      </c>
      <c r="H127" s="68">
        <f>IFERROR(__xludf.DUMMYFUNCTION("""COMPUTED_VALUE"""),199000.0)</f>
        <v>199000</v>
      </c>
      <c r="I127" s="68">
        <f>IFERROR(__xludf.DUMMYFUNCTION("""COMPUTED_VALUE"""),1.0)</f>
        <v>1</v>
      </c>
      <c r="J127" s="68">
        <f>IFERROR(__xludf.DUMMYFUNCTION("""COMPUTED_VALUE"""),199000.0)</f>
        <v>199000</v>
      </c>
      <c r="K127" s="68">
        <f>IFERROR(__xludf.DUMMYFUNCTION("""COMPUTED_VALUE"""),199000.0)</f>
        <v>199000</v>
      </c>
      <c r="L127" s="1" t="str">
        <f>IFERROR(__xludf.DUMMYFUNCTION("""COMPUTED_VALUE"""),"Shirt")</f>
        <v>Shirt</v>
      </c>
    </row>
    <row r="128">
      <c r="A128" s="1" t="str">
        <f>IFERROR(__xludf.DUMMYFUNCTION("""COMPUTED_VALUE"""),"EF132267586016265")</f>
        <v>EF132267586016265</v>
      </c>
      <c r="B128" s="67">
        <f>IFERROR(__xludf.DUMMYFUNCTION("""COMPUTED_VALUE"""),45694.0)</f>
        <v>45694</v>
      </c>
      <c r="C128" s="1" t="str">
        <f>IFERROR(__xludf.DUMMYFUNCTION("""COMPUTED_VALUE"""),"SHJP4749283833")</f>
        <v>SHJP4749283833</v>
      </c>
      <c r="D128" s="1" t="str">
        <f>IFERROR(__xludf.DUMMYFUNCTION("""COMPUTED_VALUE"""),"J&amp;G Compress")</f>
        <v>J&amp;G Compress</v>
      </c>
      <c r="E128" s="1" t="str">
        <f>IFERROR(__xludf.DUMMYFUNCTION("""COMPUTED_VALUE"""),"Dean Henderson")</f>
        <v>Dean Henderson</v>
      </c>
      <c r="F128" s="1" t="str">
        <f>IFERROR(__xludf.DUMMYFUNCTION("""COMPUTED_VALUE"""),"Denpasar")</f>
        <v>Denpasar</v>
      </c>
      <c r="G128" s="1" t="str">
        <f>IFERROR(__xludf.DUMMYFUNCTION("""COMPUTED_VALUE"""),"Bomber - Jacket Black")</f>
        <v>Bomber - Jacket Black</v>
      </c>
      <c r="H128" s="68">
        <f>IFERROR(__xludf.DUMMYFUNCTION("""COMPUTED_VALUE"""),249000.0)</f>
        <v>249000</v>
      </c>
      <c r="I128" s="68">
        <f>IFERROR(__xludf.DUMMYFUNCTION("""COMPUTED_VALUE"""),1.0)</f>
        <v>1</v>
      </c>
      <c r="J128" s="68">
        <f>IFERROR(__xludf.DUMMYFUNCTION("""COMPUTED_VALUE"""),249000.0)</f>
        <v>249000</v>
      </c>
      <c r="K128" s="68">
        <f>IFERROR(__xludf.DUMMYFUNCTION("""COMPUTED_VALUE"""),249000.0)</f>
        <v>249000</v>
      </c>
      <c r="L128" s="1" t="str">
        <f>IFERROR(__xludf.DUMMYFUNCTION("""COMPUTED_VALUE"""),"Jacket")</f>
        <v>Jacket</v>
      </c>
    </row>
    <row r="129">
      <c r="A129" s="1" t="str">
        <f>IFERROR(__xludf.DUMMYFUNCTION("""COMPUTED_VALUE"""),"EF138669053560417")</f>
        <v>EF138669053560417</v>
      </c>
      <c r="B129" s="67">
        <f>IFERROR(__xludf.DUMMYFUNCTION("""COMPUTED_VALUE"""),45694.0)</f>
        <v>45694</v>
      </c>
      <c r="C129" s="1" t="str">
        <f>IFERROR(__xludf.DUMMYFUNCTION("""COMPUTED_VALUE"""),"SHJP7909110035")</f>
        <v>SHJP7909110035</v>
      </c>
      <c r="D129" s="1" t="str">
        <f>IFERROR(__xludf.DUMMYFUNCTION("""COMPUTED_VALUE"""),"J&amp;G Compress")</f>
        <v>J&amp;G Compress</v>
      </c>
      <c r="E129" s="1" t="str">
        <f>IFERROR(__xludf.DUMMYFUNCTION("""COMPUTED_VALUE"""),"Do Jae Hak")</f>
        <v>Do Jae Hak</v>
      </c>
      <c r="F129" s="1" t="str">
        <f>IFERROR(__xludf.DUMMYFUNCTION("""COMPUTED_VALUE"""),"Denpasar")</f>
        <v>Denpasar</v>
      </c>
      <c r="G129" s="1" t="str">
        <f>IFERROR(__xludf.DUMMYFUNCTION("""COMPUTED_VALUE"""),"Cotton Pants - Short Navy")</f>
        <v>Cotton Pants - Short Navy</v>
      </c>
      <c r="H129" s="68">
        <f>IFERROR(__xludf.DUMMYFUNCTION("""COMPUTED_VALUE"""),149000.0)</f>
        <v>149000</v>
      </c>
      <c r="I129" s="68">
        <f>IFERROR(__xludf.DUMMYFUNCTION("""COMPUTED_VALUE"""),1.0)</f>
        <v>1</v>
      </c>
      <c r="J129" s="68">
        <f>IFERROR(__xludf.DUMMYFUNCTION("""COMPUTED_VALUE"""),149000.0)</f>
        <v>149000</v>
      </c>
      <c r="K129" s="68">
        <f>IFERROR(__xludf.DUMMYFUNCTION("""COMPUTED_VALUE"""),149000.0)</f>
        <v>149000</v>
      </c>
      <c r="L129" s="1" t="str">
        <f>IFERROR(__xludf.DUMMYFUNCTION("""COMPUTED_VALUE"""),"Pants")</f>
        <v>Pants</v>
      </c>
    </row>
    <row r="130">
      <c r="A130" s="1" t="str">
        <f>IFERROR(__xludf.DUMMYFUNCTION("""COMPUTED_VALUE"""),"EF130780281824161")</f>
        <v>EF130780281824161</v>
      </c>
      <c r="B130" s="67">
        <f>IFERROR(__xludf.DUMMYFUNCTION("""COMPUTED_VALUE"""),45695.0)</f>
        <v>45695</v>
      </c>
      <c r="C130" s="1" t="str">
        <f>IFERROR(__xludf.DUMMYFUNCTION("""COMPUTED_VALUE"""),"SH000817828493")</f>
        <v>SH000817828493</v>
      </c>
      <c r="D130" s="1" t="str">
        <f>IFERROR(__xludf.DUMMYFUNCTION("""COMPUTED_VALUE"""),"SiLumayanCepat")</f>
        <v>SiLumayanCepat</v>
      </c>
      <c r="E130" s="1" t="str">
        <f>IFERROR(__xludf.DUMMYFUNCTION("""COMPUTED_VALUE"""),"Thiago")</f>
        <v>Thiago</v>
      </c>
      <c r="F130" s="1" t="str">
        <f>IFERROR(__xludf.DUMMYFUNCTION("""COMPUTED_VALUE"""),"Jakarta")</f>
        <v>Jakarta</v>
      </c>
      <c r="G130" s="1" t="str">
        <f>IFERROR(__xludf.DUMMYFUNCTION("""COMPUTED_VALUE"""),"Colarless Shirt Long Sleeve Grey")</f>
        <v>Colarless Shirt Long Sleeve Grey</v>
      </c>
      <c r="H130" s="68">
        <f>IFERROR(__xludf.DUMMYFUNCTION("""COMPUTED_VALUE"""),199000.0)</f>
        <v>199000</v>
      </c>
      <c r="I130" s="68">
        <f>IFERROR(__xludf.DUMMYFUNCTION("""COMPUTED_VALUE"""),1.0)</f>
        <v>1</v>
      </c>
      <c r="J130" s="68">
        <f>IFERROR(__xludf.DUMMYFUNCTION("""COMPUTED_VALUE"""),199000.0)</f>
        <v>199000</v>
      </c>
      <c r="K130" s="68">
        <f>IFERROR(__xludf.DUMMYFUNCTION("""COMPUTED_VALUE"""),597000.0)</f>
        <v>597000</v>
      </c>
      <c r="L130" s="1" t="str">
        <f>IFERROR(__xludf.DUMMYFUNCTION("""COMPUTED_VALUE"""),"Shirt")</f>
        <v>Shirt</v>
      </c>
    </row>
    <row r="131">
      <c r="A131" s="1" t="str">
        <f>IFERROR(__xludf.DUMMYFUNCTION("""COMPUTED_VALUE"""),"EF130780281824161")</f>
        <v>EF130780281824161</v>
      </c>
      <c r="B131" s="67">
        <f>IFERROR(__xludf.DUMMYFUNCTION("""COMPUTED_VALUE"""),45695.0)</f>
        <v>45695</v>
      </c>
      <c r="C131" s="1" t="str">
        <f>IFERROR(__xludf.DUMMYFUNCTION("""COMPUTED_VALUE"""),"SH000817828493")</f>
        <v>SH000817828493</v>
      </c>
      <c r="D131" s="1" t="str">
        <f>IFERROR(__xludf.DUMMYFUNCTION("""COMPUTED_VALUE"""),"SiLumayanCepat")</f>
        <v>SiLumayanCepat</v>
      </c>
      <c r="E131" s="1" t="str">
        <f>IFERROR(__xludf.DUMMYFUNCTION("""COMPUTED_VALUE"""),"Thiago")</f>
        <v>Thiago</v>
      </c>
      <c r="F131" s="1" t="str">
        <f>IFERROR(__xludf.DUMMYFUNCTION("""COMPUTED_VALUE"""),"Jakarta")</f>
        <v>Jakarta</v>
      </c>
      <c r="G131" s="1" t="str">
        <f>IFERROR(__xludf.DUMMYFUNCTION("""COMPUTED_VALUE"""),"Colarless Shirt Long Sleeve Army")</f>
        <v>Colarless Shirt Long Sleeve Army</v>
      </c>
      <c r="H131" s="68">
        <f>IFERROR(__xludf.DUMMYFUNCTION("""COMPUTED_VALUE"""),199000.0)</f>
        <v>199000</v>
      </c>
      <c r="I131" s="68">
        <f>IFERROR(__xludf.DUMMYFUNCTION("""COMPUTED_VALUE"""),2.0)</f>
        <v>2</v>
      </c>
      <c r="J131" s="68">
        <f>IFERROR(__xludf.DUMMYFUNCTION("""COMPUTED_VALUE"""),398000.0)</f>
        <v>398000</v>
      </c>
      <c r="K131" s="68">
        <f>IFERROR(__xludf.DUMMYFUNCTION("""COMPUTED_VALUE"""),597000.0)</f>
        <v>597000</v>
      </c>
      <c r="L131" s="1" t="str">
        <f>IFERROR(__xludf.DUMMYFUNCTION("""COMPUTED_VALUE"""),"Shirt")</f>
        <v>Shirt</v>
      </c>
    </row>
    <row r="132">
      <c r="A132" s="1" t="str">
        <f>IFERROR(__xludf.DUMMYFUNCTION("""COMPUTED_VALUE"""),"EF132305943616210")</f>
        <v>EF132305943616210</v>
      </c>
      <c r="B132" s="67">
        <f>IFERROR(__xludf.DUMMYFUNCTION("""COMPUTED_VALUE"""),45695.0)</f>
        <v>45695</v>
      </c>
      <c r="C132" s="1" t="str">
        <f>IFERROR(__xludf.DUMMYFUNCTION("""COMPUTED_VALUE"""),"SH000818894405")</f>
        <v>SH000818894405</v>
      </c>
      <c r="D132" s="1" t="str">
        <f>IFERROR(__xludf.DUMMYFUNCTION("""COMPUTED_VALUE"""),"SiLumayanCepat")</f>
        <v>SiLumayanCepat</v>
      </c>
      <c r="E132" s="1" t="str">
        <f>IFERROR(__xludf.DUMMYFUNCTION("""COMPUTED_VALUE"""),"Aaron Wan-Bissaka")</f>
        <v>Aaron Wan-Bissaka</v>
      </c>
      <c r="F132" s="1" t="str">
        <f>IFERROR(__xludf.DUMMYFUNCTION("""COMPUTED_VALUE"""),"Jakarta")</f>
        <v>Jakarta</v>
      </c>
      <c r="G132" s="1" t="str">
        <f>IFERROR(__xludf.DUMMYFUNCTION("""COMPUTED_VALUE"""),"Bomber - Jacket Navy")</f>
        <v>Bomber - Jacket Navy</v>
      </c>
      <c r="H132" s="68">
        <f>IFERROR(__xludf.DUMMYFUNCTION("""COMPUTED_VALUE"""),249000.0)</f>
        <v>249000</v>
      </c>
      <c r="I132" s="68">
        <f>IFERROR(__xludf.DUMMYFUNCTION("""COMPUTED_VALUE"""),1.0)</f>
        <v>1</v>
      </c>
      <c r="J132" s="68">
        <f>IFERROR(__xludf.DUMMYFUNCTION("""COMPUTED_VALUE"""),249000.0)</f>
        <v>249000</v>
      </c>
      <c r="K132" s="68">
        <f>IFERROR(__xludf.DUMMYFUNCTION("""COMPUTED_VALUE"""),249000.0)</f>
        <v>249000</v>
      </c>
      <c r="L132" s="1" t="str">
        <f>IFERROR(__xludf.DUMMYFUNCTION("""COMPUTED_VALUE"""),"Jacket")</f>
        <v>Jacket</v>
      </c>
    </row>
    <row r="133">
      <c r="A133" s="1" t="str">
        <f>IFERROR(__xludf.DUMMYFUNCTION("""COMPUTED_VALUE"""),"EF138709267585950")</f>
        <v>EF138709267585950</v>
      </c>
      <c r="B133" s="67">
        <f>IFERROR(__xludf.DUMMYFUNCTION("""COMPUTED_VALUE"""),45695.0)</f>
        <v>45695</v>
      </c>
      <c r="C133" s="1" t="str">
        <f>IFERROR(__xludf.DUMMYFUNCTION("""COMPUTED_VALUE"""),"SHJP1981541166")</f>
        <v>SHJP1981541166</v>
      </c>
      <c r="D133" s="1" t="str">
        <f>IFERROR(__xludf.DUMMYFUNCTION("""COMPUTED_VALUE"""),"J&amp;G Compress")</f>
        <v>J&amp;G Compress</v>
      </c>
      <c r="E133" s="1" t="str">
        <f>IFERROR(__xludf.DUMMYFUNCTION("""COMPUTED_VALUE"""),"Kai Havertz")</f>
        <v>Kai Havertz</v>
      </c>
      <c r="F133" s="1" t="str">
        <f>IFERROR(__xludf.DUMMYFUNCTION("""COMPUTED_VALUE"""),"Surabaya")</f>
        <v>Surabaya</v>
      </c>
      <c r="G133" s="1" t="str">
        <f>IFERROR(__xludf.DUMMYFUNCTION("""COMPUTED_VALUE"""),"Cotton Pants - Short Black")</f>
        <v>Cotton Pants - Short Black</v>
      </c>
      <c r="H133" s="68">
        <f>IFERROR(__xludf.DUMMYFUNCTION("""COMPUTED_VALUE"""),149000.0)</f>
        <v>149000</v>
      </c>
      <c r="I133" s="68">
        <f>IFERROR(__xludf.DUMMYFUNCTION("""COMPUTED_VALUE"""),2.0)</f>
        <v>2</v>
      </c>
      <c r="J133" s="68">
        <f>IFERROR(__xludf.DUMMYFUNCTION("""COMPUTED_VALUE"""),298000.0)</f>
        <v>298000</v>
      </c>
      <c r="K133" s="68">
        <f>IFERROR(__xludf.DUMMYFUNCTION("""COMPUTED_VALUE"""),298000.0)</f>
        <v>298000</v>
      </c>
      <c r="L133" s="1" t="str">
        <f>IFERROR(__xludf.DUMMYFUNCTION("""COMPUTED_VALUE"""),"Pants")</f>
        <v>Pants</v>
      </c>
    </row>
    <row r="134">
      <c r="A134" s="1" t="str">
        <f>IFERROR(__xludf.DUMMYFUNCTION("""COMPUTED_VALUE"""),"EF132344312339859")</f>
        <v>EF132344312339859</v>
      </c>
      <c r="B134" s="67">
        <f>IFERROR(__xludf.DUMMYFUNCTION("""COMPUTED_VALUE"""),45696.0)</f>
        <v>45696</v>
      </c>
      <c r="C134" s="1" t="str">
        <f>IFERROR(__xludf.DUMMYFUNCTION("""COMPUTED_VALUE"""),"SH000818668558")</f>
        <v>SH000818668558</v>
      </c>
      <c r="D134" s="1" t="str">
        <f>IFERROR(__xludf.DUMMYFUNCTION("""COMPUTED_VALUE"""),"SiLumayanCepat")</f>
        <v>SiLumayanCepat</v>
      </c>
      <c r="E134" s="1" t="str">
        <f>IFERROR(__xludf.DUMMYFUNCTION("""COMPUTED_VALUE"""),"Nemanja Matić")</f>
        <v>Nemanja Matić</v>
      </c>
      <c r="F134" s="1" t="str">
        <f>IFERROR(__xludf.DUMMYFUNCTION("""COMPUTED_VALUE"""),"Jambi")</f>
        <v>Jambi</v>
      </c>
      <c r="G134" s="1" t="str">
        <f>IFERROR(__xludf.DUMMYFUNCTION("""COMPUTED_VALUE"""),"Bomber - Jacket Dark Grey")</f>
        <v>Bomber - Jacket Dark Grey</v>
      </c>
      <c r="H134" s="68">
        <f>IFERROR(__xludf.DUMMYFUNCTION("""COMPUTED_VALUE"""),249000.0)</f>
        <v>249000</v>
      </c>
      <c r="I134" s="68">
        <f>IFERROR(__xludf.DUMMYFUNCTION("""COMPUTED_VALUE"""),1.0)</f>
        <v>1</v>
      </c>
      <c r="J134" s="68">
        <f>IFERROR(__xludf.DUMMYFUNCTION("""COMPUTED_VALUE"""),249000.0)</f>
        <v>249000</v>
      </c>
      <c r="K134" s="68">
        <f>IFERROR(__xludf.DUMMYFUNCTION("""COMPUTED_VALUE"""),249000.0)</f>
        <v>249000</v>
      </c>
      <c r="L134" s="1" t="str">
        <f>IFERROR(__xludf.DUMMYFUNCTION("""COMPUTED_VALUE"""),"Jacket")</f>
        <v>Jacket</v>
      </c>
    </row>
    <row r="135">
      <c r="A135" s="1" t="str">
        <f>IFERROR(__xludf.DUMMYFUNCTION("""COMPUTED_VALUE"""),"EF138749493273550")</f>
        <v>EF138749493273550</v>
      </c>
      <c r="B135" s="67">
        <f>IFERROR(__xludf.DUMMYFUNCTION("""COMPUTED_VALUE"""),45696.0)</f>
        <v>45696</v>
      </c>
      <c r="C135" s="1" t="str">
        <f>IFERROR(__xludf.DUMMYFUNCTION("""COMPUTED_VALUE"""),"SH002502390748")</f>
        <v>SH002502390748</v>
      </c>
      <c r="D135" s="1" t="str">
        <f>IFERROR(__xludf.DUMMYFUNCTION("""COMPUTED_VALUE"""),"JemputAja")</f>
        <v>JemputAja</v>
      </c>
      <c r="E135" s="1" t="str">
        <f>IFERROR(__xludf.DUMMYFUNCTION("""COMPUTED_VALUE"""),"Emerson")</f>
        <v>Emerson</v>
      </c>
      <c r="F135" s="1" t="str">
        <f>IFERROR(__xludf.DUMMYFUNCTION("""COMPUTED_VALUE"""),"Tangerang")</f>
        <v>Tangerang</v>
      </c>
      <c r="G135" s="1" t="str">
        <f>IFERROR(__xludf.DUMMYFUNCTION("""COMPUTED_VALUE"""),"Cotton Pants - Short White")</f>
        <v>Cotton Pants - Short White</v>
      </c>
      <c r="H135" s="68">
        <f>IFERROR(__xludf.DUMMYFUNCTION("""COMPUTED_VALUE"""),149000.0)</f>
        <v>149000</v>
      </c>
      <c r="I135" s="68">
        <f>IFERROR(__xludf.DUMMYFUNCTION("""COMPUTED_VALUE"""),1.0)</f>
        <v>1</v>
      </c>
      <c r="J135" s="68">
        <f>IFERROR(__xludf.DUMMYFUNCTION("""COMPUTED_VALUE"""),149000.0)</f>
        <v>149000</v>
      </c>
      <c r="K135" s="68">
        <f>IFERROR(__xludf.DUMMYFUNCTION("""COMPUTED_VALUE"""),149000.0)</f>
        <v>149000</v>
      </c>
      <c r="L135" s="1" t="str">
        <f>IFERROR(__xludf.DUMMYFUNCTION("""COMPUTED_VALUE"""),"Pants")</f>
        <v>Pants</v>
      </c>
    </row>
    <row r="136">
      <c r="A136" s="1" t="str">
        <f>IFERROR(__xludf.DUMMYFUNCTION("""COMPUTED_VALUE"""),"EF130856145386241")</f>
        <v>EF130856145386241</v>
      </c>
      <c r="B136" s="67">
        <f>IFERROR(__xludf.DUMMYFUNCTION("""COMPUTED_VALUE"""),45697.0)</f>
        <v>45697</v>
      </c>
      <c r="C136" s="1" t="str">
        <f>IFERROR(__xludf.DUMMYFUNCTION("""COMPUTED_VALUE"""),"SHJP6331208141")</f>
        <v>SHJP6331208141</v>
      </c>
      <c r="D136" s="1" t="str">
        <f>IFERROR(__xludf.DUMMYFUNCTION("""COMPUTED_VALUE"""),"J&amp;G Compress")</f>
        <v>J&amp;G Compress</v>
      </c>
      <c r="E136" s="1" t="str">
        <f>IFERROR(__xludf.DUMMYFUNCTION("""COMPUTED_VALUE"""),"James Milner")</f>
        <v>James Milner</v>
      </c>
      <c r="F136" s="1" t="str">
        <f>IFERROR(__xludf.DUMMYFUNCTION("""COMPUTED_VALUE"""),"Jakarta")</f>
        <v>Jakarta</v>
      </c>
      <c r="G136" s="1" t="str">
        <f>IFERROR(__xludf.DUMMYFUNCTION("""COMPUTED_VALUE"""),"Casual Sneakers Black")</f>
        <v>Casual Sneakers Black</v>
      </c>
      <c r="H136" s="68">
        <f>IFERROR(__xludf.DUMMYFUNCTION("""COMPUTED_VALUE"""),329000.0)</f>
        <v>329000</v>
      </c>
      <c r="I136" s="68">
        <f>IFERROR(__xludf.DUMMYFUNCTION("""COMPUTED_VALUE"""),1.0)</f>
        <v>1</v>
      </c>
      <c r="J136" s="68">
        <f>IFERROR(__xludf.DUMMYFUNCTION("""COMPUTED_VALUE"""),329000.0)</f>
        <v>329000</v>
      </c>
      <c r="K136" s="68">
        <f>IFERROR(__xludf.DUMMYFUNCTION("""COMPUTED_VALUE"""),329000.0)</f>
        <v>329000</v>
      </c>
      <c r="L136" s="1" t="str">
        <f>IFERROR(__xludf.DUMMYFUNCTION("""COMPUTED_VALUE"""),"Shoes")</f>
        <v>Shoes</v>
      </c>
    </row>
    <row r="137">
      <c r="A137" s="1" t="str">
        <f>IFERROR(__xludf.DUMMYFUNCTION("""COMPUTED_VALUE"""),"EF132382692190437")</f>
        <v>EF132382692190437</v>
      </c>
      <c r="B137" s="67">
        <f>IFERROR(__xludf.DUMMYFUNCTION("""COMPUTED_VALUE"""),45697.0)</f>
        <v>45697</v>
      </c>
      <c r="C137" s="1" t="str">
        <f>IFERROR(__xludf.DUMMYFUNCTION("""COMPUTED_VALUE"""),"SH000818334227")</f>
        <v>SH000818334227</v>
      </c>
      <c r="D137" s="1" t="str">
        <f>IFERROR(__xludf.DUMMYFUNCTION("""COMPUTED_VALUE"""),"SiLumayanCepat")</f>
        <v>SiLumayanCepat</v>
      </c>
      <c r="E137" s="1" t="str">
        <f>IFERROR(__xludf.DUMMYFUNCTION("""COMPUTED_VALUE"""),"Brandon Williams")</f>
        <v>Brandon Williams</v>
      </c>
      <c r="F137" s="1" t="str">
        <f>IFERROR(__xludf.DUMMYFUNCTION("""COMPUTED_VALUE"""),"Lampung")</f>
        <v>Lampung</v>
      </c>
      <c r="G137" s="1" t="str">
        <f>IFERROR(__xludf.DUMMYFUNCTION("""COMPUTED_VALUE"""),"Bomber - Jacket Maroon")</f>
        <v>Bomber - Jacket Maroon</v>
      </c>
      <c r="H137" s="68">
        <f>IFERROR(__xludf.DUMMYFUNCTION("""COMPUTED_VALUE"""),249000.0)</f>
        <v>249000</v>
      </c>
      <c r="I137" s="68">
        <f>IFERROR(__xludf.DUMMYFUNCTION("""COMPUTED_VALUE"""),1.0)</f>
        <v>1</v>
      </c>
      <c r="J137" s="68">
        <f>IFERROR(__xludf.DUMMYFUNCTION("""COMPUTED_VALUE"""),249000.0)</f>
        <v>249000</v>
      </c>
      <c r="K137" s="68">
        <f>IFERROR(__xludf.DUMMYFUNCTION("""COMPUTED_VALUE"""),249000.0)</f>
        <v>249000</v>
      </c>
      <c r="L137" s="1" t="str">
        <f>IFERROR(__xludf.DUMMYFUNCTION("""COMPUTED_VALUE"""),"Jacket")</f>
        <v>Jacket</v>
      </c>
    </row>
    <row r="138">
      <c r="A138" s="1" t="str">
        <f>IFERROR(__xludf.DUMMYFUNCTION("""COMPUTED_VALUE"""),"EF133927047444810")</f>
        <v>EF133927047444810</v>
      </c>
      <c r="B138" s="67">
        <f>IFERROR(__xludf.DUMMYFUNCTION("""COMPUTED_VALUE"""),45697.0)</f>
        <v>45697</v>
      </c>
      <c r="C138" s="1" t="str">
        <f>IFERROR(__xludf.DUMMYFUNCTION("""COMPUTED_VALUE"""),"SH000819411824")</f>
        <v>SH000819411824</v>
      </c>
      <c r="D138" s="1" t="str">
        <f>IFERROR(__xludf.DUMMYFUNCTION("""COMPUTED_VALUE"""),"SiLumayanCepat")</f>
        <v>SiLumayanCepat</v>
      </c>
      <c r="E138" s="1" t="str">
        <f>IFERROR(__xludf.DUMMYFUNCTION("""COMPUTED_VALUE"""),"Sergio Busquets")</f>
        <v>Sergio Busquets</v>
      </c>
      <c r="F138" s="1" t="str">
        <f>IFERROR(__xludf.DUMMYFUNCTION("""COMPUTED_VALUE"""),"Jakarta")</f>
        <v>Jakarta</v>
      </c>
      <c r="G138" s="1" t="str">
        <f>IFERROR(__xludf.DUMMYFUNCTION("""COMPUTED_VALUE"""),"Colarless Shirt Long Sleeve Maroon")</f>
        <v>Colarless Shirt Long Sleeve Maroon</v>
      </c>
      <c r="H138" s="68">
        <f>IFERROR(__xludf.DUMMYFUNCTION("""COMPUTED_VALUE"""),199000.0)</f>
        <v>199000</v>
      </c>
      <c r="I138" s="68">
        <f>IFERROR(__xludf.DUMMYFUNCTION("""COMPUTED_VALUE"""),1.0)</f>
        <v>1</v>
      </c>
      <c r="J138" s="68">
        <f>IFERROR(__xludf.DUMMYFUNCTION("""COMPUTED_VALUE"""),199000.0)</f>
        <v>199000</v>
      </c>
      <c r="K138" s="68">
        <f>IFERROR(__xludf.DUMMYFUNCTION("""COMPUTED_VALUE"""),199000.0)</f>
        <v>199000</v>
      </c>
      <c r="L138" s="1" t="str">
        <f>IFERROR(__xludf.DUMMYFUNCTION("""COMPUTED_VALUE"""),"Shirt")</f>
        <v>Shirt</v>
      </c>
    </row>
    <row r="139">
      <c r="A139" s="1" t="str">
        <f>IFERROR(__xludf.DUMMYFUNCTION("""COMPUTED_VALUE"""),"EF138789730626599")</f>
        <v>EF138789730626599</v>
      </c>
      <c r="B139" s="67">
        <f>IFERROR(__xludf.DUMMYFUNCTION("""COMPUTED_VALUE"""),45697.0)</f>
        <v>45697</v>
      </c>
      <c r="C139" s="1" t="str">
        <f>IFERROR(__xludf.DUMMYFUNCTION("""COMPUTED_VALUE"""),"SHJP9476708216")</f>
        <v>SHJP9476708216</v>
      </c>
      <c r="D139" s="1" t="str">
        <f>IFERROR(__xludf.DUMMYFUNCTION("""COMPUTED_VALUE"""),"J&amp;T Economy")</f>
        <v>J&amp;T Economy</v>
      </c>
      <c r="E139" s="1" t="str">
        <f>IFERROR(__xludf.DUMMYFUNCTION("""COMPUTED_VALUE"""),"Adrián")</f>
        <v>Adrián</v>
      </c>
      <c r="F139" s="1" t="str">
        <f>IFERROR(__xludf.DUMMYFUNCTION("""COMPUTED_VALUE"""),"Yogyakarta")</f>
        <v>Yogyakarta</v>
      </c>
      <c r="G139" s="1" t="str">
        <f>IFERROR(__xludf.DUMMYFUNCTION("""COMPUTED_VALUE"""),"Cotton Pants - Short Grey")</f>
        <v>Cotton Pants - Short Grey</v>
      </c>
      <c r="H139" s="68">
        <f>IFERROR(__xludf.DUMMYFUNCTION("""COMPUTED_VALUE"""),149000.0)</f>
        <v>149000</v>
      </c>
      <c r="I139" s="68">
        <f>IFERROR(__xludf.DUMMYFUNCTION("""COMPUTED_VALUE"""),1.0)</f>
        <v>1</v>
      </c>
      <c r="J139" s="68">
        <f>IFERROR(__xludf.DUMMYFUNCTION("""COMPUTED_VALUE"""),149000.0)</f>
        <v>149000</v>
      </c>
      <c r="K139" s="68">
        <f>IFERROR(__xludf.DUMMYFUNCTION("""COMPUTED_VALUE"""),149000.0)</f>
        <v>149000</v>
      </c>
      <c r="L139" s="1" t="str">
        <f>IFERROR(__xludf.DUMMYFUNCTION("""COMPUTED_VALUE"""),"Pants")</f>
        <v>Pants</v>
      </c>
    </row>
    <row r="140">
      <c r="A140" s="1" t="str">
        <f>IFERROR(__xludf.DUMMYFUNCTION("""COMPUTED_VALUE"""),"EF133965886288569")</f>
        <v>EF133965886288569</v>
      </c>
      <c r="B140" s="67">
        <f>IFERROR(__xludf.DUMMYFUNCTION("""COMPUTED_VALUE"""),45698.0)</f>
        <v>45698</v>
      </c>
      <c r="C140" s="1" t="str">
        <f>IFERROR(__xludf.DUMMYFUNCTION("""COMPUTED_VALUE"""),"SHJP7967548474")</f>
        <v>SHJP7967548474</v>
      </c>
      <c r="D140" s="1" t="str">
        <f>IFERROR(__xludf.DUMMYFUNCTION("""COMPUTED_VALUE"""),"J&amp;G Compress")</f>
        <v>J&amp;G Compress</v>
      </c>
      <c r="E140" s="1" t="str">
        <f>IFERROR(__xludf.DUMMYFUNCTION("""COMPUTED_VALUE"""),"Jean-Clair Todibo")</f>
        <v>Jean-Clair Todibo</v>
      </c>
      <c r="F140" s="1" t="str">
        <f>IFERROR(__xludf.DUMMYFUNCTION("""COMPUTED_VALUE"""),"Jakarta")</f>
        <v>Jakarta</v>
      </c>
      <c r="G140" s="1" t="str">
        <f>IFERROR(__xludf.DUMMYFUNCTION("""COMPUTED_VALUE"""),"Colarless Shirt Long Sleeve Navy")</f>
        <v>Colarless Shirt Long Sleeve Navy</v>
      </c>
      <c r="H140" s="68">
        <f>IFERROR(__xludf.DUMMYFUNCTION("""COMPUTED_VALUE"""),199000.0)</f>
        <v>199000</v>
      </c>
      <c r="I140" s="68">
        <f>IFERROR(__xludf.DUMMYFUNCTION("""COMPUTED_VALUE"""),3.0)</f>
        <v>3</v>
      </c>
      <c r="J140" s="68">
        <f>IFERROR(__xludf.DUMMYFUNCTION("""COMPUTED_VALUE"""),597000.0)</f>
        <v>597000</v>
      </c>
      <c r="K140" s="68">
        <f>IFERROR(__xludf.DUMMYFUNCTION("""COMPUTED_VALUE"""),597000.0)</f>
        <v>597000</v>
      </c>
      <c r="L140" s="1" t="str">
        <f>IFERROR(__xludf.DUMMYFUNCTION("""COMPUTED_VALUE"""),"Shirt")</f>
        <v>Shirt</v>
      </c>
    </row>
    <row r="141">
      <c r="A141" s="1" t="str">
        <f>IFERROR(__xludf.DUMMYFUNCTION("""COMPUTED_VALUE"""),"EF138829979648481")</f>
        <v>EF138829979648481</v>
      </c>
      <c r="B141" s="67">
        <f>IFERROR(__xludf.DUMMYFUNCTION("""COMPUTED_VALUE"""),45698.0)</f>
        <v>45698</v>
      </c>
      <c r="C141" s="1" t="str">
        <f>IFERROR(__xludf.DUMMYFUNCTION("""COMPUTED_VALUE"""),"SHJP9476708215")</f>
        <v>SHJP9476708215</v>
      </c>
      <c r="D141" s="1" t="str">
        <f>IFERROR(__xludf.DUMMYFUNCTION("""COMPUTED_VALUE"""),"J&amp;T Economy")</f>
        <v>J&amp;T Economy</v>
      </c>
      <c r="E141" s="1" t="str">
        <f>IFERROR(__xludf.DUMMYFUNCTION("""COMPUTED_VALUE"""),"Carlo Pinsoglio")</f>
        <v>Carlo Pinsoglio</v>
      </c>
      <c r="F141" s="1" t="str">
        <f>IFERROR(__xludf.DUMMYFUNCTION("""COMPUTED_VALUE"""),"Tangerang")</f>
        <v>Tangerang</v>
      </c>
      <c r="G141" s="1" t="str">
        <f>IFERROR(__xludf.DUMMYFUNCTION("""COMPUTED_VALUE"""),"Bomber - Jacket Black")</f>
        <v>Bomber - Jacket Black</v>
      </c>
      <c r="H141" s="68">
        <f>IFERROR(__xludf.DUMMYFUNCTION("""COMPUTED_VALUE"""),249000.0)</f>
        <v>249000</v>
      </c>
      <c r="I141" s="68">
        <f>IFERROR(__xludf.DUMMYFUNCTION("""COMPUTED_VALUE"""),1.0)</f>
        <v>1</v>
      </c>
      <c r="J141" s="68">
        <f>IFERROR(__xludf.DUMMYFUNCTION("""COMPUTED_VALUE"""),249000.0)</f>
        <v>249000</v>
      </c>
      <c r="K141" s="68">
        <f>IFERROR(__xludf.DUMMYFUNCTION("""COMPUTED_VALUE"""),249000.0)</f>
        <v>249000</v>
      </c>
      <c r="L141" s="1" t="str">
        <f>IFERROR(__xludf.DUMMYFUNCTION("""COMPUTED_VALUE"""),"Jacket")</f>
        <v>Jacket</v>
      </c>
    </row>
    <row r="142">
      <c r="A142" s="1" t="str">
        <f>IFERROR(__xludf.DUMMYFUNCTION("""COMPUTED_VALUE"""),"EF134004736395593")</f>
        <v>EF134004736395593</v>
      </c>
      <c r="B142" s="67">
        <f>IFERROR(__xludf.DUMMYFUNCTION("""COMPUTED_VALUE"""),45699.0)</f>
        <v>45699</v>
      </c>
      <c r="C142" s="1" t="str">
        <f>IFERROR(__xludf.DUMMYFUNCTION("""COMPUTED_VALUE"""),"SHJP8660531115")</f>
        <v>SHJP8660531115</v>
      </c>
      <c r="D142" s="1" t="str">
        <f>IFERROR(__xludf.DUMMYFUNCTION("""COMPUTED_VALUE"""),"J&amp;G Compress")</f>
        <v>J&amp;G Compress</v>
      </c>
      <c r="E142" s="1" t="str">
        <f>IFERROR(__xludf.DUMMYFUNCTION("""COMPUTED_VALUE"""),"Antoine Griezmann")</f>
        <v>Antoine Griezmann</v>
      </c>
      <c r="F142" s="1" t="str">
        <f>IFERROR(__xludf.DUMMYFUNCTION("""COMPUTED_VALUE"""),"Jakarta")</f>
        <v>Jakarta</v>
      </c>
      <c r="G142" s="1" t="str">
        <f>IFERROR(__xludf.DUMMYFUNCTION("""COMPUTED_VALUE"""),"Colarless Shirt Long Sleeve White")</f>
        <v>Colarless Shirt Long Sleeve White</v>
      </c>
      <c r="H142" s="68">
        <f>IFERROR(__xludf.DUMMYFUNCTION("""COMPUTED_VALUE"""),199000.0)</f>
        <v>199000</v>
      </c>
      <c r="I142" s="68">
        <f>IFERROR(__xludf.DUMMYFUNCTION("""COMPUTED_VALUE"""),1.0)</f>
        <v>1</v>
      </c>
      <c r="J142" s="68">
        <f>IFERROR(__xludf.DUMMYFUNCTION("""COMPUTED_VALUE"""),199000.0)</f>
        <v>199000</v>
      </c>
      <c r="K142" s="68">
        <f>IFERROR(__xludf.DUMMYFUNCTION("""COMPUTED_VALUE"""),199000.0)</f>
        <v>199000</v>
      </c>
      <c r="L142" s="1" t="str">
        <f>IFERROR(__xludf.DUMMYFUNCTION("""COMPUTED_VALUE"""),"Shirt")</f>
        <v>Shirt</v>
      </c>
    </row>
    <row r="143">
      <c r="A143" s="1" t="str">
        <f>IFERROR(__xludf.DUMMYFUNCTION("""COMPUTED_VALUE"""),"EF138870240342579")</f>
        <v>EF138870240342579</v>
      </c>
      <c r="B143" s="67">
        <f>IFERROR(__xludf.DUMMYFUNCTION("""COMPUTED_VALUE"""),45699.0)</f>
        <v>45699</v>
      </c>
      <c r="C143" s="1" t="str">
        <f>IFERROR(__xludf.DUMMYFUNCTION("""COMPUTED_VALUE"""),"SH002502129735")</f>
        <v>SH002502129735</v>
      </c>
      <c r="D143" s="1" t="str">
        <f>IFERROR(__xludf.DUMMYFUNCTION("""COMPUTED_VALUE"""),"SiLumayanCepat")</f>
        <v>SiLumayanCepat</v>
      </c>
      <c r="E143" s="1" t="str">
        <f>IFERROR(__xludf.DUMMYFUNCTION("""COMPUTED_VALUE"""),"Marc-André ter Stegen")</f>
        <v>Marc-André ter Stegen</v>
      </c>
      <c r="F143" s="1" t="str">
        <f>IFERROR(__xludf.DUMMYFUNCTION("""COMPUTED_VALUE"""),"Yogyakarta")</f>
        <v>Yogyakarta</v>
      </c>
      <c r="G143" s="1" t="str">
        <f>IFERROR(__xludf.DUMMYFUNCTION("""COMPUTED_VALUE"""),"Basic T-Shirt White")</f>
        <v>Basic T-Shirt White</v>
      </c>
      <c r="H143" s="68">
        <f>IFERROR(__xludf.DUMMYFUNCTION("""COMPUTED_VALUE"""),89000.0)</f>
        <v>89000</v>
      </c>
      <c r="I143" s="68">
        <f>IFERROR(__xludf.DUMMYFUNCTION("""COMPUTED_VALUE"""),1.0)</f>
        <v>1</v>
      </c>
      <c r="J143" s="68">
        <f>IFERROR(__xludf.DUMMYFUNCTION("""COMPUTED_VALUE"""),89000.0)</f>
        <v>89000</v>
      </c>
      <c r="K143" s="68">
        <f>IFERROR(__xludf.DUMMYFUNCTION("""COMPUTED_VALUE"""),89000.0)</f>
        <v>89000</v>
      </c>
      <c r="L143" s="1" t="str">
        <f>IFERROR(__xludf.DUMMYFUNCTION("""COMPUTED_VALUE"""),"T-Shirt")</f>
        <v>T-Shirt</v>
      </c>
    </row>
    <row r="144">
      <c r="A144" s="1" t="str">
        <f>IFERROR(__xludf.DUMMYFUNCTION("""COMPUTED_VALUE"""),"EF134043597769147")</f>
        <v>EF134043597769147</v>
      </c>
      <c r="B144" s="67">
        <f>IFERROR(__xludf.DUMMYFUNCTION("""COMPUTED_VALUE"""),45700.0)</f>
        <v>45700</v>
      </c>
      <c r="C144" s="1" t="str">
        <f>IFERROR(__xludf.DUMMYFUNCTION("""COMPUTED_VALUE"""),"SHJP9220844237")</f>
        <v>SHJP9220844237</v>
      </c>
      <c r="D144" s="1" t="str">
        <f>IFERROR(__xludf.DUMMYFUNCTION("""COMPUTED_VALUE"""),"J&amp;G Compress")</f>
        <v>J&amp;G Compress</v>
      </c>
      <c r="E144" s="1" t="str">
        <f>IFERROR(__xludf.DUMMYFUNCTION("""COMPUTED_VALUE"""),"Miralem Pjanić")</f>
        <v>Miralem Pjanić</v>
      </c>
      <c r="F144" s="1" t="str">
        <f>IFERROR(__xludf.DUMMYFUNCTION("""COMPUTED_VALUE"""),"Pekanbaru")</f>
        <v>Pekanbaru</v>
      </c>
      <c r="G144" s="1" t="str">
        <f>IFERROR(__xludf.DUMMYFUNCTION("""COMPUTED_VALUE"""),"Colarless Shirt Long Sleeve Grey")</f>
        <v>Colarless Shirt Long Sleeve Grey</v>
      </c>
      <c r="H144" s="68">
        <f>IFERROR(__xludf.DUMMYFUNCTION("""COMPUTED_VALUE"""),199000.0)</f>
        <v>199000</v>
      </c>
      <c r="I144" s="68">
        <f>IFERROR(__xludf.DUMMYFUNCTION("""COMPUTED_VALUE"""),1.0)</f>
        <v>1</v>
      </c>
      <c r="J144" s="68">
        <f>IFERROR(__xludf.DUMMYFUNCTION("""COMPUTED_VALUE"""),199000.0)</f>
        <v>199000</v>
      </c>
      <c r="K144" s="68">
        <f>IFERROR(__xludf.DUMMYFUNCTION("""COMPUTED_VALUE"""),199000.0)</f>
        <v>199000</v>
      </c>
      <c r="L144" s="1" t="str">
        <f>IFERROR(__xludf.DUMMYFUNCTION("""COMPUTED_VALUE"""),"Shirt")</f>
        <v>Shirt</v>
      </c>
    </row>
    <row r="145">
      <c r="A145" s="1" t="str">
        <f>IFERROR(__xludf.DUMMYFUNCTION("""COMPUTED_VALUE"""),"EF138910512712278")</f>
        <v>EF138910512712278</v>
      </c>
      <c r="B145" s="67">
        <f>IFERROR(__xludf.DUMMYFUNCTION("""COMPUTED_VALUE"""),45700.0)</f>
        <v>45700</v>
      </c>
      <c r="C145" s="1" t="str">
        <f>IFERROR(__xludf.DUMMYFUNCTION("""COMPUTED_VALUE"""),"SHJP8901799869")</f>
        <v>SHJP8901799869</v>
      </c>
      <c r="D145" s="1" t="str">
        <f>IFERROR(__xludf.DUMMYFUNCTION("""COMPUTED_VALUE"""),"J&amp;G Compress")</f>
        <v>J&amp;G Compress</v>
      </c>
      <c r="E145" s="1" t="str">
        <f>IFERROR(__xludf.DUMMYFUNCTION("""COMPUTED_VALUE"""),"Kim Jun Wan")</f>
        <v>Kim Jun Wan</v>
      </c>
      <c r="F145" s="1" t="str">
        <f>IFERROR(__xludf.DUMMYFUNCTION("""COMPUTED_VALUE"""),"Bandung")</f>
        <v>Bandung</v>
      </c>
      <c r="G145" s="1" t="str">
        <f>IFERROR(__xludf.DUMMYFUNCTION("""COMPUTED_VALUE"""),"Basic T-Shirt Navy")</f>
        <v>Basic T-Shirt Navy</v>
      </c>
      <c r="H145" s="68">
        <f>IFERROR(__xludf.DUMMYFUNCTION("""COMPUTED_VALUE"""),89000.0)</f>
        <v>89000</v>
      </c>
      <c r="I145" s="68">
        <f>IFERROR(__xludf.DUMMYFUNCTION("""COMPUTED_VALUE"""),1.0)</f>
        <v>1</v>
      </c>
      <c r="J145" s="68">
        <f>IFERROR(__xludf.DUMMYFUNCTION("""COMPUTED_VALUE"""),89000.0)</f>
        <v>89000</v>
      </c>
      <c r="K145" s="68">
        <f>IFERROR(__xludf.DUMMYFUNCTION("""COMPUTED_VALUE"""),178000.0)</f>
        <v>178000</v>
      </c>
      <c r="L145" s="1" t="str">
        <f>IFERROR(__xludf.DUMMYFUNCTION("""COMPUTED_VALUE"""),"T-Shirt")</f>
        <v>T-Shirt</v>
      </c>
    </row>
    <row r="146">
      <c r="A146" s="1" t="str">
        <f>IFERROR(__xludf.DUMMYFUNCTION("""COMPUTED_VALUE"""),"EF138910512712278")</f>
        <v>EF138910512712278</v>
      </c>
      <c r="B146" s="67">
        <f>IFERROR(__xludf.DUMMYFUNCTION("""COMPUTED_VALUE"""),45700.0)</f>
        <v>45700</v>
      </c>
      <c r="C146" s="1" t="str">
        <f>IFERROR(__xludf.DUMMYFUNCTION("""COMPUTED_VALUE"""),"SHJP8901799869")</f>
        <v>SHJP8901799869</v>
      </c>
      <c r="D146" s="1" t="str">
        <f>IFERROR(__xludf.DUMMYFUNCTION("""COMPUTED_VALUE"""),"J&amp;G Compress")</f>
        <v>J&amp;G Compress</v>
      </c>
      <c r="E146" s="1" t="str">
        <f>IFERROR(__xludf.DUMMYFUNCTION("""COMPUTED_VALUE"""),"Kim Jun Wan")</f>
        <v>Kim Jun Wan</v>
      </c>
      <c r="F146" s="1" t="str">
        <f>IFERROR(__xludf.DUMMYFUNCTION("""COMPUTED_VALUE"""),"Bandung")</f>
        <v>Bandung</v>
      </c>
      <c r="G146" s="1" t="str">
        <f>IFERROR(__xludf.DUMMYFUNCTION("""COMPUTED_VALUE"""),"Basic T-Shirt Maroon")</f>
        <v>Basic T-Shirt Maroon</v>
      </c>
      <c r="H146" s="68">
        <f>IFERROR(__xludf.DUMMYFUNCTION("""COMPUTED_VALUE"""),89000.0)</f>
        <v>89000</v>
      </c>
      <c r="I146" s="68">
        <f>IFERROR(__xludf.DUMMYFUNCTION("""COMPUTED_VALUE"""),1.0)</f>
        <v>1</v>
      </c>
      <c r="J146" s="68">
        <f>IFERROR(__xludf.DUMMYFUNCTION("""COMPUTED_VALUE"""),89000.0)</f>
        <v>89000</v>
      </c>
      <c r="K146" s="68">
        <f>IFERROR(__xludf.DUMMYFUNCTION("""COMPUTED_VALUE"""),178000.0)</f>
        <v>178000</v>
      </c>
      <c r="L146" s="1" t="str">
        <f>IFERROR(__xludf.DUMMYFUNCTION("""COMPUTED_VALUE"""),"T-Shirt")</f>
        <v>T-Shirt</v>
      </c>
    </row>
    <row r="147">
      <c r="A147" s="1" t="str">
        <f>IFERROR(__xludf.DUMMYFUNCTION("""COMPUTED_VALUE"""),"EF134082470412501")</f>
        <v>EF134082470412501</v>
      </c>
      <c r="B147" s="67">
        <f>IFERROR(__xludf.DUMMYFUNCTION("""COMPUTED_VALUE"""),45701.0)</f>
        <v>45701</v>
      </c>
      <c r="C147" s="1" t="str">
        <f>IFERROR(__xludf.DUMMYFUNCTION("""COMPUTED_VALUE"""),"SH000818210327")</f>
        <v>SH000818210327</v>
      </c>
      <c r="D147" s="1" t="str">
        <f>IFERROR(__xludf.DUMMYFUNCTION("""COMPUTED_VALUE"""),"SiLumayanCepat")</f>
        <v>SiLumayanCepat</v>
      </c>
      <c r="E147" s="1" t="str">
        <f>IFERROR(__xludf.DUMMYFUNCTION("""COMPUTED_VALUE"""),"Luis Suárez")</f>
        <v>Luis Suárez</v>
      </c>
      <c r="F147" s="1" t="str">
        <f>IFERROR(__xludf.DUMMYFUNCTION("""COMPUTED_VALUE"""),"Pontianak")</f>
        <v>Pontianak</v>
      </c>
      <c r="G147" s="1" t="str">
        <f>IFERROR(__xludf.DUMMYFUNCTION("""COMPUTED_VALUE"""),"Colarless Shirt Long Sleeve Army")</f>
        <v>Colarless Shirt Long Sleeve Army</v>
      </c>
      <c r="H147" s="68">
        <f>IFERROR(__xludf.DUMMYFUNCTION("""COMPUTED_VALUE"""),199000.0)</f>
        <v>199000</v>
      </c>
      <c r="I147" s="68">
        <f>IFERROR(__xludf.DUMMYFUNCTION("""COMPUTED_VALUE"""),1.0)</f>
        <v>1</v>
      </c>
      <c r="J147" s="68">
        <f>IFERROR(__xludf.DUMMYFUNCTION("""COMPUTED_VALUE"""),199000.0)</f>
        <v>199000</v>
      </c>
      <c r="K147" s="68">
        <f>IFERROR(__xludf.DUMMYFUNCTION("""COMPUTED_VALUE"""),199000.0)</f>
        <v>199000</v>
      </c>
      <c r="L147" s="1" t="str">
        <f>IFERROR(__xludf.DUMMYFUNCTION("""COMPUTED_VALUE"""),"Shirt")</f>
        <v>Shirt</v>
      </c>
    </row>
    <row r="148">
      <c r="A148" s="1" t="str">
        <f>IFERROR(__xludf.DUMMYFUNCTION("""COMPUTED_VALUE"""),"EF134121354328920")</f>
        <v>EF134121354328920</v>
      </c>
      <c r="B148" s="67">
        <f>IFERROR(__xludf.DUMMYFUNCTION("""COMPUTED_VALUE"""),45702.0)</f>
        <v>45702</v>
      </c>
      <c r="C148" s="1" t="str">
        <f>IFERROR(__xludf.DUMMYFUNCTION("""COMPUTED_VALUE"""),"SH000818210328")</f>
        <v>SH000818210328</v>
      </c>
      <c r="D148" s="1" t="str">
        <f>IFERROR(__xludf.DUMMYFUNCTION("""COMPUTED_VALUE"""),"SiLumayanCepat")</f>
        <v>SiLumayanCepat</v>
      </c>
      <c r="E148" s="1" t="str">
        <f>IFERROR(__xludf.DUMMYFUNCTION("""COMPUTED_VALUE"""),"Lionel Messi")</f>
        <v>Lionel Messi</v>
      </c>
      <c r="F148" s="1" t="str">
        <f>IFERROR(__xludf.DUMMYFUNCTION("""COMPUTED_VALUE"""),"Samarinda")</f>
        <v>Samarinda</v>
      </c>
      <c r="G148" s="1" t="str">
        <f>IFERROR(__xludf.DUMMYFUNCTION("""COMPUTED_VALUE"""),"Casual Sneakers Black")</f>
        <v>Casual Sneakers Black</v>
      </c>
      <c r="H148" s="68">
        <f>IFERROR(__xludf.DUMMYFUNCTION("""COMPUTED_VALUE"""),329000.0)</f>
        <v>329000</v>
      </c>
      <c r="I148" s="68">
        <f>IFERROR(__xludf.DUMMYFUNCTION("""COMPUTED_VALUE"""),1.0)</f>
        <v>1</v>
      </c>
      <c r="J148" s="68">
        <f>IFERROR(__xludf.DUMMYFUNCTION("""COMPUTED_VALUE"""),329000.0)</f>
        <v>329000</v>
      </c>
      <c r="K148" s="68">
        <f>IFERROR(__xludf.DUMMYFUNCTION("""COMPUTED_VALUE"""),658000.0)</f>
        <v>658000</v>
      </c>
      <c r="L148" s="1" t="str">
        <f>IFERROR(__xludf.DUMMYFUNCTION("""COMPUTED_VALUE"""),"Shoes")</f>
        <v>Shoes</v>
      </c>
    </row>
    <row r="149">
      <c r="A149" s="1" t="str">
        <f>IFERROR(__xludf.DUMMYFUNCTION("""COMPUTED_VALUE"""),"EF134121354328920")</f>
        <v>EF134121354328920</v>
      </c>
      <c r="B149" s="67">
        <f>IFERROR(__xludf.DUMMYFUNCTION("""COMPUTED_VALUE"""),45702.0)</f>
        <v>45702</v>
      </c>
      <c r="C149" s="1" t="str">
        <f>IFERROR(__xludf.DUMMYFUNCTION("""COMPUTED_VALUE"""),"SH000818210328")</f>
        <v>SH000818210328</v>
      </c>
      <c r="D149" s="1" t="str">
        <f>IFERROR(__xludf.DUMMYFUNCTION("""COMPUTED_VALUE"""),"SiLumayanCepat")</f>
        <v>SiLumayanCepat</v>
      </c>
      <c r="E149" s="1" t="str">
        <f>IFERROR(__xludf.DUMMYFUNCTION("""COMPUTED_VALUE"""),"Lionel Messi")</f>
        <v>Lionel Messi</v>
      </c>
      <c r="F149" s="1" t="str">
        <f>IFERROR(__xludf.DUMMYFUNCTION("""COMPUTED_VALUE"""),"Samarinda")</f>
        <v>Samarinda</v>
      </c>
      <c r="G149" s="1" t="str">
        <f>IFERROR(__xludf.DUMMYFUNCTION("""COMPUTED_VALUE"""),"Casual Sneakers White")</f>
        <v>Casual Sneakers White</v>
      </c>
      <c r="H149" s="68">
        <f>IFERROR(__xludf.DUMMYFUNCTION("""COMPUTED_VALUE"""),329000.0)</f>
        <v>329000</v>
      </c>
      <c r="I149" s="68">
        <f>IFERROR(__xludf.DUMMYFUNCTION("""COMPUTED_VALUE"""),1.0)</f>
        <v>1</v>
      </c>
      <c r="J149" s="68">
        <f>IFERROR(__xludf.DUMMYFUNCTION("""COMPUTED_VALUE"""),329000.0)</f>
        <v>329000</v>
      </c>
      <c r="K149" s="68">
        <f>IFERROR(__xludf.DUMMYFUNCTION("""COMPUTED_VALUE"""),658000.0)</f>
        <v>658000</v>
      </c>
      <c r="L149" s="1" t="str">
        <f>IFERROR(__xludf.DUMMYFUNCTION("""COMPUTED_VALUE"""),"Shoes")</f>
        <v>Shoes</v>
      </c>
    </row>
    <row r="150">
      <c r="A150" s="1" t="str">
        <f>IFERROR(__xludf.DUMMYFUNCTION("""COMPUTED_VALUE"""),"EF138991092492025")</f>
        <v>EF138991092492025</v>
      </c>
      <c r="B150" s="67">
        <f>IFERROR(__xludf.DUMMYFUNCTION("""COMPUTED_VALUE"""),45702.0)</f>
        <v>45702</v>
      </c>
      <c r="C150" s="1" t="str">
        <f>IFERROR(__xludf.DUMMYFUNCTION("""COMPUTED_VALUE"""),"SHJP0963437243")</f>
        <v>SHJP0963437243</v>
      </c>
      <c r="D150" s="1" t="str">
        <f>IFERROR(__xludf.DUMMYFUNCTION("""COMPUTED_VALUE"""),"J&amp;G Compress")</f>
        <v>J&amp;G Compress</v>
      </c>
      <c r="E150" s="1" t="str">
        <f>IFERROR(__xludf.DUMMYFUNCTION("""COMPUTED_VALUE"""),"Gianluigi Buffon")</f>
        <v>Gianluigi Buffon</v>
      </c>
      <c r="F150" s="1" t="str">
        <f>IFERROR(__xludf.DUMMYFUNCTION("""COMPUTED_VALUE"""),"Tangerang")</f>
        <v>Tangerang</v>
      </c>
      <c r="G150" s="1" t="str">
        <f>IFERROR(__xludf.DUMMYFUNCTION("""COMPUTED_VALUE"""),"Basic T-Shirt Grey")</f>
        <v>Basic T-Shirt Grey</v>
      </c>
      <c r="H150" s="68">
        <f>IFERROR(__xludf.DUMMYFUNCTION("""COMPUTED_VALUE"""),89000.0)</f>
        <v>89000</v>
      </c>
      <c r="I150" s="68">
        <f>IFERROR(__xludf.DUMMYFUNCTION("""COMPUTED_VALUE"""),1.0)</f>
        <v>1</v>
      </c>
      <c r="J150" s="68">
        <f>IFERROR(__xludf.DUMMYFUNCTION("""COMPUTED_VALUE"""),89000.0)</f>
        <v>89000</v>
      </c>
      <c r="K150" s="68">
        <f>IFERROR(__xludf.DUMMYFUNCTION("""COMPUTED_VALUE"""),89000.0)</f>
        <v>89000</v>
      </c>
      <c r="L150" s="1" t="str">
        <f>IFERROR(__xludf.DUMMYFUNCTION("""COMPUTED_VALUE"""),"T-Shirt")</f>
        <v>T-Shirt</v>
      </c>
    </row>
    <row r="151">
      <c r="A151" s="1" t="str">
        <f>IFERROR(__xludf.DUMMYFUNCTION("""COMPUTED_VALUE"""),"EF139031399908848")</f>
        <v>EF139031399908848</v>
      </c>
      <c r="B151" s="67">
        <f>IFERROR(__xludf.DUMMYFUNCTION("""COMPUTED_VALUE"""),45703.0)</f>
        <v>45703</v>
      </c>
      <c r="C151" s="1" t="str">
        <f>IFERROR(__xludf.DUMMYFUNCTION("""COMPUTED_VALUE"""),"SHJP6211126770")</f>
        <v>SHJP6211126770</v>
      </c>
      <c r="D151" s="1" t="str">
        <f>IFERROR(__xludf.DUMMYFUNCTION("""COMPUTED_VALUE"""),"J&amp;G Compress")</f>
        <v>J&amp;G Compress</v>
      </c>
      <c r="E151" s="1" t="str">
        <f>IFERROR(__xludf.DUMMYFUNCTION("""COMPUTED_VALUE"""),"Ansu Fati")</f>
        <v>Ansu Fati</v>
      </c>
      <c r="F151" s="1" t="str">
        <f>IFERROR(__xludf.DUMMYFUNCTION("""COMPUTED_VALUE"""),"Yogyakarta")</f>
        <v>Yogyakarta</v>
      </c>
      <c r="G151" s="1" t="str">
        <f>IFERROR(__xludf.DUMMYFUNCTION("""COMPUTED_VALUE"""),"Basic T-Shirt Army")</f>
        <v>Basic T-Shirt Army</v>
      </c>
      <c r="H151" s="68">
        <f>IFERROR(__xludf.DUMMYFUNCTION("""COMPUTED_VALUE"""),89000.0)</f>
        <v>89000</v>
      </c>
      <c r="I151" s="68">
        <f>IFERROR(__xludf.DUMMYFUNCTION("""COMPUTED_VALUE"""),1.0)</f>
        <v>1</v>
      </c>
      <c r="J151" s="68">
        <f>IFERROR(__xludf.DUMMYFUNCTION("""COMPUTED_VALUE"""),89000.0)</f>
        <v>89000</v>
      </c>
      <c r="K151" s="68">
        <f>IFERROR(__xludf.DUMMYFUNCTION("""COMPUTED_VALUE"""),89000.0)</f>
        <v>89000</v>
      </c>
      <c r="L151" s="1" t="str">
        <f>IFERROR(__xludf.DUMMYFUNCTION("""COMPUTED_VALUE"""),"T-Shirt")</f>
        <v>T-Shirt</v>
      </c>
    </row>
    <row r="152">
      <c r="A152" s="1" t="str">
        <f>IFERROR(__xludf.DUMMYFUNCTION("""COMPUTED_VALUE"""),"EF134199155994037")</f>
        <v>EF134199155994037</v>
      </c>
      <c r="B152" s="67">
        <f>IFERROR(__xludf.DUMMYFUNCTION("""COMPUTED_VALUE"""),45704.0)</f>
        <v>45704</v>
      </c>
      <c r="C152" s="1" t="str">
        <f>IFERROR(__xludf.DUMMYFUNCTION("""COMPUTED_VALUE"""),"SHJP2072691294")</f>
        <v>SHJP2072691294</v>
      </c>
      <c r="D152" s="1" t="str">
        <f>IFERROR(__xludf.DUMMYFUNCTION("""COMPUTED_VALUE"""),"J&amp;G Compress")</f>
        <v>J&amp;G Compress</v>
      </c>
      <c r="E152" s="1" t="str">
        <f>IFERROR(__xludf.DUMMYFUNCTION("""COMPUTED_VALUE"""),"Rafinha")</f>
        <v>Rafinha</v>
      </c>
      <c r="F152" s="1" t="str">
        <f>IFERROR(__xludf.DUMMYFUNCTION("""COMPUTED_VALUE"""),"Solo")</f>
        <v>Solo</v>
      </c>
      <c r="G152" s="1" t="str">
        <f>IFERROR(__xludf.DUMMYFUNCTION("""COMPUTED_VALUE"""),"Basic T-Shirt Black")</f>
        <v>Basic T-Shirt Black</v>
      </c>
      <c r="H152" s="68">
        <f>IFERROR(__xludf.DUMMYFUNCTION("""COMPUTED_VALUE"""),89000.0)</f>
        <v>89000</v>
      </c>
      <c r="I152" s="68">
        <f>IFERROR(__xludf.DUMMYFUNCTION("""COMPUTED_VALUE"""),1.0)</f>
        <v>1</v>
      </c>
      <c r="J152" s="68">
        <f>IFERROR(__xludf.DUMMYFUNCTION("""COMPUTED_VALUE"""),89000.0)</f>
        <v>89000</v>
      </c>
      <c r="K152" s="68">
        <f>IFERROR(__xludf.DUMMYFUNCTION("""COMPUTED_VALUE"""),89000.0)</f>
        <v>89000</v>
      </c>
      <c r="L152" s="1" t="str">
        <f>IFERROR(__xludf.DUMMYFUNCTION("""COMPUTED_VALUE"""),"T-Shirt")</f>
        <v>T-Shirt</v>
      </c>
    </row>
    <row r="153">
      <c r="A153" s="1" t="str">
        <f>IFERROR(__xludf.DUMMYFUNCTION("""COMPUTED_VALUE"""),"EF140286744498270")</f>
        <v>EF140286744498270</v>
      </c>
      <c r="B153" s="67">
        <f>IFERROR(__xludf.DUMMYFUNCTION("""COMPUTED_VALUE"""),45704.0)</f>
        <v>45704</v>
      </c>
      <c r="C153" s="1" t="str">
        <f>IFERROR(__xludf.DUMMYFUNCTION("""COMPUTED_VALUE"""),"SHJP5298443446")</f>
        <v>SHJP5298443446</v>
      </c>
      <c r="D153" s="1" t="str">
        <f>IFERROR(__xludf.DUMMYFUNCTION("""COMPUTED_VALUE"""),"J&amp;G Compress")</f>
        <v>J&amp;G Compress</v>
      </c>
      <c r="E153" s="1" t="str">
        <f>IFERROR(__xludf.DUMMYFUNCTION("""COMPUTED_VALUE"""),"Luka Jović")</f>
        <v>Luka Jović</v>
      </c>
      <c r="F153" s="1" t="str">
        <f>IFERROR(__xludf.DUMMYFUNCTION("""COMPUTED_VALUE"""),"Tangerang")</f>
        <v>Tangerang</v>
      </c>
      <c r="G153" s="1" t="str">
        <f>IFERROR(__xludf.DUMMYFUNCTION("""COMPUTED_VALUE"""),"Basic Hoodie - White")</f>
        <v>Basic Hoodie - White</v>
      </c>
      <c r="H153" s="68">
        <f>IFERROR(__xludf.DUMMYFUNCTION("""COMPUTED_VALUE"""),189000.0)</f>
        <v>189000</v>
      </c>
      <c r="I153" s="68">
        <f>IFERROR(__xludf.DUMMYFUNCTION("""COMPUTED_VALUE"""),1.0)</f>
        <v>1</v>
      </c>
      <c r="J153" s="68">
        <f>IFERROR(__xludf.DUMMYFUNCTION("""COMPUTED_VALUE"""),189000.0)</f>
        <v>189000</v>
      </c>
      <c r="K153" s="68">
        <f>IFERROR(__xludf.DUMMYFUNCTION("""COMPUTED_VALUE"""),189000.0)</f>
        <v>189000</v>
      </c>
      <c r="L153" s="1" t="str">
        <f>IFERROR(__xludf.DUMMYFUNCTION("""COMPUTED_VALUE"""),"Jacket")</f>
        <v>Jacket</v>
      </c>
    </row>
    <row r="154">
      <c r="A154" s="1" t="str">
        <f>IFERROR(__xludf.DUMMYFUNCTION("""COMPUTED_VALUE"""),"EF134238073749275")</f>
        <v>EF134238073749275</v>
      </c>
      <c r="B154" s="67">
        <f>IFERROR(__xludf.DUMMYFUNCTION("""COMPUTED_VALUE"""),45705.0)</f>
        <v>45705</v>
      </c>
      <c r="C154" s="1" t="str">
        <f>IFERROR(__xludf.DUMMYFUNCTION("""COMPUTED_VALUE"""),"SH000817317052")</f>
        <v>SH000817317052</v>
      </c>
      <c r="D154" s="1" t="str">
        <f>IFERROR(__xludf.DUMMYFUNCTION("""COMPUTED_VALUE"""),"JemputAja")</f>
        <v>JemputAja</v>
      </c>
      <c r="E154" s="1" t="str">
        <f>IFERROR(__xludf.DUMMYFUNCTION("""COMPUTED_VALUE"""),"Neto")</f>
        <v>Neto</v>
      </c>
      <c r="F154" s="1" t="str">
        <f>IFERROR(__xludf.DUMMYFUNCTION("""COMPUTED_VALUE"""),"Surabaya")</f>
        <v>Surabaya</v>
      </c>
      <c r="G154" s="1" t="str">
        <f>IFERROR(__xludf.DUMMYFUNCTION("""COMPUTED_VALUE"""),"Basic T-Shirt White")</f>
        <v>Basic T-Shirt White</v>
      </c>
      <c r="H154" s="68">
        <f>IFERROR(__xludf.DUMMYFUNCTION("""COMPUTED_VALUE"""),89000.0)</f>
        <v>89000</v>
      </c>
      <c r="I154" s="68">
        <f>IFERROR(__xludf.DUMMYFUNCTION("""COMPUTED_VALUE"""),1.0)</f>
        <v>1</v>
      </c>
      <c r="J154" s="68">
        <f>IFERROR(__xludf.DUMMYFUNCTION("""COMPUTED_VALUE"""),89000.0)</f>
        <v>89000</v>
      </c>
      <c r="K154" s="68">
        <f>IFERROR(__xludf.DUMMYFUNCTION("""COMPUTED_VALUE"""),89000.0)</f>
        <v>89000</v>
      </c>
      <c r="L154" s="1" t="str">
        <f>IFERROR(__xludf.DUMMYFUNCTION("""COMPUTED_VALUE"""),"T-Shirt")</f>
        <v>T-Shirt</v>
      </c>
    </row>
    <row r="155">
      <c r="A155" s="1" t="str">
        <f>IFERROR(__xludf.DUMMYFUNCTION("""COMPUTED_VALUE"""),"EF140327427654174")</f>
        <v>EF140327427654174</v>
      </c>
      <c r="B155" s="67">
        <f>IFERROR(__xludf.DUMMYFUNCTION("""COMPUTED_VALUE"""),45705.0)</f>
        <v>45705</v>
      </c>
      <c r="C155" s="1" t="str">
        <f>IFERROR(__xludf.DUMMYFUNCTION("""COMPUTED_VALUE"""),"SH002501676366")</f>
        <v>SH002501676366</v>
      </c>
      <c r="D155" s="1" t="str">
        <f>IFERROR(__xludf.DUMMYFUNCTION("""COMPUTED_VALUE"""),"JemputAja")</f>
        <v>JemputAja</v>
      </c>
      <c r="E155" s="1" t="str">
        <f>IFERROR(__xludf.DUMMYFUNCTION("""COMPUTED_VALUE"""),"Ji Chang Wook")</f>
        <v>Ji Chang Wook</v>
      </c>
      <c r="F155" s="1" t="str">
        <f>IFERROR(__xludf.DUMMYFUNCTION("""COMPUTED_VALUE"""),"Yogyakarta")</f>
        <v>Yogyakarta</v>
      </c>
      <c r="G155" s="1" t="str">
        <f>IFERROR(__xludf.DUMMYFUNCTION("""COMPUTED_VALUE"""),"Basic Shirt - Black")</f>
        <v>Basic Shirt - Black</v>
      </c>
      <c r="H155" s="68">
        <f>IFERROR(__xludf.DUMMYFUNCTION("""COMPUTED_VALUE"""),129000.0)</f>
        <v>129000</v>
      </c>
      <c r="I155" s="68">
        <f>IFERROR(__xludf.DUMMYFUNCTION("""COMPUTED_VALUE"""),2.0)</f>
        <v>2</v>
      </c>
      <c r="J155" s="68">
        <f>IFERROR(__xludf.DUMMYFUNCTION("""COMPUTED_VALUE"""),258000.0)</f>
        <v>258000</v>
      </c>
      <c r="K155" s="68">
        <f>IFERROR(__xludf.DUMMYFUNCTION("""COMPUTED_VALUE"""),258000.0)</f>
        <v>258000</v>
      </c>
      <c r="L155" s="1" t="str">
        <f>IFERROR(__xludf.DUMMYFUNCTION("""COMPUTED_VALUE"""),"Shirt")</f>
        <v>Shirt</v>
      </c>
    </row>
    <row r="156">
      <c r="A156" s="1" t="str">
        <f>IFERROR(__xludf.DUMMYFUNCTION("""COMPUTED_VALUE"""),"EF134277002790662")</f>
        <v>EF134277002790662</v>
      </c>
      <c r="B156" s="67">
        <f>IFERROR(__xludf.DUMMYFUNCTION("""COMPUTED_VALUE"""),45706.0)</f>
        <v>45706</v>
      </c>
      <c r="C156" s="1" t="str">
        <f>IFERROR(__xludf.DUMMYFUNCTION("""COMPUTED_VALUE"""),"SH000819412116")</f>
        <v>SH000819412116</v>
      </c>
      <c r="D156" s="1" t="str">
        <f>IFERROR(__xludf.DUMMYFUNCTION("""COMPUTED_VALUE"""),"SiLumayanCepat")</f>
        <v>SiLumayanCepat</v>
      </c>
      <c r="E156" s="1" t="str">
        <f>IFERROR(__xludf.DUMMYFUNCTION("""COMPUTED_VALUE"""),"Philippe Coutinho")</f>
        <v>Philippe Coutinho</v>
      </c>
      <c r="F156" s="1" t="str">
        <f>IFERROR(__xludf.DUMMYFUNCTION("""COMPUTED_VALUE"""),"Tangerang")</f>
        <v>Tangerang</v>
      </c>
      <c r="G156" s="1" t="str">
        <f>IFERROR(__xludf.DUMMYFUNCTION("""COMPUTED_VALUE"""),"Basic T-Shirt Navy")</f>
        <v>Basic T-Shirt Navy</v>
      </c>
      <c r="H156" s="68">
        <f>IFERROR(__xludf.DUMMYFUNCTION("""COMPUTED_VALUE"""),89000.0)</f>
        <v>89000</v>
      </c>
      <c r="I156" s="68">
        <f>IFERROR(__xludf.DUMMYFUNCTION("""COMPUTED_VALUE"""),1.0)</f>
        <v>1</v>
      </c>
      <c r="J156" s="68">
        <f>IFERROR(__xludf.DUMMYFUNCTION("""COMPUTED_VALUE"""),89000.0)</f>
        <v>89000</v>
      </c>
      <c r="K156" s="68">
        <f>IFERROR(__xludf.DUMMYFUNCTION("""COMPUTED_VALUE"""),89000.0)</f>
        <v>89000</v>
      </c>
      <c r="L156" s="1" t="str">
        <f>IFERROR(__xludf.DUMMYFUNCTION("""COMPUTED_VALUE"""),"T-Shirt")</f>
        <v>T-Shirt</v>
      </c>
    </row>
    <row r="157">
      <c r="A157" s="1" t="str">
        <f>IFERROR(__xludf.DUMMYFUNCTION("""COMPUTED_VALUE"""),"EF140368122608194")</f>
        <v>EF140368122608194</v>
      </c>
      <c r="B157" s="67">
        <f>IFERROR(__xludf.DUMMYFUNCTION("""COMPUTED_VALUE"""),45706.0)</f>
        <v>45706</v>
      </c>
      <c r="C157" s="1" t="str">
        <f>IFERROR(__xludf.DUMMYFUNCTION("""COMPUTED_VALUE"""),"SH002501676365")</f>
        <v>SH002501676365</v>
      </c>
      <c r="D157" s="1" t="str">
        <f>IFERROR(__xludf.DUMMYFUNCTION("""COMPUTED_VALUE"""),"JemputAja")</f>
        <v>JemputAja</v>
      </c>
      <c r="E157" s="1" t="str">
        <f>IFERROR(__xludf.DUMMYFUNCTION("""COMPUTED_VALUE"""),"Carles Aleñá")</f>
        <v>Carles Aleñá</v>
      </c>
      <c r="F157" s="1" t="str">
        <f>IFERROR(__xludf.DUMMYFUNCTION("""COMPUTED_VALUE"""),"Tangerang")</f>
        <v>Tangerang</v>
      </c>
      <c r="G157" s="1" t="str">
        <f>IFERROR(__xludf.DUMMYFUNCTION("""COMPUTED_VALUE"""),"Basic Shirt - Grey")</f>
        <v>Basic Shirt - Grey</v>
      </c>
      <c r="H157" s="68">
        <f>IFERROR(__xludf.DUMMYFUNCTION("""COMPUTED_VALUE"""),129000.0)</f>
        <v>129000</v>
      </c>
      <c r="I157" s="68">
        <f>IFERROR(__xludf.DUMMYFUNCTION("""COMPUTED_VALUE"""),1.0)</f>
        <v>1</v>
      </c>
      <c r="J157" s="68">
        <f>IFERROR(__xludf.DUMMYFUNCTION("""COMPUTED_VALUE"""),129000.0)</f>
        <v>129000</v>
      </c>
      <c r="K157" s="68">
        <f>IFERROR(__xludf.DUMMYFUNCTION("""COMPUTED_VALUE"""),129000.0)</f>
        <v>129000</v>
      </c>
      <c r="L157" s="1" t="str">
        <f>IFERROR(__xludf.DUMMYFUNCTION("""COMPUTED_VALUE"""),"Shirt")</f>
        <v>Shirt</v>
      </c>
    </row>
    <row r="158">
      <c r="A158" s="1" t="str">
        <f>IFERROR(__xludf.DUMMYFUNCTION("""COMPUTED_VALUE"""),"EF134393857664453")</f>
        <v>EF134393857664453</v>
      </c>
      <c r="B158" s="67">
        <f>IFERROR(__xludf.DUMMYFUNCTION("""COMPUTED_VALUE"""),45707.0)</f>
        <v>45707</v>
      </c>
      <c r="C158" s="1" t="str">
        <f>IFERROR(__xludf.DUMMYFUNCTION("""COMPUTED_VALUE"""),"SH000818211067")</f>
        <v>SH000818211067</v>
      </c>
      <c r="D158" s="1" t="str">
        <f>IFERROR(__xludf.DUMMYFUNCTION("""COMPUTED_VALUE"""),"SiLumayanCepat")</f>
        <v>SiLumayanCepat</v>
      </c>
      <c r="E158" s="1" t="str">
        <f>IFERROR(__xludf.DUMMYFUNCTION("""COMPUTED_VALUE"""),"Clément Lenglet")</f>
        <v>Clément Lenglet</v>
      </c>
      <c r="F158" s="1" t="str">
        <f>IFERROR(__xludf.DUMMYFUNCTION("""COMPUTED_VALUE"""),"Yogyakarta")</f>
        <v>Yogyakarta</v>
      </c>
      <c r="G158" s="1" t="str">
        <f>IFERROR(__xludf.DUMMYFUNCTION("""COMPUTED_VALUE"""),"Basic T-Shirt Maroon")</f>
        <v>Basic T-Shirt Maroon</v>
      </c>
      <c r="H158" s="68">
        <f>IFERROR(__xludf.DUMMYFUNCTION("""COMPUTED_VALUE"""),89000.0)</f>
        <v>89000</v>
      </c>
      <c r="I158" s="68">
        <f>IFERROR(__xludf.DUMMYFUNCTION("""COMPUTED_VALUE"""),1.0)</f>
        <v>1</v>
      </c>
      <c r="J158" s="68">
        <f>IFERROR(__xludf.DUMMYFUNCTION("""COMPUTED_VALUE"""),89000.0)</f>
        <v>89000</v>
      </c>
      <c r="K158" s="68">
        <f>IFERROR(__xludf.DUMMYFUNCTION("""COMPUTED_VALUE"""),356000.0)</f>
        <v>356000</v>
      </c>
      <c r="L158" s="1" t="str">
        <f>IFERROR(__xludf.DUMMYFUNCTION("""COMPUTED_VALUE"""),"T-Shirt")</f>
        <v>T-Shirt</v>
      </c>
    </row>
    <row r="159">
      <c r="A159" s="1" t="str">
        <f>IFERROR(__xludf.DUMMYFUNCTION("""COMPUTED_VALUE"""),"EF134393857664453")</f>
        <v>EF134393857664453</v>
      </c>
      <c r="B159" s="67">
        <f>IFERROR(__xludf.DUMMYFUNCTION("""COMPUTED_VALUE"""),45707.0)</f>
        <v>45707</v>
      </c>
      <c r="C159" s="1" t="str">
        <f>IFERROR(__xludf.DUMMYFUNCTION("""COMPUTED_VALUE"""),"SH000818211067")</f>
        <v>SH000818211067</v>
      </c>
      <c r="D159" s="1" t="str">
        <f>IFERROR(__xludf.DUMMYFUNCTION("""COMPUTED_VALUE"""),"SiLumayanCepat")</f>
        <v>SiLumayanCepat</v>
      </c>
      <c r="E159" s="1" t="str">
        <f>IFERROR(__xludf.DUMMYFUNCTION("""COMPUTED_VALUE"""),"Clément Lenglet")</f>
        <v>Clément Lenglet</v>
      </c>
      <c r="F159" s="1" t="str">
        <f>IFERROR(__xludf.DUMMYFUNCTION("""COMPUTED_VALUE"""),"Yogyakarta")</f>
        <v>Yogyakarta</v>
      </c>
      <c r="G159" s="1" t="str">
        <f>IFERROR(__xludf.DUMMYFUNCTION("""COMPUTED_VALUE"""),"Basic T-Shirt Grey")</f>
        <v>Basic T-Shirt Grey</v>
      </c>
      <c r="H159" s="68">
        <f>IFERROR(__xludf.DUMMYFUNCTION("""COMPUTED_VALUE"""),89000.0)</f>
        <v>89000</v>
      </c>
      <c r="I159" s="68">
        <f>IFERROR(__xludf.DUMMYFUNCTION("""COMPUTED_VALUE"""),1.0)</f>
        <v>1</v>
      </c>
      <c r="J159" s="68">
        <f>IFERROR(__xludf.DUMMYFUNCTION("""COMPUTED_VALUE"""),89000.0)</f>
        <v>89000</v>
      </c>
      <c r="K159" s="68">
        <f>IFERROR(__xludf.DUMMYFUNCTION("""COMPUTED_VALUE"""),356000.0)</f>
        <v>356000</v>
      </c>
      <c r="L159" s="1" t="str">
        <f>IFERROR(__xludf.DUMMYFUNCTION("""COMPUTED_VALUE"""),"T-Shirt")</f>
        <v>T-Shirt</v>
      </c>
    </row>
    <row r="160">
      <c r="A160" s="1" t="str">
        <f>IFERROR(__xludf.DUMMYFUNCTION("""COMPUTED_VALUE"""),"EF134393857664453")</f>
        <v>EF134393857664453</v>
      </c>
      <c r="B160" s="67">
        <f>IFERROR(__xludf.DUMMYFUNCTION("""COMPUTED_VALUE"""),45707.0)</f>
        <v>45707</v>
      </c>
      <c r="C160" s="1" t="str">
        <f>IFERROR(__xludf.DUMMYFUNCTION("""COMPUTED_VALUE"""),"SH000818211067")</f>
        <v>SH000818211067</v>
      </c>
      <c r="D160" s="1" t="str">
        <f>IFERROR(__xludf.DUMMYFUNCTION("""COMPUTED_VALUE"""),"SiLumayanCepat")</f>
        <v>SiLumayanCepat</v>
      </c>
      <c r="E160" s="1" t="str">
        <f>IFERROR(__xludf.DUMMYFUNCTION("""COMPUTED_VALUE"""),"Clément Lenglet")</f>
        <v>Clément Lenglet</v>
      </c>
      <c r="F160" s="1" t="str">
        <f>IFERROR(__xludf.DUMMYFUNCTION("""COMPUTED_VALUE"""),"Yogyakarta")</f>
        <v>Yogyakarta</v>
      </c>
      <c r="G160" s="1" t="str">
        <f>IFERROR(__xludf.DUMMYFUNCTION("""COMPUTED_VALUE"""),"Basic T-Shirt Army")</f>
        <v>Basic T-Shirt Army</v>
      </c>
      <c r="H160" s="68">
        <f>IFERROR(__xludf.DUMMYFUNCTION("""COMPUTED_VALUE"""),89000.0)</f>
        <v>89000</v>
      </c>
      <c r="I160" s="68">
        <f>IFERROR(__xludf.DUMMYFUNCTION("""COMPUTED_VALUE"""),2.0)</f>
        <v>2</v>
      </c>
      <c r="J160" s="68">
        <f>IFERROR(__xludf.DUMMYFUNCTION("""COMPUTED_VALUE"""),178000.0)</f>
        <v>178000</v>
      </c>
      <c r="K160" s="68">
        <f>IFERROR(__xludf.DUMMYFUNCTION("""COMPUTED_VALUE"""),356000.0)</f>
        <v>356000</v>
      </c>
      <c r="L160" s="1" t="str">
        <f>IFERROR(__xludf.DUMMYFUNCTION("""COMPUTED_VALUE"""),"T-Shirt")</f>
        <v>T-Shirt</v>
      </c>
    </row>
    <row r="161">
      <c r="A161" s="1" t="str">
        <f>IFERROR(__xludf.DUMMYFUNCTION("""COMPUTED_VALUE"""),"EF136712782176462")</f>
        <v>EF136712782176462</v>
      </c>
      <c r="B161" s="67">
        <f>IFERROR(__xludf.DUMMYFUNCTION("""COMPUTED_VALUE"""),45707.0)</f>
        <v>45707</v>
      </c>
      <c r="C161" s="1" t="str">
        <f>IFERROR(__xludf.DUMMYFUNCTION("""COMPUTED_VALUE"""),"SH000819411555")</f>
        <v>SH000819411555</v>
      </c>
      <c r="D161" s="1" t="str">
        <f>IFERROR(__xludf.DUMMYFUNCTION("""COMPUTED_VALUE"""),"SiLumayanCepat")</f>
        <v>SiLumayanCepat</v>
      </c>
      <c r="E161" s="1" t="str">
        <f>IFERROR(__xludf.DUMMYFUNCTION("""COMPUTED_VALUE"""),"Álvaro Odriozola")</f>
        <v>Álvaro Odriozola</v>
      </c>
      <c r="F161" s="1" t="str">
        <f>IFERROR(__xludf.DUMMYFUNCTION("""COMPUTED_VALUE"""),"Bandung")</f>
        <v>Bandung</v>
      </c>
      <c r="G161" s="1" t="str">
        <f>IFERROR(__xludf.DUMMYFUNCTION("""COMPUTED_VALUE"""),"Running Pants - Navy")</f>
        <v>Running Pants - Navy</v>
      </c>
      <c r="H161" s="68">
        <f>IFERROR(__xludf.DUMMYFUNCTION("""COMPUTED_VALUE"""),149000.0)</f>
        <v>149000</v>
      </c>
      <c r="I161" s="68">
        <f>IFERROR(__xludf.DUMMYFUNCTION("""COMPUTED_VALUE"""),3.0)</f>
        <v>3</v>
      </c>
      <c r="J161" s="68">
        <f>IFERROR(__xludf.DUMMYFUNCTION("""COMPUTED_VALUE"""),447000.0)</f>
        <v>447000</v>
      </c>
      <c r="K161" s="68">
        <f>IFERROR(__xludf.DUMMYFUNCTION("""COMPUTED_VALUE"""),447000.0)</f>
        <v>447000</v>
      </c>
      <c r="L161" s="1" t="str">
        <f>IFERROR(__xludf.DUMMYFUNCTION("""COMPUTED_VALUE"""),"Sportswear")</f>
        <v>Sportswear</v>
      </c>
    </row>
    <row r="162">
      <c r="A162" s="1" t="str">
        <f>IFERROR(__xludf.DUMMYFUNCTION("""COMPUTED_VALUE"""),"EF140408829363750")</f>
        <v>EF140408829363750</v>
      </c>
      <c r="B162" s="67">
        <f>IFERROR(__xludf.DUMMYFUNCTION("""COMPUTED_VALUE"""),45707.0)</f>
        <v>45707</v>
      </c>
      <c r="C162" s="1" t="str">
        <f>IFERROR(__xludf.DUMMYFUNCTION("""COMPUTED_VALUE"""),"SHJP3772811792")</f>
        <v>SHJP3772811792</v>
      </c>
      <c r="D162" s="1" t="str">
        <f>IFERROR(__xludf.DUMMYFUNCTION("""COMPUTED_VALUE"""),"J&amp;G Compress")</f>
        <v>J&amp;G Compress</v>
      </c>
      <c r="E162" s="1" t="str">
        <f>IFERROR(__xludf.DUMMYFUNCTION("""COMPUTED_VALUE"""),"Axel Tuanzebe")</f>
        <v>Axel Tuanzebe</v>
      </c>
      <c r="F162" s="1" t="str">
        <f>IFERROR(__xludf.DUMMYFUNCTION("""COMPUTED_VALUE"""),"Manado")</f>
        <v>Manado</v>
      </c>
      <c r="G162" s="1" t="str">
        <f>IFERROR(__xludf.DUMMYFUNCTION("""COMPUTED_VALUE"""),"Basic Shirt - Navy")</f>
        <v>Basic Shirt - Navy</v>
      </c>
      <c r="H162" s="68">
        <f>IFERROR(__xludf.DUMMYFUNCTION("""COMPUTED_VALUE"""),129000.0)</f>
        <v>129000</v>
      </c>
      <c r="I162" s="68">
        <f>IFERROR(__xludf.DUMMYFUNCTION("""COMPUTED_VALUE"""),3.0)</f>
        <v>3</v>
      </c>
      <c r="J162" s="68">
        <f>IFERROR(__xludf.DUMMYFUNCTION("""COMPUTED_VALUE"""),387000.0)</f>
        <v>387000</v>
      </c>
      <c r="K162" s="68">
        <f>IFERROR(__xludf.DUMMYFUNCTION("""COMPUTED_VALUE"""),387000.0)</f>
        <v>387000</v>
      </c>
      <c r="L162" s="1" t="str">
        <f>IFERROR(__xludf.DUMMYFUNCTION("""COMPUTED_VALUE"""),"Shirt")</f>
        <v>Shirt</v>
      </c>
    </row>
    <row r="163">
      <c r="A163" s="1" t="str">
        <f>IFERROR(__xludf.DUMMYFUNCTION("""COMPUTED_VALUE"""),"EF136752428883293")</f>
        <v>EF136752428883293</v>
      </c>
      <c r="B163" s="67">
        <f>IFERROR(__xludf.DUMMYFUNCTION("""COMPUTED_VALUE"""),45708.0)</f>
        <v>45708</v>
      </c>
      <c r="C163" s="1" t="str">
        <f>IFERROR(__xludf.DUMMYFUNCTION("""COMPUTED_VALUE"""),"SH000818625062")</f>
        <v>SH000818625062</v>
      </c>
      <c r="D163" s="1" t="str">
        <f>IFERROR(__xludf.DUMMYFUNCTION("""COMPUTED_VALUE"""),"SiLumayanCepat")</f>
        <v>SiLumayanCepat</v>
      </c>
      <c r="E163" s="1" t="str">
        <f>IFERROR(__xludf.DUMMYFUNCTION("""COMPUTED_VALUE"""),"Vinícius Júnior")</f>
        <v>Vinícius Júnior</v>
      </c>
      <c r="F163" s="1" t="str">
        <f>IFERROR(__xludf.DUMMYFUNCTION("""COMPUTED_VALUE"""),"Bandung")</f>
        <v>Bandung</v>
      </c>
      <c r="G163" s="1" t="str">
        <f>IFERROR(__xludf.DUMMYFUNCTION("""COMPUTED_VALUE"""),"Running Sneakers - Black")</f>
        <v>Running Sneakers - Black</v>
      </c>
      <c r="H163" s="68">
        <f>IFERROR(__xludf.DUMMYFUNCTION("""COMPUTED_VALUE"""),349000.0)</f>
        <v>349000</v>
      </c>
      <c r="I163" s="68">
        <f>IFERROR(__xludf.DUMMYFUNCTION("""COMPUTED_VALUE"""),1.0)</f>
        <v>1</v>
      </c>
      <c r="J163" s="68">
        <f>IFERROR(__xludf.DUMMYFUNCTION("""COMPUTED_VALUE"""),349000.0)</f>
        <v>349000</v>
      </c>
      <c r="K163" s="68">
        <f>IFERROR(__xludf.DUMMYFUNCTION("""COMPUTED_VALUE"""),349000.0)</f>
        <v>349000</v>
      </c>
      <c r="L163" s="1" t="str">
        <f>IFERROR(__xludf.DUMMYFUNCTION("""COMPUTED_VALUE"""),"Sportswear")</f>
        <v>Sportswear</v>
      </c>
    </row>
    <row r="164">
      <c r="A164" s="1" t="str">
        <f>IFERROR(__xludf.DUMMYFUNCTION("""COMPUTED_VALUE"""),"EF135136303731500")</f>
        <v>EF135136303731500</v>
      </c>
      <c r="B164" s="67">
        <f>IFERROR(__xludf.DUMMYFUNCTION("""COMPUTED_VALUE"""),45709.0)</f>
        <v>45709</v>
      </c>
      <c r="C164" s="1" t="str">
        <f>IFERROR(__xludf.DUMMYFUNCTION("""COMPUTED_VALUE"""),"SH000818576919")</f>
        <v>SH000818576919</v>
      </c>
      <c r="D164" s="1" t="str">
        <f>IFERROR(__xludf.DUMMYFUNCTION("""COMPUTED_VALUE"""),"SiLumayanCepat")</f>
        <v>SiLumayanCepat</v>
      </c>
      <c r="E164" s="1" t="str">
        <f>IFERROR(__xludf.DUMMYFUNCTION("""COMPUTED_VALUE"""),"Giorgio Chiellin")</f>
        <v>Giorgio Chiellin</v>
      </c>
      <c r="F164" s="1" t="str">
        <f>IFERROR(__xludf.DUMMYFUNCTION("""COMPUTED_VALUE"""),"Balikpapan")</f>
        <v>Balikpapan</v>
      </c>
      <c r="G164" s="1" t="str">
        <f>IFERROR(__xludf.DUMMYFUNCTION("""COMPUTED_VALUE"""),"Linen Shirt - Slimfit - Maroon")</f>
        <v>Linen Shirt - Slimfit - Maroon</v>
      </c>
      <c r="H164" s="68">
        <f>IFERROR(__xludf.DUMMYFUNCTION("""COMPUTED_VALUE"""),229000.0)</f>
        <v>229000</v>
      </c>
      <c r="I164" s="68">
        <f>IFERROR(__xludf.DUMMYFUNCTION("""COMPUTED_VALUE"""),1.0)</f>
        <v>1</v>
      </c>
      <c r="J164" s="68">
        <f>IFERROR(__xludf.DUMMYFUNCTION("""COMPUTED_VALUE"""),229000.0)</f>
        <v>229000</v>
      </c>
      <c r="K164" s="68">
        <f>IFERROR(__xludf.DUMMYFUNCTION("""COMPUTED_VALUE"""),229000.0)</f>
        <v>229000</v>
      </c>
      <c r="L164" s="1" t="str">
        <f>IFERROR(__xludf.DUMMYFUNCTION("""COMPUTED_VALUE"""),"Shirt")</f>
        <v>Shirt</v>
      </c>
    </row>
    <row r="165">
      <c r="A165" s="1" t="str">
        <f>IFERROR(__xludf.DUMMYFUNCTION("""COMPUTED_VALUE"""),"EF136792087087669")</f>
        <v>EF136792087087669</v>
      </c>
      <c r="B165" s="67">
        <f>IFERROR(__xludf.DUMMYFUNCTION("""COMPUTED_VALUE"""),45709.0)</f>
        <v>45709</v>
      </c>
      <c r="C165" s="1" t="str">
        <f>IFERROR(__xludf.DUMMYFUNCTION("""COMPUTED_VALUE"""),"SHJP4040517651")</f>
        <v>SHJP4040517651</v>
      </c>
      <c r="D165" s="1" t="str">
        <f>IFERROR(__xludf.DUMMYFUNCTION("""COMPUTED_VALUE"""),"J&amp;G Compress")</f>
        <v>J&amp;G Compress</v>
      </c>
      <c r="E165" s="1" t="str">
        <f>IFERROR(__xludf.DUMMYFUNCTION("""COMPUTED_VALUE"""),"Martin Ødegaard")</f>
        <v>Martin Ødegaard</v>
      </c>
      <c r="F165" s="1" t="str">
        <f>IFERROR(__xludf.DUMMYFUNCTION("""COMPUTED_VALUE"""),"Bandung")</f>
        <v>Bandung</v>
      </c>
      <c r="G165" s="1" t="str">
        <f>IFERROR(__xludf.DUMMYFUNCTION("""COMPUTED_VALUE"""),"Linen Shirt - Slimfit - Grey")</f>
        <v>Linen Shirt - Slimfit - Grey</v>
      </c>
      <c r="H165" s="68">
        <f>IFERROR(__xludf.DUMMYFUNCTION("""COMPUTED_VALUE"""),229000.0)</f>
        <v>229000</v>
      </c>
      <c r="I165" s="68">
        <f>IFERROR(__xludf.DUMMYFUNCTION("""COMPUTED_VALUE"""),1.0)</f>
        <v>1</v>
      </c>
      <c r="J165" s="68">
        <f>IFERROR(__xludf.DUMMYFUNCTION("""COMPUTED_VALUE"""),229000.0)</f>
        <v>229000</v>
      </c>
      <c r="K165" s="68">
        <f>IFERROR(__xludf.DUMMYFUNCTION("""COMPUTED_VALUE"""),916000.0)</f>
        <v>916000</v>
      </c>
      <c r="L165" s="1" t="str">
        <f>IFERROR(__xludf.DUMMYFUNCTION("""COMPUTED_VALUE"""),"Shirt")</f>
        <v>Shirt</v>
      </c>
    </row>
    <row r="166">
      <c r="A166" s="1" t="str">
        <f>IFERROR(__xludf.DUMMYFUNCTION("""COMPUTED_VALUE"""),"EF136792087087669")</f>
        <v>EF136792087087669</v>
      </c>
      <c r="B166" s="67">
        <f>IFERROR(__xludf.DUMMYFUNCTION("""COMPUTED_VALUE"""),45709.0)</f>
        <v>45709</v>
      </c>
      <c r="C166" s="1" t="str">
        <f>IFERROR(__xludf.DUMMYFUNCTION("""COMPUTED_VALUE"""),"SHJP4040517651")</f>
        <v>SHJP4040517651</v>
      </c>
      <c r="D166" s="1" t="str">
        <f>IFERROR(__xludf.DUMMYFUNCTION("""COMPUTED_VALUE"""),"J&amp;G Compress")</f>
        <v>J&amp;G Compress</v>
      </c>
      <c r="E166" s="1" t="str">
        <f>IFERROR(__xludf.DUMMYFUNCTION("""COMPUTED_VALUE"""),"Martin Ødegaard")</f>
        <v>Martin Ødegaard</v>
      </c>
      <c r="F166" s="1" t="str">
        <f>IFERROR(__xludf.DUMMYFUNCTION("""COMPUTED_VALUE"""),"Bandung")</f>
        <v>Bandung</v>
      </c>
      <c r="G166" s="1" t="str">
        <f>IFERROR(__xludf.DUMMYFUNCTION("""COMPUTED_VALUE"""),"Linen Shirt - Slimfit - Navy")</f>
        <v>Linen Shirt - Slimfit - Navy</v>
      </c>
      <c r="H166" s="68">
        <f>IFERROR(__xludf.DUMMYFUNCTION("""COMPUTED_VALUE"""),229000.0)</f>
        <v>229000</v>
      </c>
      <c r="I166" s="68">
        <f>IFERROR(__xludf.DUMMYFUNCTION("""COMPUTED_VALUE"""),1.0)</f>
        <v>1</v>
      </c>
      <c r="J166" s="68">
        <f>IFERROR(__xludf.DUMMYFUNCTION("""COMPUTED_VALUE"""),229000.0)</f>
        <v>229000</v>
      </c>
      <c r="K166" s="68">
        <f>IFERROR(__xludf.DUMMYFUNCTION("""COMPUTED_VALUE"""),916000.0)</f>
        <v>916000</v>
      </c>
      <c r="L166" s="1" t="str">
        <f>IFERROR(__xludf.DUMMYFUNCTION("""COMPUTED_VALUE"""),"Shirt")</f>
        <v>Shirt</v>
      </c>
    </row>
    <row r="167">
      <c r="A167" s="1" t="str">
        <f>IFERROR(__xludf.DUMMYFUNCTION("""COMPUTED_VALUE"""),"EF136792087087669")</f>
        <v>EF136792087087669</v>
      </c>
      <c r="B167" s="67">
        <f>IFERROR(__xludf.DUMMYFUNCTION("""COMPUTED_VALUE"""),45709.0)</f>
        <v>45709</v>
      </c>
      <c r="C167" s="1" t="str">
        <f>IFERROR(__xludf.DUMMYFUNCTION("""COMPUTED_VALUE"""),"SHJP4040517651")</f>
        <v>SHJP4040517651</v>
      </c>
      <c r="D167" s="1" t="str">
        <f>IFERROR(__xludf.DUMMYFUNCTION("""COMPUTED_VALUE"""),"J&amp;G Compress")</f>
        <v>J&amp;G Compress</v>
      </c>
      <c r="E167" s="1" t="str">
        <f>IFERROR(__xludf.DUMMYFUNCTION("""COMPUTED_VALUE"""),"Martin Ødegaard")</f>
        <v>Martin Ødegaard</v>
      </c>
      <c r="F167" s="1" t="str">
        <f>IFERROR(__xludf.DUMMYFUNCTION("""COMPUTED_VALUE"""),"Bandung")</f>
        <v>Bandung</v>
      </c>
      <c r="G167" s="1" t="str">
        <f>IFERROR(__xludf.DUMMYFUNCTION("""COMPUTED_VALUE"""),"Linen Shirt - Slimfit - Khaki")</f>
        <v>Linen Shirt - Slimfit - Khaki</v>
      </c>
      <c r="H167" s="68">
        <f>IFERROR(__xludf.DUMMYFUNCTION("""COMPUTED_VALUE"""),229000.0)</f>
        <v>229000</v>
      </c>
      <c r="I167" s="68">
        <f>IFERROR(__xludf.DUMMYFUNCTION("""COMPUTED_VALUE"""),1.0)</f>
        <v>1</v>
      </c>
      <c r="J167" s="68">
        <f>IFERROR(__xludf.DUMMYFUNCTION("""COMPUTED_VALUE"""),229000.0)</f>
        <v>229000</v>
      </c>
      <c r="K167" s="68">
        <f>IFERROR(__xludf.DUMMYFUNCTION("""COMPUTED_VALUE"""),916000.0)</f>
        <v>916000</v>
      </c>
      <c r="L167" s="1" t="str">
        <f>IFERROR(__xludf.DUMMYFUNCTION("""COMPUTED_VALUE"""),"Shirt")</f>
        <v>Shirt</v>
      </c>
    </row>
    <row r="168">
      <c r="A168" s="1" t="str">
        <f>IFERROR(__xludf.DUMMYFUNCTION("""COMPUTED_VALUE"""),"EF136792087087669")</f>
        <v>EF136792087087669</v>
      </c>
      <c r="B168" s="67">
        <f>IFERROR(__xludf.DUMMYFUNCTION("""COMPUTED_VALUE"""),45709.0)</f>
        <v>45709</v>
      </c>
      <c r="C168" s="1" t="str">
        <f>IFERROR(__xludf.DUMMYFUNCTION("""COMPUTED_VALUE"""),"SHJP4040517651")</f>
        <v>SHJP4040517651</v>
      </c>
      <c r="D168" s="1" t="str">
        <f>IFERROR(__xludf.DUMMYFUNCTION("""COMPUTED_VALUE"""),"J&amp;G Compress")</f>
        <v>J&amp;G Compress</v>
      </c>
      <c r="E168" s="1" t="str">
        <f>IFERROR(__xludf.DUMMYFUNCTION("""COMPUTED_VALUE"""),"Martin Ødegaard")</f>
        <v>Martin Ødegaard</v>
      </c>
      <c r="F168" s="1" t="str">
        <f>IFERROR(__xludf.DUMMYFUNCTION("""COMPUTED_VALUE"""),"Bandung")</f>
        <v>Bandung</v>
      </c>
      <c r="G168" s="1" t="str">
        <f>IFERROR(__xludf.DUMMYFUNCTION("""COMPUTED_VALUE"""),"Linen Shirt - Slimfit - White")</f>
        <v>Linen Shirt - Slimfit - White</v>
      </c>
      <c r="H168" s="68">
        <f>IFERROR(__xludf.DUMMYFUNCTION("""COMPUTED_VALUE"""),229000.0)</f>
        <v>229000</v>
      </c>
      <c r="I168" s="68">
        <f>IFERROR(__xludf.DUMMYFUNCTION("""COMPUTED_VALUE"""),1.0)</f>
        <v>1</v>
      </c>
      <c r="J168" s="68">
        <f>IFERROR(__xludf.DUMMYFUNCTION("""COMPUTED_VALUE"""),229000.0)</f>
        <v>229000</v>
      </c>
      <c r="K168" s="68">
        <f>IFERROR(__xludf.DUMMYFUNCTION("""COMPUTED_VALUE"""),916000.0)</f>
        <v>916000</v>
      </c>
      <c r="L168" s="1" t="str">
        <f>IFERROR(__xludf.DUMMYFUNCTION("""COMPUTED_VALUE"""),"Shirt")</f>
        <v>Shirt</v>
      </c>
    </row>
    <row r="169">
      <c r="A169" s="1" t="str">
        <f>IFERROR(__xludf.DUMMYFUNCTION("""COMPUTED_VALUE"""),"EF134432831883175")</f>
        <v>EF134432831883175</v>
      </c>
      <c r="B169" s="67">
        <f>IFERROR(__xludf.DUMMYFUNCTION("""COMPUTED_VALUE"""),45710.0)</f>
        <v>45710</v>
      </c>
      <c r="C169" s="1" t="str">
        <f>IFERROR(__xludf.DUMMYFUNCTION("""COMPUTED_VALUE"""),"SH000819582244")</f>
        <v>SH000819582244</v>
      </c>
      <c r="D169" s="1" t="str">
        <f>IFERROR(__xludf.DUMMYFUNCTION("""COMPUTED_VALUE"""),"SiLumayanCepat")</f>
        <v>SiLumayanCepat</v>
      </c>
      <c r="E169" s="1" t="str">
        <f>IFERROR(__xludf.DUMMYFUNCTION("""COMPUTED_VALUE"""),"Jordi Alba")</f>
        <v>Jordi Alba</v>
      </c>
      <c r="F169" s="1" t="str">
        <f>IFERROR(__xludf.DUMMYFUNCTION("""COMPUTED_VALUE"""),"Kupang")</f>
        <v>Kupang</v>
      </c>
      <c r="G169" s="1" t="str">
        <f>IFERROR(__xludf.DUMMYFUNCTION("""COMPUTED_VALUE"""),"Basic Hoodie - White")</f>
        <v>Basic Hoodie - White</v>
      </c>
      <c r="H169" s="68">
        <f>IFERROR(__xludf.DUMMYFUNCTION("""COMPUTED_VALUE"""),189000.0)</f>
        <v>189000</v>
      </c>
      <c r="I169" s="68">
        <f>IFERROR(__xludf.DUMMYFUNCTION("""COMPUTED_VALUE"""),1.0)</f>
        <v>1</v>
      </c>
      <c r="J169" s="68">
        <f>IFERROR(__xludf.DUMMYFUNCTION("""COMPUTED_VALUE"""),189000.0)</f>
        <v>189000</v>
      </c>
      <c r="K169" s="68">
        <f>IFERROR(__xludf.DUMMYFUNCTION("""COMPUTED_VALUE"""),189000.0)</f>
        <v>189000</v>
      </c>
      <c r="L169" s="1" t="str">
        <f>IFERROR(__xludf.DUMMYFUNCTION("""COMPUTED_VALUE"""),"Jacket")</f>
        <v>Jacket</v>
      </c>
    </row>
    <row r="170">
      <c r="A170" s="1" t="str">
        <f>IFERROR(__xludf.DUMMYFUNCTION("""COMPUTED_VALUE"""),"EF135175493259582")</f>
        <v>EF135175493259582</v>
      </c>
      <c r="B170" s="67">
        <f>IFERROR(__xludf.DUMMYFUNCTION("""COMPUTED_VALUE"""),45710.0)</f>
        <v>45710</v>
      </c>
      <c r="C170" s="1" t="str">
        <f>IFERROR(__xludf.DUMMYFUNCTION("""COMPUTED_VALUE"""),"SHJP4260195903")</f>
        <v>SHJP4260195903</v>
      </c>
      <c r="D170" s="1" t="str">
        <f>IFERROR(__xludf.DUMMYFUNCTION("""COMPUTED_VALUE"""),"J&amp;T Economy")</f>
        <v>J&amp;T Economy</v>
      </c>
      <c r="E170" s="1" t="str">
        <f>IFERROR(__xludf.DUMMYFUNCTION("""COMPUTED_VALUE"""),"Matthijs de Ligt")</f>
        <v>Matthijs de Ligt</v>
      </c>
      <c r="F170" s="1" t="str">
        <f>IFERROR(__xludf.DUMMYFUNCTION("""COMPUTED_VALUE"""),"Bandung")</f>
        <v>Bandung</v>
      </c>
      <c r="G170" s="1" t="str">
        <f>IFERROR(__xludf.DUMMYFUNCTION("""COMPUTED_VALUE"""),"Short Sleeve - Cotton Shirt Black")</f>
        <v>Short Sleeve - Cotton Shirt Black</v>
      </c>
      <c r="H170" s="68">
        <f>IFERROR(__xludf.DUMMYFUNCTION("""COMPUTED_VALUE"""),179000.0)</f>
        <v>179000</v>
      </c>
      <c r="I170" s="68">
        <f>IFERROR(__xludf.DUMMYFUNCTION("""COMPUTED_VALUE"""),1.0)</f>
        <v>1</v>
      </c>
      <c r="J170" s="68">
        <f>IFERROR(__xludf.DUMMYFUNCTION("""COMPUTED_VALUE"""),179000.0)</f>
        <v>179000</v>
      </c>
      <c r="K170" s="68">
        <f>IFERROR(__xludf.DUMMYFUNCTION("""COMPUTED_VALUE"""),179000.0)</f>
        <v>179000</v>
      </c>
      <c r="L170" s="1" t="str">
        <f>IFERROR(__xludf.DUMMYFUNCTION("""COMPUTED_VALUE"""),"Shirt")</f>
        <v>Shirt</v>
      </c>
    </row>
    <row r="171">
      <c r="A171" s="1" t="str">
        <f>IFERROR(__xludf.DUMMYFUNCTION("""COMPUTED_VALUE"""),"EF134471817404422")</f>
        <v>EF134471817404422</v>
      </c>
      <c r="B171" s="67">
        <f>IFERROR(__xludf.DUMMYFUNCTION("""COMPUTED_VALUE"""),45711.0)</f>
        <v>45711</v>
      </c>
      <c r="C171" s="1" t="str">
        <f>IFERROR(__xludf.DUMMYFUNCTION("""COMPUTED_VALUE"""),"SH000819738329")</f>
        <v>SH000819738329</v>
      </c>
      <c r="D171" s="1" t="str">
        <f>IFERROR(__xludf.DUMMYFUNCTION("""COMPUTED_VALUE"""),"SiLumayanCepat")</f>
        <v>SiLumayanCepat</v>
      </c>
      <c r="E171" s="1" t="str">
        <f>IFERROR(__xludf.DUMMYFUNCTION("""COMPUTED_VALUE"""),"Martin Braithwaite")</f>
        <v>Martin Braithwaite</v>
      </c>
      <c r="F171" s="1" t="str">
        <f>IFERROR(__xludf.DUMMYFUNCTION("""COMPUTED_VALUE"""),"Mataram")</f>
        <v>Mataram</v>
      </c>
      <c r="G171" s="1" t="str">
        <f>IFERROR(__xludf.DUMMYFUNCTION("""COMPUTED_VALUE"""),"Basic Shirt - Black")</f>
        <v>Basic Shirt - Black</v>
      </c>
      <c r="H171" s="68">
        <f>IFERROR(__xludf.DUMMYFUNCTION("""COMPUTED_VALUE"""),129000.0)</f>
        <v>129000</v>
      </c>
      <c r="I171" s="68">
        <f>IFERROR(__xludf.DUMMYFUNCTION("""COMPUTED_VALUE"""),2.0)</f>
        <v>2</v>
      </c>
      <c r="J171" s="68">
        <f>IFERROR(__xludf.DUMMYFUNCTION("""COMPUTED_VALUE"""),258000.0)</f>
        <v>258000</v>
      </c>
      <c r="K171" s="68">
        <f>IFERROR(__xludf.DUMMYFUNCTION("""COMPUTED_VALUE"""),258000.0)</f>
        <v>258000</v>
      </c>
      <c r="L171" s="1" t="str">
        <f>IFERROR(__xludf.DUMMYFUNCTION("""COMPUTED_VALUE"""),"Shirt")</f>
        <v>Shirt</v>
      </c>
    </row>
    <row r="172">
      <c r="A172" s="1" t="str">
        <f>IFERROR(__xludf.DUMMYFUNCTION("""COMPUTED_VALUE"""),"EF135214694152627")</f>
        <v>EF135214694152627</v>
      </c>
      <c r="B172" s="67">
        <f>IFERROR(__xludf.DUMMYFUNCTION("""COMPUTED_VALUE"""),45711.0)</f>
        <v>45711</v>
      </c>
      <c r="C172" s="1" t="str">
        <f>IFERROR(__xludf.DUMMYFUNCTION("""COMPUTED_VALUE"""),"SH000819410767")</f>
        <v>SH000819410767</v>
      </c>
      <c r="D172" s="1" t="str">
        <f>IFERROR(__xludf.DUMMYFUNCTION("""COMPUTED_VALUE"""),"SiLumayanCepat")</f>
        <v>SiLumayanCepat</v>
      </c>
      <c r="E172" s="1" t="str">
        <f>IFERROR(__xludf.DUMMYFUNCTION("""COMPUTED_VALUE"""),"Alex Sandro")</f>
        <v>Alex Sandro</v>
      </c>
      <c r="F172" s="1" t="str">
        <f>IFERROR(__xludf.DUMMYFUNCTION("""COMPUTED_VALUE"""),"Surabaya")</f>
        <v>Surabaya</v>
      </c>
      <c r="G172" s="1" t="str">
        <f>IFERROR(__xludf.DUMMYFUNCTION("""COMPUTED_VALUE"""),"Short Sleeve - Cotton Shirt Navy")</f>
        <v>Short Sleeve - Cotton Shirt Navy</v>
      </c>
      <c r="H172" s="68">
        <f>IFERROR(__xludf.DUMMYFUNCTION("""COMPUTED_VALUE"""),179000.0)</f>
        <v>179000</v>
      </c>
      <c r="I172" s="68">
        <f>IFERROR(__xludf.DUMMYFUNCTION("""COMPUTED_VALUE"""),2.0)</f>
        <v>2</v>
      </c>
      <c r="J172" s="68">
        <f>IFERROR(__xludf.DUMMYFUNCTION("""COMPUTED_VALUE"""),358000.0)</f>
        <v>358000</v>
      </c>
      <c r="K172" s="68">
        <f>IFERROR(__xludf.DUMMYFUNCTION("""COMPUTED_VALUE"""),358000.0)</f>
        <v>358000</v>
      </c>
      <c r="L172" s="1" t="str">
        <f>IFERROR(__xludf.DUMMYFUNCTION("""COMPUTED_VALUE"""),"Shirt")</f>
        <v>Shirt</v>
      </c>
    </row>
    <row r="173">
      <c r="A173" s="1" t="str">
        <f>IFERROR(__xludf.DUMMYFUNCTION("""COMPUTED_VALUE"""),"EF134510814231469")</f>
        <v>EF134510814231469</v>
      </c>
      <c r="B173" s="67">
        <f>IFERROR(__xludf.DUMMYFUNCTION("""COMPUTED_VALUE"""),45712.0)</f>
        <v>45712</v>
      </c>
      <c r="C173" s="1" t="str">
        <f>IFERROR(__xludf.DUMMYFUNCTION("""COMPUTED_VALUE"""),"SH000817829171")</f>
        <v>SH000817829171</v>
      </c>
      <c r="D173" s="1" t="str">
        <f>IFERROR(__xludf.DUMMYFUNCTION("""COMPUTED_VALUE"""),"SiLumayanCepat")</f>
        <v>SiLumayanCepat</v>
      </c>
      <c r="E173" s="1" t="str">
        <f>IFERROR(__xludf.DUMMYFUNCTION("""COMPUTED_VALUE"""),"Nelson")</f>
        <v>Nelson</v>
      </c>
      <c r="F173" s="1" t="str">
        <f>IFERROR(__xludf.DUMMYFUNCTION("""COMPUTED_VALUE"""),"Jayapura")</f>
        <v>Jayapura</v>
      </c>
      <c r="G173" s="1" t="str">
        <f>IFERROR(__xludf.DUMMYFUNCTION("""COMPUTED_VALUE"""),"Basic Shirt - Grey")</f>
        <v>Basic Shirt - Grey</v>
      </c>
      <c r="H173" s="68">
        <f>IFERROR(__xludf.DUMMYFUNCTION("""COMPUTED_VALUE"""),129000.0)</f>
        <v>129000</v>
      </c>
      <c r="I173" s="68">
        <f>IFERROR(__xludf.DUMMYFUNCTION("""COMPUTED_VALUE"""),1.0)</f>
        <v>1</v>
      </c>
      <c r="J173" s="68">
        <f>IFERROR(__xludf.DUMMYFUNCTION("""COMPUTED_VALUE"""),129000.0)</f>
        <v>129000</v>
      </c>
      <c r="K173" s="68">
        <f>IFERROR(__xludf.DUMMYFUNCTION("""COMPUTED_VALUE"""),129000.0)</f>
        <v>129000</v>
      </c>
      <c r="L173" s="1" t="str">
        <f>IFERROR(__xludf.DUMMYFUNCTION("""COMPUTED_VALUE"""),"Shirt")</f>
        <v>Shirt</v>
      </c>
    </row>
    <row r="174">
      <c r="A174" s="1" t="str">
        <f>IFERROR(__xludf.DUMMYFUNCTION("""COMPUTED_VALUE"""),"EF135253906413931")</f>
        <v>EF135253906413931</v>
      </c>
      <c r="B174" s="67">
        <f>IFERROR(__xludf.DUMMYFUNCTION("""COMPUTED_VALUE"""),45712.0)</f>
        <v>45712</v>
      </c>
      <c r="C174" s="1" t="str">
        <f>IFERROR(__xludf.DUMMYFUNCTION("""COMPUTED_VALUE"""),"SH000818893039")</f>
        <v>SH000818893039</v>
      </c>
      <c r="D174" s="1" t="str">
        <f>IFERROR(__xludf.DUMMYFUNCTION("""COMPUTED_VALUE"""),"SiLumayanCepat")</f>
        <v>SiLumayanCepat</v>
      </c>
      <c r="E174" s="1" t="str">
        <f>IFERROR(__xludf.DUMMYFUNCTION("""COMPUTED_VALUE"""),"Danilo")</f>
        <v>Danilo</v>
      </c>
      <c r="F174" s="1" t="str">
        <f>IFERROR(__xludf.DUMMYFUNCTION("""COMPUTED_VALUE"""),"Denpasar")</f>
        <v>Denpasar</v>
      </c>
      <c r="G174" s="1" t="str">
        <f>IFERROR(__xludf.DUMMYFUNCTION("""COMPUTED_VALUE"""),"Short Sleeve - Cotton Shirt Maroon")</f>
        <v>Short Sleeve - Cotton Shirt Maroon</v>
      </c>
      <c r="H174" s="68">
        <f>IFERROR(__xludf.DUMMYFUNCTION("""COMPUTED_VALUE"""),179000.0)</f>
        <v>179000</v>
      </c>
      <c r="I174" s="68">
        <f>IFERROR(__xludf.DUMMYFUNCTION("""COMPUTED_VALUE"""),1.0)</f>
        <v>1</v>
      </c>
      <c r="J174" s="68">
        <f>IFERROR(__xludf.DUMMYFUNCTION("""COMPUTED_VALUE"""),179000.0)</f>
        <v>179000</v>
      </c>
      <c r="K174" s="68">
        <f>IFERROR(__xludf.DUMMYFUNCTION("""COMPUTED_VALUE"""),179000.0)</f>
        <v>179000</v>
      </c>
      <c r="L174" s="1" t="str">
        <f>IFERROR(__xludf.DUMMYFUNCTION("""COMPUTED_VALUE"""),"Shirt")</f>
        <v>Shirt</v>
      </c>
    </row>
    <row r="175">
      <c r="A175" s="1" t="str">
        <f>IFERROR(__xludf.DUMMYFUNCTION("""COMPUTED_VALUE"""),"EF134549822367596")</f>
        <v>EF134549822367596</v>
      </c>
      <c r="B175" s="67">
        <f>IFERROR(__xludf.DUMMYFUNCTION("""COMPUTED_VALUE"""),45713.0)</f>
        <v>45713</v>
      </c>
      <c r="C175" s="1" t="str">
        <f>IFERROR(__xludf.DUMMYFUNCTION("""COMPUTED_VALUE"""),"SH000818826222")</f>
        <v>SH000818826222</v>
      </c>
      <c r="D175" s="1" t="str">
        <f>IFERROR(__xludf.DUMMYFUNCTION("""COMPUTED_VALUE"""),"SiLumayanCepat")</f>
        <v>SiLumayanCepat</v>
      </c>
      <c r="E175" s="1" t="str">
        <f>IFERROR(__xludf.DUMMYFUNCTION("""COMPUTED_VALUE"""),"Frenkie de Jong")</f>
        <v>Frenkie de Jong</v>
      </c>
      <c r="F175" s="1" t="str">
        <f>IFERROR(__xludf.DUMMYFUNCTION("""COMPUTED_VALUE"""),"Palu")</f>
        <v>Palu</v>
      </c>
      <c r="G175" s="1" t="str">
        <f>IFERROR(__xludf.DUMMYFUNCTION("""COMPUTED_VALUE"""),"Basic Shirt - Navy")</f>
        <v>Basic Shirt - Navy</v>
      </c>
      <c r="H175" s="68">
        <f>IFERROR(__xludf.DUMMYFUNCTION("""COMPUTED_VALUE"""),129000.0)</f>
        <v>129000</v>
      </c>
      <c r="I175" s="68">
        <f>IFERROR(__xludf.DUMMYFUNCTION("""COMPUTED_VALUE"""),1.0)</f>
        <v>1</v>
      </c>
      <c r="J175" s="68">
        <f>IFERROR(__xludf.DUMMYFUNCTION("""COMPUTED_VALUE"""),129000.0)</f>
        <v>129000</v>
      </c>
      <c r="K175" s="68">
        <f>IFERROR(__xludf.DUMMYFUNCTION("""COMPUTED_VALUE"""),129000.0)</f>
        <v>129000</v>
      </c>
      <c r="L175" s="1" t="str">
        <f>IFERROR(__xludf.DUMMYFUNCTION("""COMPUTED_VALUE"""),"Shirt")</f>
        <v>Shirt</v>
      </c>
    </row>
    <row r="176">
      <c r="A176" s="1" t="str">
        <f>IFERROR(__xludf.DUMMYFUNCTION("""COMPUTED_VALUE"""),"EF135293130046791")</f>
        <v>EF135293130046791</v>
      </c>
      <c r="B176" s="67">
        <f>IFERROR(__xludf.DUMMYFUNCTION("""COMPUTED_VALUE"""),45713.0)</f>
        <v>45713</v>
      </c>
      <c r="C176" s="1" t="str">
        <f>IFERROR(__xludf.DUMMYFUNCTION("""COMPUTED_VALUE"""),"SH000819739953")</f>
        <v>SH000819739953</v>
      </c>
      <c r="D176" s="1" t="str">
        <f>IFERROR(__xludf.DUMMYFUNCTION("""COMPUTED_VALUE"""),"SiLumayanCepat")</f>
        <v>SiLumayanCepat</v>
      </c>
      <c r="E176" s="1" t="str">
        <f>IFERROR(__xludf.DUMMYFUNCTION("""COMPUTED_VALUE"""),"Juan Cuadrado")</f>
        <v>Juan Cuadrado</v>
      </c>
      <c r="F176" s="1" t="str">
        <f>IFERROR(__xludf.DUMMYFUNCTION("""COMPUTED_VALUE"""),"Jakarta")</f>
        <v>Jakarta</v>
      </c>
      <c r="G176" s="1" t="str">
        <f>IFERROR(__xludf.DUMMYFUNCTION("""COMPUTED_VALUE"""),"Short Sleeve - Cotton Shirt White")</f>
        <v>Short Sleeve - Cotton Shirt White</v>
      </c>
      <c r="H176" s="68">
        <f>IFERROR(__xludf.DUMMYFUNCTION("""COMPUTED_VALUE"""),179000.0)</f>
        <v>179000</v>
      </c>
      <c r="I176" s="68">
        <f>IFERROR(__xludf.DUMMYFUNCTION("""COMPUTED_VALUE"""),1.0)</f>
        <v>1</v>
      </c>
      <c r="J176" s="68">
        <f>IFERROR(__xludf.DUMMYFUNCTION("""COMPUTED_VALUE"""),179000.0)</f>
        <v>179000</v>
      </c>
      <c r="K176" s="68">
        <f>IFERROR(__xludf.DUMMYFUNCTION("""COMPUTED_VALUE"""),179000.0)</f>
        <v>179000</v>
      </c>
      <c r="L176" s="1" t="str">
        <f>IFERROR(__xludf.DUMMYFUNCTION("""COMPUTED_VALUE"""),"Shirt")</f>
        <v>Shirt</v>
      </c>
    </row>
    <row r="177">
      <c r="A177" s="1" t="str">
        <f>IFERROR(__xludf.DUMMYFUNCTION("""COMPUTED_VALUE"""),"EF136950834947324")</f>
        <v>EF136950834947324</v>
      </c>
      <c r="B177" s="67">
        <f>IFERROR(__xludf.DUMMYFUNCTION("""COMPUTED_VALUE"""),45713.0)</f>
        <v>45713</v>
      </c>
      <c r="C177" s="1" t="str">
        <f>IFERROR(__xludf.DUMMYFUNCTION("""COMPUTED_VALUE"""),"SH002500573076")</f>
        <v>SH002500573076</v>
      </c>
      <c r="D177" s="1" t="str">
        <f>IFERROR(__xludf.DUMMYFUNCTION("""COMPUTED_VALUE"""),"JemputAja")</f>
        <v>JemputAja</v>
      </c>
      <c r="E177" s="1" t="str">
        <f>IFERROR(__xludf.DUMMYFUNCTION("""COMPUTED_VALUE"""),"Rodrygo")</f>
        <v>Rodrygo</v>
      </c>
      <c r="F177" s="1" t="str">
        <f>IFERROR(__xludf.DUMMYFUNCTION("""COMPUTED_VALUE"""),"Lampung")</f>
        <v>Lampung</v>
      </c>
      <c r="G177" s="1" t="str">
        <f>IFERROR(__xludf.DUMMYFUNCTION("""COMPUTED_VALUE"""),"Linen Shirt - Slimfit - Black")</f>
        <v>Linen Shirt - Slimfit - Black</v>
      </c>
      <c r="H177" s="68">
        <f>IFERROR(__xludf.DUMMYFUNCTION("""COMPUTED_VALUE"""),229000.0)</f>
        <v>229000</v>
      </c>
      <c r="I177" s="68">
        <f>IFERROR(__xludf.DUMMYFUNCTION("""COMPUTED_VALUE"""),1.0)</f>
        <v>1</v>
      </c>
      <c r="J177" s="68">
        <f>IFERROR(__xludf.DUMMYFUNCTION("""COMPUTED_VALUE"""),229000.0)</f>
        <v>229000</v>
      </c>
      <c r="K177" s="68">
        <f>IFERROR(__xludf.DUMMYFUNCTION("""COMPUTED_VALUE"""),229000.0)</f>
        <v>229000</v>
      </c>
      <c r="L177" s="1" t="str">
        <f>IFERROR(__xludf.DUMMYFUNCTION("""COMPUTED_VALUE"""),"Shirt")</f>
        <v>Shirt</v>
      </c>
    </row>
    <row r="178">
      <c r="A178" s="1" t="str">
        <f>IFERROR(__xludf.DUMMYFUNCTION("""COMPUTED_VALUE"""),"EF134588841816083")</f>
        <v>EF134588841816083</v>
      </c>
      <c r="B178" s="67">
        <f>IFERROR(__xludf.DUMMYFUNCTION("""COMPUTED_VALUE"""),45714.0)</f>
        <v>45714</v>
      </c>
      <c r="C178" s="1" t="str">
        <f>IFERROR(__xludf.DUMMYFUNCTION("""COMPUTED_VALUE"""),"SH000818826221")</f>
        <v>SH000818826221</v>
      </c>
      <c r="D178" s="1" t="str">
        <f>IFERROR(__xludf.DUMMYFUNCTION("""COMPUTED_VALUE"""),"SiLumayanCepat")</f>
        <v>SiLumayanCepat</v>
      </c>
      <c r="E178" s="1" t="str">
        <f>IFERROR(__xludf.DUMMYFUNCTION("""COMPUTED_VALUE"""),"Jang Ki Yong")</f>
        <v>Jang Ki Yong</v>
      </c>
      <c r="F178" s="1" t="str">
        <f>IFERROR(__xludf.DUMMYFUNCTION("""COMPUTED_VALUE"""),"Pekanbaru")</f>
        <v>Pekanbaru</v>
      </c>
      <c r="G178" s="1" t="str">
        <f>IFERROR(__xludf.DUMMYFUNCTION("""COMPUTED_VALUE"""),"Basic Shirt - White")</f>
        <v>Basic Shirt - White</v>
      </c>
      <c r="H178" s="68">
        <f>IFERROR(__xludf.DUMMYFUNCTION("""COMPUTED_VALUE"""),129000.0)</f>
        <v>129000</v>
      </c>
      <c r="I178" s="68">
        <f>IFERROR(__xludf.DUMMYFUNCTION("""COMPUTED_VALUE"""),1.0)</f>
        <v>1</v>
      </c>
      <c r="J178" s="68">
        <f>IFERROR(__xludf.DUMMYFUNCTION("""COMPUTED_VALUE"""),129000.0)</f>
        <v>129000</v>
      </c>
      <c r="K178" s="68">
        <f>IFERROR(__xludf.DUMMYFUNCTION("""COMPUTED_VALUE"""),877000.0)</f>
        <v>877000</v>
      </c>
      <c r="L178" s="1" t="str">
        <f>IFERROR(__xludf.DUMMYFUNCTION("""COMPUTED_VALUE"""),"Shirt")</f>
        <v>Shirt</v>
      </c>
    </row>
    <row r="179">
      <c r="A179" s="1" t="str">
        <f>IFERROR(__xludf.DUMMYFUNCTION("""COMPUTED_VALUE"""),"EF134588841816083")</f>
        <v>EF134588841816083</v>
      </c>
      <c r="B179" s="67">
        <f>IFERROR(__xludf.DUMMYFUNCTION("""COMPUTED_VALUE"""),45714.0)</f>
        <v>45714</v>
      </c>
      <c r="C179" s="1" t="str">
        <f>IFERROR(__xludf.DUMMYFUNCTION("""COMPUTED_VALUE"""),"SH000818826221")</f>
        <v>SH000818826221</v>
      </c>
      <c r="D179" s="1" t="str">
        <f>IFERROR(__xludf.DUMMYFUNCTION("""COMPUTED_VALUE"""),"SiLumayanCepat")</f>
        <v>SiLumayanCepat</v>
      </c>
      <c r="E179" s="1" t="str">
        <f>IFERROR(__xludf.DUMMYFUNCTION("""COMPUTED_VALUE"""),"Jang Ki Yong")</f>
        <v>Jang Ki Yong</v>
      </c>
      <c r="F179" s="1" t="str">
        <f>IFERROR(__xludf.DUMMYFUNCTION("""COMPUTED_VALUE"""),"Pekanbaru")</f>
        <v>Pekanbaru</v>
      </c>
      <c r="G179" s="1" t="str">
        <f>IFERROR(__xludf.DUMMYFUNCTION("""COMPUTED_VALUE"""),"Chino Pants - Grey")</f>
        <v>Chino Pants - Grey</v>
      </c>
      <c r="H179" s="68">
        <f>IFERROR(__xludf.DUMMYFUNCTION("""COMPUTED_VALUE"""),175000.0)</f>
        <v>175000</v>
      </c>
      <c r="I179" s="68">
        <f>IFERROR(__xludf.DUMMYFUNCTION("""COMPUTED_VALUE"""),1.0)</f>
        <v>1</v>
      </c>
      <c r="J179" s="68">
        <f>IFERROR(__xludf.DUMMYFUNCTION("""COMPUTED_VALUE"""),175000.0)</f>
        <v>175000</v>
      </c>
      <c r="K179" s="68">
        <f>IFERROR(__xludf.DUMMYFUNCTION("""COMPUTED_VALUE"""),877000.0)</f>
        <v>877000</v>
      </c>
      <c r="L179" s="1" t="str">
        <f>IFERROR(__xludf.DUMMYFUNCTION("""COMPUTED_VALUE"""),"Pants")</f>
        <v>Pants</v>
      </c>
    </row>
    <row r="180">
      <c r="A180" s="1" t="str">
        <f>IFERROR(__xludf.DUMMYFUNCTION("""COMPUTED_VALUE"""),"EF134588841816083")</f>
        <v>EF134588841816083</v>
      </c>
      <c r="B180" s="67">
        <f>IFERROR(__xludf.DUMMYFUNCTION("""COMPUTED_VALUE"""),45714.0)</f>
        <v>45714</v>
      </c>
      <c r="C180" s="1" t="str">
        <f>IFERROR(__xludf.DUMMYFUNCTION("""COMPUTED_VALUE"""),"SH000818826221")</f>
        <v>SH000818826221</v>
      </c>
      <c r="D180" s="1" t="str">
        <f>IFERROR(__xludf.DUMMYFUNCTION("""COMPUTED_VALUE"""),"SiLumayanCepat")</f>
        <v>SiLumayanCepat</v>
      </c>
      <c r="E180" s="1" t="str">
        <f>IFERROR(__xludf.DUMMYFUNCTION("""COMPUTED_VALUE"""),"Jang Ki Yong")</f>
        <v>Jang Ki Yong</v>
      </c>
      <c r="F180" s="1" t="str">
        <f>IFERROR(__xludf.DUMMYFUNCTION("""COMPUTED_VALUE"""),"Pekanbaru")</f>
        <v>Pekanbaru</v>
      </c>
      <c r="G180" s="1" t="str">
        <f>IFERROR(__xludf.DUMMYFUNCTION("""COMPUTED_VALUE"""),"Chino Pants - Khaki")</f>
        <v>Chino Pants - Khaki</v>
      </c>
      <c r="H180" s="68">
        <f>IFERROR(__xludf.DUMMYFUNCTION("""COMPUTED_VALUE"""),175000.0)</f>
        <v>175000</v>
      </c>
      <c r="I180" s="68">
        <f>IFERROR(__xludf.DUMMYFUNCTION("""COMPUTED_VALUE"""),1.0)</f>
        <v>1</v>
      </c>
      <c r="J180" s="68">
        <f>IFERROR(__xludf.DUMMYFUNCTION("""COMPUTED_VALUE"""),175000.0)</f>
        <v>175000</v>
      </c>
      <c r="K180" s="68">
        <f>IFERROR(__xludf.DUMMYFUNCTION("""COMPUTED_VALUE"""),877000.0)</f>
        <v>877000</v>
      </c>
      <c r="L180" s="1" t="str">
        <f>IFERROR(__xludf.DUMMYFUNCTION("""COMPUTED_VALUE"""),"Pants")</f>
        <v>Pants</v>
      </c>
    </row>
    <row r="181">
      <c r="A181" s="1" t="str">
        <f>IFERROR(__xludf.DUMMYFUNCTION("""COMPUTED_VALUE"""),"EF134588841816083")</f>
        <v>EF134588841816083</v>
      </c>
      <c r="B181" s="67">
        <f>IFERROR(__xludf.DUMMYFUNCTION("""COMPUTED_VALUE"""),45714.0)</f>
        <v>45714</v>
      </c>
      <c r="C181" s="1" t="str">
        <f>IFERROR(__xludf.DUMMYFUNCTION("""COMPUTED_VALUE"""),"SH000818826221")</f>
        <v>SH000818826221</v>
      </c>
      <c r="D181" s="1" t="str">
        <f>IFERROR(__xludf.DUMMYFUNCTION("""COMPUTED_VALUE"""),"SiLumayanCepat")</f>
        <v>SiLumayanCepat</v>
      </c>
      <c r="E181" s="1" t="str">
        <f>IFERROR(__xludf.DUMMYFUNCTION("""COMPUTED_VALUE"""),"Jang Ki Yong")</f>
        <v>Jang Ki Yong</v>
      </c>
      <c r="F181" s="1" t="str">
        <f>IFERROR(__xludf.DUMMYFUNCTION("""COMPUTED_VALUE"""),"Pekanbaru")</f>
        <v>Pekanbaru</v>
      </c>
      <c r="G181" s="1" t="str">
        <f>IFERROR(__xludf.DUMMYFUNCTION("""COMPUTED_VALUE"""),"Running Jacket - Black")</f>
        <v>Running Jacket - Black</v>
      </c>
      <c r="H181" s="68">
        <f>IFERROR(__xludf.DUMMYFUNCTION("""COMPUTED_VALUE"""),199000.0)</f>
        <v>199000</v>
      </c>
      <c r="I181" s="68">
        <f>IFERROR(__xludf.DUMMYFUNCTION("""COMPUTED_VALUE"""),1.0)</f>
        <v>1</v>
      </c>
      <c r="J181" s="68">
        <f>IFERROR(__xludf.DUMMYFUNCTION("""COMPUTED_VALUE"""),199000.0)</f>
        <v>199000</v>
      </c>
      <c r="K181" s="68">
        <f>IFERROR(__xludf.DUMMYFUNCTION("""COMPUTED_VALUE"""),877000.0)</f>
        <v>877000</v>
      </c>
      <c r="L181" s="1" t="str">
        <f>IFERROR(__xludf.DUMMYFUNCTION("""COMPUTED_VALUE"""),"Sportswear")</f>
        <v>Sportswear</v>
      </c>
    </row>
    <row r="182">
      <c r="A182" s="1" t="str">
        <f>IFERROR(__xludf.DUMMYFUNCTION("""COMPUTED_VALUE"""),"EF134588841816083")</f>
        <v>EF134588841816083</v>
      </c>
      <c r="B182" s="67">
        <f>IFERROR(__xludf.DUMMYFUNCTION("""COMPUTED_VALUE"""),45714.0)</f>
        <v>45714</v>
      </c>
      <c r="C182" s="1" t="str">
        <f>IFERROR(__xludf.DUMMYFUNCTION("""COMPUTED_VALUE"""),"SH000818826221")</f>
        <v>SH000818826221</v>
      </c>
      <c r="D182" s="1" t="str">
        <f>IFERROR(__xludf.DUMMYFUNCTION("""COMPUTED_VALUE"""),"SiLumayanCepat")</f>
        <v>SiLumayanCepat</v>
      </c>
      <c r="E182" s="1" t="str">
        <f>IFERROR(__xludf.DUMMYFUNCTION("""COMPUTED_VALUE"""),"Jang Ki Yong")</f>
        <v>Jang Ki Yong</v>
      </c>
      <c r="F182" s="1" t="str">
        <f>IFERROR(__xludf.DUMMYFUNCTION("""COMPUTED_VALUE"""),"Pekanbaru")</f>
        <v>Pekanbaru</v>
      </c>
      <c r="G182" s="1" t="str">
        <f>IFERROR(__xludf.DUMMYFUNCTION("""COMPUTED_VALUE"""),"Running Jacket - Navy")</f>
        <v>Running Jacket - Navy</v>
      </c>
      <c r="H182" s="68">
        <f>IFERROR(__xludf.DUMMYFUNCTION("""COMPUTED_VALUE"""),199000.0)</f>
        <v>199000</v>
      </c>
      <c r="I182" s="68">
        <f>IFERROR(__xludf.DUMMYFUNCTION("""COMPUTED_VALUE"""),1.0)</f>
        <v>1</v>
      </c>
      <c r="J182" s="68">
        <f>IFERROR(__xludf.DUMMYFUNCTION("""COMPUTED_VALUE"""),199000.0)</f>
        <v>199000</v>
      </c>
      <c r="K182" s="68">
        <f>IFERROR(__xludf.DUMMYFUNCTION("""COMPUTED_VALUE"""),877000.0)</f>
        <v>877000</v>
      </c>
      <c r="L182" s="1" t="str">
        <f>IFERROR(__xludf.DUMMYFUNCTION("""COMPUTED_VALUE"""),"Sportswear")</f>
        <v>Sportswear</v>
      </c>
    </row>
    <row r="183">
      <c r="A183" s="1" t="str">
        <f>IFERROR(__xludf.DUMMYFUNCTION("""COMPUTED_VALUE"""),"EF135332365054505")</f>
        <v>EF135332365054505</v>
      </c>
      <c r="B183" s="67">
        <f>IFERROR(__xludf.DUMMYFUNCTION("""COMPUTED_VALUE"""),45714.0)</f>
        <v>45714</v>
      </c>
      <c r="C183" s="1" t="str">
        <f>IFERROR(__xludf.DUMMYFUNCTION("""COMPUTED_VALUE"""),"SH000819411827")</f>
        <v>SH000819411827</v>
      </c>
      <c r="D183" s="1" t="str">
        <f>IFERROR(__xludf.DUMMYFUNCTION("""COMPUTED_VALUE"""),"JemputAja")</f>
        <v>JemputAja</v>
      </c>
      <c r="E183" s="1" t="str">
        <f>IFERROR(__xludf.DUMMYFUNCTION("""COMPUTED_VALUE"""),"Leonardo Bonucci")</f>
        <v>Leonardo Bonucci</v>
      </c>
      <c r="F183" s="1" t="str">
        <f>IFERROR(__xludf.DUMMYFUNCTION("""COMPUTED_VALUE"""),"Jambi")</f>
        <v>Jambi</v>
      </c>
      <c r="G183" s="1" t="str">
        <f>IFERROR(__xludf.DUMMYFUNCTION("""COMPUTED_VALUE"""),"Short Sleeve - Cotton Shirt Khaki")</f>
        <v>Short Sleeve - Cotton Shirt Khaki</v>
      </c>
      <c r="H183" s="68">
        <f>IFERROR(__xludf.DUMMYFUNCTION("""COMPUTED_VALUE"""),179000.0)</f>
        <v>179000</v>
      </c>
      <c r="I183" s="68">
        <f>IFERROR(__xludf.DUMMYFUNCTION("""COMPUTED_VALUE"""),3.0)</f>
        <v>3</v>
      </c>
      <c r="J183" s="68">
        <f>IFERROR(__xludf.DUMMYFUNCTION("""COMPUTED_VALUE"""),537000.0)</f>
        <v>537000</v>
      </c>
      <c r="K183" s="68">
        <f>IFERROR(__xludf.DUMMYFUNCTION("""COMPUTED_VALUE"""),537000.0)</f>
        <v>537000</v>
      </c>
      <c r="L183" s="1" t="str">
        <f>IFERROR(__xludf.DUMMYFUNCTION("""COMPUTED_VALUE"""),"Shirt")</f>
        <v>Shirt</v>
      </c>
    </row>
    <row r="184">
      <c r="A184" s="1" t="str">
        <f>IFERROR(__xludf.DUMMYFUNCTION("""COMPUTED_VALUE"""),"EF136990550689459")</f>
        <v>EF136990550689459</v>
      </c>
      <c r="B184" s="67">
        <f>IFERROR(__xludf.DUMMYFUNCTION("""COMPUTED_VALUE"""),45714.0)</f>
        <v>45714</v>
      </c>
      <c r="C184" s="1" t="str">
        <f>IFERROR(__xludf.DUMMYFUNCTION("""COMPUTED_VALUE"""),"SH002501227174")</f>
        <v>SH002501227174</v>
      </c>
      <c r="D184" s="1" t="str">
        <f>IFERROR(__xludf.DUMMYFUNCTION("""COMPUTED_VALUE"""),"JemputAja")</f>
        <v>JemputAja</v>
      </c>
      <c r="E184" s="1" t="str">
        <f>IFERROR(__xludf.DUMMYFUNCTION("""COMPUTED_VALUE"""),"Dani Carvajal")</f>
        <v>Dani Carvajal</v>
      </c>
      <c r="F184" s="1" t="str">
        <f>IFERROR(__xludf.DUMMYFUNCTION("""COMPUTED_VALUE"""),"Lampung")</f>
        <v>Lampung</v>
      </c>
      <c r="G184" s="1" t="str">
        <f>IFERROR(__xludf.DUMMYFUNCTION("""COMPUTED_VALUE"""),"Linen Shirt - Slimfit - Maroon")</f>
        <v>Linen Shirt - Slimfit - Maroon</v>
      </c>
      <c r="H184" s="68">
        <f>IFERROR(__xludf.DUMMYFUNCTION("""COMPUTED_VALUE"""),229000.0)</f>
        <v>229000</v>
      </c>
      <c r="I184" s="68">
        <f>IFERROR(__xludf.DUMMYFUNCTION("""COMPUTED_VALUE"""),1.0)</f>
        <v>1</v>
      </c>
      <c r="J184" s="68">
        <f>IFERROR(__xludf.DUMMYFUNCTION("""COMPUTED_VALUE"""),229000.0)</f>
        <v>229000</v>
      </c>
      <c r="K184" s="68">
        <f>IFERROR(__xludf.DUMMYFUNCTION("""COMPUTED_VALUE"""),229000.0)</f>
        <v>229000</v>
      </c>
      <c r="L184" s="1" t="str">
        <f>IFERROR(__xludf.DUMMYFUNCTION("""COMPUTED_VALUE"""),"Shirt")</f>
        <v>Shirt</v>
      </c>
    </row>
    <row r="185">
      <c r="A185" s="1" t="str">
        <f>IFERROR(__xludf.DUMMYFUNCTION("""COMPUTED_VALUE"""),"EF135371611440371")</f>
        <v>EF135371611440371</v>
      </c>
      <c r="B185" s="67">
        <f>IFERROR(__xludf.DUMMYFUNCTION("""COMPUTED_VALUE"""),45715.0)</f>
        <v>45715</v>
      </c>
      <c r="C185" s="1" t="str">
        <f>IFERROR(__xludf.DUMMYFUNCTION("""COMPUTED_VALUE"""),"SH000816962205")</f>
        <v>SH000816962205</v>
      </c>
      <c r="D185" s="1" t="str">
        <f>IFERROR(__xludf.DUMMYFUNCTION("""COMPUTED_VALUE"""),"JemputAja")</f>
        <v>JemputAja</v>
      </c>
      <c r="E185" s="1" t="str">
        <f>IFERROR(__xludf.DUMMYFUNCTION("""COMPUTED_VALUE"""),"Merih Demiral")</f>
        <v>Merih Demiral</v>
      </c>
      <c r="F185" s="1" t="str">
        <f>IFERROR(__xludf.DUMMYFUNCTION("""COMPUTED_VALUE"""),"Lampung")</f>
        <v>Lampung</v>
      </c>
      <c r="G185" s="1" t="str">
        <f>IFERROR(__xludf.DUMMYFUNCTION("""COMPUTED_VALUE"""),"Short Sleeve - Cotton Shirt Grey")</f>
        <v>Short Sleeve - Cotton Shirt Grey</v>
      </c>
      <c r="H185" s="68">
        <f>IFERROR(__xludf.DUMMYFUNCTION("""COMPUTED_VALUE"""),179000.0)</f>
        <v>179000</v>
      </c>
      <c r="I185" s="68">
        <f>IFERROR(__xludf.DUMMYFUNCTION("""COMPUTED_VALUE"""),1.0)</f>
        <v>1</v>
      </c>
      <c r="J185" s="68">
        <f>IFERROR(__xludf.DUMMYFUNCTION("""COMPUTED_VALUE"""),179000.0)</f>
        <v>179000</v>
      </c>
      <c r="K185" s="68">
        <f>IFERROR(__xludf.DUMMYFUNCTION("""COMPUTED_VALUE"""),179000.0)</f>
        <v>179000</v>
      </c>
      <c r="L185" s="1" t="str">
        <f>IFERROR(__xludf.DUMMYFUNCTION("""COMPUTED_VALUE"""),"Shirt")</f>
        <v>Shirt</v>
      </c>
    </row>
    <row r="186">
      <c r="A186" s="1" t="str">
        <f>IFERROR(__xludf.DUMMYFUNCTION("""COMPUTED_VALUE"""),"EF137030277949158")</f>
        <v>EF137030277949158</v>
      </c>
      <c r="B186" s="67">
        <f>IFERROR(__xludf.DUMMYFUNCTION("""COMPUTED_VALUE"""),45715.0)</f>
        <v>45715</v>
      </c>
      <c r="C186" s="1" t="str">
        <f>IFERROR(__xludf.DUMMYFUNCTION("""COMPUTED_VALUE"""),"SHJP1234185561")</f>
        <v>SHJP1234185561</v>
      </c>
      <c r="D186" s="1" t="str">
        <f>IFERROR(__xludf.DUMMYFUNCTION("""COMPUTED_VALUE"""),"J&amp;G Compress")</f>
        <v>J&amp;G Compress</v>
      </c>
      <c r="E186" s="1" t="str">
        <f>IFERROR(__xludf.DUMMYFUNCTION("""COMPUTED_VALUE"""),"Lee Ik Jun")</f>
        <v>Lee Ik Jun</v>
      </c>
      <c r="F186" s="1" t="str">
        <f>IFERROR(__xludf.DUMMYFUNCTION("""COMPUTED_VALUE"""),"Denpasar")</f>
        <v>Denpasar</v>
      </c>
      <c r="G186" s="1" t="str">
        <f>IFERROR(__xludf.DUMMYFUNCTION("""COMPUTED_VALUE"""),"Short Sleeve - Cotton Shirt Black")</f>
        <v>Short Sleeve - Cotton Shirt Black</v>
      </c>
      <c r="H186" s="68">
        <f>IFERROR(__xludf.DUMMYFUNCTION("""COMPUTED_VALUE"""),179000.0)</f>
        <v>179000</v>
      </c>
      <c r="I186" s="68">
        <f>IFERROR(__xludf.DUMMYFUNCTION("""COMPUTED_VALUE"""),1.0)</f>
        <v>1</v>
      </c>
      <c r="J186" s="68">
        <f>IFERROR(__xludf.DUMMYFUNCTION("""COMPUTED_VALUE"""),179000.0)</f>
        <v>179000</v>
      </c>
      <c r="K186" s="68">
        <f>IFERROR(__xludf.DUMMYFUNCTION("""COMPUTED_VALUE"""),179000.0)</f>
        <v>179000</v>
      </c>
      <c r="L186" s="1" t="str">
        <f>IFERROR(__xludf.DUMMYFUNCTION("""COMPUTED_VALUE"""),"Shirt")</f>
        <v>Shirt</v>
      </c>
    </row>
    <row r="187">
      <c r="A187" s="1" t="str">
        <f>IFERROR(__xludf.DUMMYFUNCTION("""COMPUTED_VALUE"""),"EF135410869207688")</f>
        <v>EF135410869207688</v>
      </c>
      <c r="B187" s="67">
        <f>IFERROR(__xludf.DUMMYFUNCTION("""COMPUTED_VALUE"""),45716.0)</f>
        <v>45716</v>
      </c>
      <c r="C187" s="1" t="str">
        <f>IFERROR(__xludf.DUMMYFUNCTION("""COMPUTED_VALUE"""),"SHJP9175954217")</f>
        <v>SHJP9175954217</v>
      </c>
      <c r="D187" s="1" t="str">
        <f>IFERROR(__xludf.DUMMYFUNCTION("""COMPUTED_VALUE"""),"J&amp;G Compress")</f>
        <v>J&amp;G Compress</v>
      </c>
      <c r="E187" s="1" t="str">
        <f>IFERROR(__xludf.DUMMYFUNCTION("""COMPUTED_VALUE"""),"Gianluca Frabotta")</f>
        <v>Gianluca Frabotta</v>
      </c>
      <c r="F187" s="1" t="str">
        <f>IFERROR(__xludf.DUMMYFUNCTION("""COMPUTED_VALUE"""),"Makassar")</f>
        <v>Makassar</v>
      </c>
      <c r="G187" s="1" t="str">
        <f>IFERROR(__xludf.DUMMYFUNCTION("""COMPUTED_VALUE"""),"Cotton Pants - Short Navy")</f>
        <v>Cotton Pants - Short Navy</v>
      </c>
      <c r="H187" s="68">
        <f>IFERROR(__xludf.DUMMYFUNCTION("""COMPUTED_VALUE"""),149000.0)</f>
        <v>149000</v>
      </c>
      <c r="I187" s="68">
        <f>IFERROR(__xludf.DUMMYFUNCTION("""COMPUTED_VALUE"""),1.0)</f>
        <v>1</v>
      </c>
      <c r="J187" s="68">
        <f>IFERROR(__xludf.DUMMYFUNCTION("""COMPUTED_VALUE"""),149000.0)</f>
        <v>149000</v>
      </c>
      <c r="K187" s="68">
        <f>IFERROR(__xludf.DUMMYFUNCTION("""COMPUTED_VALUE"""),149000.0)</f>
        <v>149000</v>
      </c>
      <c r="L187" s="1" t="str">
        <f>IFERROR(__xludf.DUMMYFUNCTION("""COMPUTED_VALUE"""),"Pants")</f>
        <v>Pants</v>
      </c>
    </row>
    <row r="188">
      <c r="A188" s="1" t="str">
        <f>IFERROR(__xludf.DUMMYFUNCTION("""COMPUTED_VALUE"""),"EF137070016729764")</f>
        <v>EF137070016729764</v>
      </c>
      <c r="B188" s="67">
        <f>IFERROR(__xludf.DUMMYFUNCTION("""COMPUTED_VALUE"""),45716.0)</f>
        <v>45716</v>
      </c>
      <c r="C188" s="1" t="str">
        <f>IFERROR(__xludf.DUMMYFUNCTION("""COMPUTED_VALUE"""),"SHJP4688192727")</f>
        <v>SHJP4688192727</v>
      </c>
      <c r="D188" s="1" t="str">
        <f>IFERROR(__xludf.DUMMYFUNCTION("""COMPUTED_VALUE"""),"J&amp;G Compress")</f>
        <v>J&amp;G Compress</v>
      </c>
      <c r="E188" s="1" t="str">
        <f>IFERROR(__xludf.DUMMYFUNCTION("""COMPUTED_VALUE"""),"Lee Ik Jun")</f>
        <v>Lee Ik Jun</v>
      </c>
      <c r="F188" s="1" t="str">
        <f>IFERROR(__xludf.DUMMYFUNCTION("""COMPUTED_VALUE"""),"Denpasar")</f>
        <v>Denpasar</v>
      </c>
      <c r="G188" s="1" t="str">
        <f>IFERROR(__xludf.DUMMYFUNCTION("""COMPUTED_VALUE"""),"Short Sleeve - Cotton Shirt Navy")</f>
        <v>Short Sleeve - Cotton Shirt Navy</v>
      </c>
      <c r="H188" s="68">
        <f>IFERROR(__xludf.DUMMYFUNCTION("""COMPUTED_VALUE"""),179000.0)</f>
        <v>179000</v>
      </c>
      <c r="I188" s="68">
        <f>IFERROR(__xludf.DUMMYFUNCTION("""COMPUTED_VALUE"""),1.0)</f>
        <v>1</v>
      </c>
      <c r="J188" s="68">
        <f>IFERROR(__xludf.DUMMYFUNCTION("""COMPUTED_VALUE"""),179000.0)</f>
        <v>179000</v>
      </c>
      <c r="K188" s="68">
        <f>IFERROR(__xludf.DUMMYFUNCTION("""COMPUTED_VALUE"""),179000.0)</f>
        <v>179000</v>
      </c>
      <c r="L188" s="1" t="str">
        <f>IFERROR(__xludf.DUMMYFUNCTION("""COMPUTED_VALUE"""),"Shirt")</f>
        <v>Shirt</v>
      </c>
    </row>
    <row r="189">
      <c r="A189" s="1" t="str">
        <f>IFERROR(__xludf.DUMMYFUNCTION("""COMPUTED_VALUE"""),"EF135450138359759")</f>
        <v>EF135450138359759</v>
      </c>
      <c r="B189" s="67">
        <f>IFERROR(__xludf.DUMMYFUNCTION("""COMPUTED_VALUE"""),45717.0)</f>
        <v>45717</v>
      </c>
      <c r="C189" s="1" t="str">
        <f>IFERROR(__xludf.DUMMYFUNCTION("""COMPUTED_VALUE"""),"SH000819411176")</f>
        <v>SH000819411176</v>
      </c>
      <c r="D189" s="1" t="str">
        <f>IFERROR(__xludf.DUMMYFUNCTION("""COMPUTED_VALUE"""),"SiLumayanCepat")</f>
        <v>SiLumayanCepat</v>
      </c>
      <c r="E189" s="1" t="str">
        <f>IFERROR(__xludf.DUMMYFUNCTION("""COMPUTED_VALUE"""),"Arthur")</f>
        <v>Arthur</v>
      </c>
      <c r="F189" s="1" t="str">
        <f>IFERROR(__xludf.DUMMYFUNCTION("""COMPUTED_VALUE"""),"Malang")</f>
        <v>Malang</v>
      </c>
      <c r="G189" s="1" t="str">
        <f>IFERROR(__xludf.DUMMYFUNCTION("""COMPUTED_VALUE"""),"Cotton Pants - Short Black")</f>
        <v>Cotton Pants - Short Black</v>
      </c>
      <c r="H189" s="68">
        <f>IFERROR(__xludf.DUMMYFUNCTION("""COMPUTED_VALUE"""),149000.0)</f>
        <v>149000</v>
      </c>
      <c r="I189" s="68">
        <f>IFERROR(__xludf.DUMMYFUNCTION("""COMPUTED_VALUE"""),1.0)</f>
        <v>1</v>
      </c>
      <c r="J189" s="68">
        <f>IFERROR(__xludf.DUMMYFUNCTION("""COMPUTED_VALUE"""),149000.0)</f>
        <v>149000</v>
      </c>
      <c r="K189" s="68">
        <f>IFERROR(__xludf.DUMMYFUNCTION("""COMPUTED_VALUE"""),149000.0)</f>
        <v>149000</v>
      </c>
      <c r="L189" s="1" t="str">
        <f>IFERROR(__xludf.DUMMYFUNCTION("""COMPUTED_VALUE"""),"Pants")</f>
        <v>Pants</v>
      </c>
    </row>
    <row r="190">
      <c r="A190" s="1" t="str">
        <f>IFERROR(__xludf.DUMMYFUNCTION("""COMPUTED_VALUE"""),"EF137109767034615")</f>
        <v>EF137109767034615</v>
      </c>
      <c r="B190" s="67">
        <f>IFERROR(__xludf.DUMMYFUNCTION("""COMPUTED_VALUE"""),45717.0)</f>
        <v>45717</v>
      </c>
      <c r="C190" s="1" t="str">
        <f>IFERROR(__xludf.DUMMYFUNCTION("""COMPUTED_VALUE"""),"SH002500460557")</f>
        <v>SH002500460557</v>
      </c>
      <c r="D190" s="1" t="str">
        <f>IFERROR(__xludf.DUMMYFUNCTION("""COMPUTED_VALUE"""),"JemputAja")</f>
        <v>JemputAja</v>
      </c>
      <c r="E190" s="1" t="str">
        <f>IFERROR(__xludf.DUMMYFUNCTION("""COMPUTED_VALUE"""),"Tammy Abraham")</f>
        <v>Tammy Abraham</v>
      </c>
      <c r="F190" s="1" t="str">
        <f>IFERROR(__xludf.DUMMYFUNCTION("""COMPUTED_VALUE"""),"Bandung")</f>
        <v>Bandung</v>
      </c>
      <c r="G190" s="1" t="str">
        <f>IFERROR(__xludf.DUMMYFUNCTION("""COMPUTED_VALUE"""),"Short Sleeve - Cotton Shirt Maroon")</f>
        <v>Short Sleeve - Cotton Shirt Maroon</v>
      </c>
      <c r="H190" s="68">
        <f>IFERROR(__xludf.DUMMYFUNCTION("""COMPUTED_VALUE"""),179000.0)</f>
        <v>179000</v>
      </c>
      <c r="I190" s="68">
        <f>IFERROR(__xludf.DUMMYFUNCTION("""COMPUTED_VALUE"""),1.0)</f>
        <v>1</v>
      </c>
      <c r="J190" s="68">
        <f>IFERROR(__xludf.DUMMYFUNCTION("""COMPUTED_VALUE"""),179000.0)</f>
        <v>179000</v>
      </c>
      <c r="K190" s="68">
        <f>IFERROR(__xludf.DUMMYFUNCTION("""COMPUTED_VALUE"""),179000.0)</f>
        <v>179000</v>
      </c>
      <c r="L190" s="1" t="str">
        <f>IFERROR(__xludf.DUMMYFUNCTION("""COMPUTED_VALUE"""),"Shirt")</f>
        <v>Shirt</v>
      </c>
    </row>
    <row r="191">
      <c r="A191" s="1" t="str">
        <f>IFERROR(__xludf.DUMMYFUNCTION("""COMPUTED_VALUE"""),"EF135489418899883")</f>
        <v>EF135489418899883</v>
      </c>
      <c r="B191" s="67">
        <f>IFERROR(__xludf.DUMMYFUNCTION("""COMPUTED_VALUE"""),45718.0)</f>
        <v>45718</v>
      </c>
      <c r="C191" s="1" t="str">
        <f>IFERROR(__xludf.DUMMYFUNCTION("""COMPUTED_VALUE"""),"SHJP2065979389")</f>
        <v>SHJP2065979389</v>
      </c>
      <c r="D191" s="1" t="str">
        <f>IFERROR(__xludf.DUMMYFUNCTION("""COMPUTED_VALUE"""),"J&amp;G Compress")</f>
        <v>J&amp;G Compress</v>
      </c>
      <c r="E191" s="1" t="str">
        <f>IFERROR(__xludf.DUMMYFUNCTION("""COMPUTED_VALUE"""),"Sami Khedira")</f>
        <v>Sami Khedira</v>
      </c>
      <c r="F191" s="1" t="str">
        <f>IFERROR(__xludf.DUMMYFUNCTION("""COMPUTED_VALUE"""),"Manado")</f>
        <v>Manado</v>
      </c>
      <c r="G191" s="1" t="str">
        <f>IFERROR(__xludf.DUMMYFUNCTION("""COMPUTED_VALUE"""),"Cotton Pants - Short White")</f>
        <v>Cotton Pants - Short White</v>
      </c>
      <c r="H191" s="68">
        <f>IFERROR(__xludf.DUMMYFUNCTION("""COMPUTED_VALUE"""),149000.0)</f>
        <v>149000</v>
      </c>
      <c r="I191" s="68">
        <f>IFERROR(__xludf.DUMMYFUNCTION("""COMPUTED_VALUE"""),1.0)</f>
        <v>1</v>
      </c>
      <c r="J191" s="68">
        <f>IFERROR(__xludf.DUMMYFUNCTION("""COMPUTED_VALUE"""),149000.0)</f>
        <v>149000</v>
      </c>
      <c r="K191" s="68">
        <f>IFERROR(__xludf.DUMMYFUNCTION("""COMPUTED_VALUE"""),149000.0)</f>
        <v>149000</v>
      </c>
      <c r="L191" s="1" t="str">
        <f>IFERROR(__xludf.DUMMYFUNCTION("""COMPUTED_VALUE"""),"Pants")</f>
        <v>Pants</v>
      </c>
    </row>
    <row r="192">
      <c r="A192" s="1" t="str">
        <f>IFERROR(__xludf.DUMMYFUNCTION("""COMPUTED_VALUE"""),"EF137149528867055")</f>
        <v>EF137149528867055</v>
      </c>
      <c r="B192" s="67">
        <f>IFERROR(__xludf.DUMMYFUNCTION("""COMPUTED_VALUE"""),45718.0)</f>
        <v>45718</v>
      </c>
      <c r="C192" s="1" t="str">
        <f>IFERROR(__xludf.DUMMYFUNCTION("""COMPUTED_VALUE"""),"SHJP1311881549")</f>
        <v>SHJP1311881549</v>
      </c>
      <c r="D192" s="1" t="str">
        <f>IFERROR(__xludf.DUMMYFUNCTION("""COMPUTED_VALUE"""),"J&amp;G Compress")</f>
        <v>J&amp;G Compress</v>
      </c>
      <c r="E192" s="1" t="str">
        <f>IFERROR(__xludf.DUMMYFUNCTION("""COMPUTED_VALUE"""),"Christian Pulisic")</f>
        <v>Christian Pulisic</v>
      </c>
      <c r="F192" s="1" t="str">
        <f>IFERROR(__xludf.DUMMYFUNCTION("""COMPUTED_VALUE"""),"Banjarmasin")</f>
        <v>Banjarmasin</v>
      </c>
      <c r="G192" s="1" t="str">
        <f>IFERROR(__xludf.DUMMYFUNCTION("""COMPUTED_VALUE"""),"Short Sleeve - Cotton Shirt White")</f>
        <v>Short Sleeve - Cotton Shirt White</v>
      </c>
      <c r="H192" s="68">
        <f>IFERROR(__xludf.DUMMYFUNCTION("""COMPUTED_VALUE"""),179000.0)</f>
        <v>179000</v>
      </c>
      <c r="I192" s="68">
        <f>IFERROR(__xludf.DUMMYFUNCTION("""COMPUTED_VALUE"""),2.0)</f>
        <v>2</v>
      </c>
      <c r="J192" s="68">
        <f>IFERROR(__xludf.DUMMYFUNCTION("""COMPUTED_VALUE"""),358000.0)</f>
        <v>358000</v>
      </c>
      <c r="K192" s="68">
        <f>IFERROR(__xludf.DUMMYFUNCTION("""COMPUTED_VALUE"""),358000.0)</f>
        <v>358000</v>
      </c>
      <c r="L192" s="1" t="str">
        <f>IFERROR(__xludf.DUMMYFUNCTION("""COMPUTED_VALUE"""),"Shirt")</f>
        <v>Shirt</v>
      </c>
    </row>
    <row r="193">
      <c r="A193" s="1" t="str">
        <f>IFERROR(__xludf.DUMMYFUNCTION("""COMPUTED_VALUE"""),"EF135528710831364")</f>
        <v>EF135528710831364</v>
      </c>
      <c r="B193" s="67">
        <f>IFERROR(__xludf.DUMMYFUNCTION("""COMPUTED_VALUE"""),45719.0)</f>
        <v>45719</v>
      </c>
      <c r="C193" s="1" t="str">
        <f>IFERROR(__xludf.DUMMYFUNCTION("""COMPUTED_VALUE"""),"SH000818176035")</f>
        <v>SH000818176035</v>
      </c>
      <c r="D193" s="1" t="str">
        <f>IFERROR(__xludf.DUMMYFUNCTION("""COMPUTED_VALUE"""),"SiLumayanCepat")</f>
        <v>SiLumayanCepat</v>
      </c>
      <c r="E193" s="1" t="str">
        <f>IFERROR(__xludf.DUMMYFUNCTION("""COMPUTED_VALUE"""),"Aaron Ramsey")</f>
        <v>Aaron Ramsey</v>
      </c>
      <c r="F193" s="1" t="str">
        <f>IFERROR(__xludf.DUMMYFUNCTION("""COMPUTED_VALUE"""),"Medan")</f>
        <v>Medan</v>
      </c>
      <c r="G193" s="1" t="str">
        <f>IFERROR(__xludf.DUMMYFUNCTION("""COMPUTED_VALUE"""),"Cotton Pants - Short Grey")</f>
        <v>Cotton Pants - Short Grey</v>
      </c>
      <c r="H193" s="68">
        <f>IFERROR(__xludf.DUMMYFUNCTION("""COMPUTED_VALUE"""),149000.0)</f>
        <v>149000</v>
      </c>
      <c r="I193" s="68">
        <f>IFERROR(__xludf.DUMMYFUNCTION("""COMPUTED_VALUE"""),1.0)</f>
        <v>1</v>
      </c>
      <c r="J193" s="68">
        <f>IFERROR(__xludf.DUMMYFUNCTION("""COMPUTED_VALUE"""),149000.0)</f>
        <v>149000</v>
      </c>
      <c r="K193" s="68">
        <f>IFERROR(__xludf.DUMMYFUNCTION("""COMPUTED_VALUE"""),149000.0)</f>
        <v>149000</v>
      </c>
      <c r="L193" s="1" t="str">
        <f>IFERROR(__xludf.DUMMYFUNCTION("""COMPUTED_VALUE"""),"Pants")</f>
        <v>Pants</v>
      </c>
    </row>
    <row r="194">
      <c r="A194" s="1" t="str">
        <f>IFERROR(__xludf.DUMMYFUNCTION("""COMPUTED_VALUE"""),"EF135568014157505")</f>
        <v>EF135568014157505</v>
      </c>
      <c r="B194" s="67">
        <f>IFERROR(__xludf.DUMMYFUNCTION("""COMPUTED_VALUE"""),45720.0)</f>
        <v>45720</v>
      </c>
      <c r="C194" s="1" t="str">
        <f>IFERROR(__xludf.DUMMYFUNCTION("""COMPUTED_VALUE"""),"SH000819850468")</f>
        <v>SH000819850468</v>
      </c>
      <c r="D194" s="1" t="str">
        <f>IFERROR(__xludf.DUMMYFUNCTION("""COMPUTED_VALUE"""),"JemputAja")</f>
        <v>JemputAja</v>
      </c>
      <c r="E194" s="1" t="str">
        <f>IFERROR(__xludf.DUMMYFUNCTION("""COMPUTED_VALUE"""),"Kang kentang")</f>
        <v>Kang kentang</v>
      </c>
      <c r="F194" s="1" t="str">
        <f>IFERROR(__xludf.DUMMYFUNCTION("""COMPUTED_VALUE"""),"Palembang")</f>
        <v>Palembang</v>
      </c>
      <c r="G194" s="1" t="str">
        <f>IFERROR(__xludf.DUMMYFUNCTION("""COMPUTED_VALUE"""),"Bomber - Jacket Black")</f>
        <v>Bomber - Jacket Black</v>
      </c>
      <c r="H194" s="68">
        <f>IFERROR(__xludf.DUMMYFUNCTION("""COMPUTED_VALUE"""),249000.0)</f>
        <v>249000</v>
      </c>
      <c r="I194" s="68">
        <f>IFERROR(__xludf.DUMMYFUNCTION("""COMPUTED_VALUE"""),1.0)</f>
        <v>1</v>
      </c>
      <c r="J194" s="68">
        <f>IFERROR(__xludf.DUMMYFUNCTION("""COMPUTED_VALUE"""),249000.0)</f>
        <v>249000</v>
      </c>
      <c r="K194" s="68">
        <f>IFERROR(__xludf.DUMMYFUNCTION("""COMPUTED_VALUE"""),747000.0)</f>
        <v>747000</v>
      </c>
      <c r="L194" s="1" t="str">
        <f>IFERROR(__xludf.DUMMYFUNCTION("""COMPUTED_VALUE"""),"Jacket")</f>
        <v>Jacket</v>
      </c>
    </row>
    <row r="195">
      <c r="A195" s="1" t="str">
        <f>IFERROR(__xludf.DUMMYFUNCTION("""COMPUTED_VALUE"""),"EF135568014157505")</f>
        <v>EF135568014157505</v>
      </c>
      <c r="B195" s="67">
        <f>IFERROR(__xludf.DUMMYFUNCTION("""COMPUTED_VALUE"""),45720.0)</f>
        <v>45720</v>
      </c>
      <c r="C195" s="1" t="str">
        <f>IFERROR(__xludf.DUMMYFUNCTION("""COMPUTED_VALUE"""),"SH000819850468")</f>
        <v>SH000819850468</v>
      </c>
      <c r="D195" s="1" t="str">
        <f>IFERROR(__xludf.DUMMYFUNCTION("""COMPUTED_VALUE"""),"JemputAja")</f>
        <v>JemputAja</v>
      </c>
      <c r="E195" s="1" t="str">
        <f>IFERROR(__xludf.DUMMYFUNCTION("""COMPUTED_VALUE"""),"Kang kentang")</f>
        <v>Kang kentang</v>
      </c>
      <c r="F195" s="1" t="str">
        <f>IFERROR(__xludf.DUMMYFUNCTION("""COMPUTED_VALUE"""),"Palembang")</f>
        <v>Palembang</v>
      </c>
      <c r="G195" s="1" t="str">
        <f>IFERROR(__xludf.DUMMYFUNCTION("""COMPUTED_VALUE"""),"Bomber - Jacket Navy")</f>
        <v>Bomber - Jacket Navy</v>
      </c>
      <c r="H195" s="68">
        <f>IFERROR(__xludf.DUMMYFUNCTION("""COMPUTED_VALUE"""),249000.0)</f>
        <v>249000</v>
      </c>
      <c r="I195" s="68">
        <f>IFERROR(__xludf.DUMMYFUNCTION("""COMPUTED_VALUE"""),1.0)</f>
        <v>1</v>
      </c>
      <c r="J195" s="68">
        <f>IFERROR(__xludf.DUMMYFUNCTION("""COMPUTED_VALUE"""),249000.0)</f>
        <v>249000</v>
      </c>
      <c r="K195" s="68">
        <f>IFERROR(__xludf.DUMMYFUNCTION("""COMPUTED_VALUE"""),747000.0)</f>
        <v>747000</v>
      </c>
      <c r="L195" s="1" t="str">
        <f>IFERROR(__xludf.DUMMYFUNCTION("""COMPUTED_VALUE"""),"Jacket")</f>
        <v>Jacket</v>
      </c>
    </row>
    <row r="196">
      <c r="A196" s="1" t="str">
        <f>IFERROR(__xludf.DUMMYFUNCTION("""COMPUTED_VALUE"""),"EF135568014157505")</f>
        <v>EF135568014157505</v>
      </c>
      <c r="B196" s="67">
        <f>IFERROR(__xludf.DUMMYFUNCTION("""COMPUTED_VALUE"""),45720.0)</f>
        <v>45720</v>
      </c>
      <c r="C196" s="1" t="str">
        <f>IFERROR(__xludf.DUMMYFUNCTION("""COMPUTED_VALUE"""),"SH000819850468")</f>
        <v>SH000819850468</v>
      </c>
      <c r="D196" s="1" t="str">
        <f>IFERROR(__xludf.DUMMYFUNCTION("""COMPUTED_VALUE"""),"JemputAja")</f>
        <v>JemputAja</v>
      </c>
      <c r="E196" s="1" t="str">
        <f>IFERROR(__xludf.DUMMYFUNCTION("""COMPUTED_VALUE"""),"Kang kentang")</f>
        <v>Kang kentang</v>
      </c>
      <c r="F196" s="1" t="str">
        <f>IFERROR(__xludf.DUMMYFUNCTION("""COMPUTED_VALUE"""),"Palembang")</f>
        <v>Palembang</v>
      </c>
      <c r="G196" s="1" t="str">
        <f>IFERROR(__xludf.DUMMYFUNCTION("""COMPUTED_VALUE"""),"Bomber - Jacket Dark Grey")</f>
        <v>Bomber - Jacket Dark Grey</v>
      </c>
      <c r="H196" s="68">
        <f>IFERROR(__xludf.DUMMYFUNCTION("""COMPUTED_VALUE"""),249000.0)</f>
        <v>249000</v>
      </c>
      <c r="I196" s="68">
        <f>IFERROR(__xludf.DUMMYFUNCTION("""COMPUTED_VALUE"""),1.0)</f>
        <v>1</v>
      </c>
      <c r="J196" s="68">
        <f>IFERROR(__xludf.DUMMYFUNCTION("""COMPUTED_VALUE"""),249000.0)</f>
        <v>249000</v>
      </c>
      <c r="K196" s="68">
        <f>IFERROR(__xludf.DUMMYFUNCTION("""COMPUTED_VALUE"""),747000.0)</f>
        <v>747000</v>
      </c>
      <c r="L196" s="1" t="str">
        <f>IFERROR(__xludf.DUMMYFUNCTION("""COMPUTED_VALUE"""),"Jacket")</f>
        <v>Jacket</v>
      </c>
    </row>
    <row r="197">
      <c r="A197" s="1" t="str">
        <f>IFERROR(__xludf.DUMMYFUNCTION("""COMPUTED_VALUE"""),"EF137229087128074")</f>
        <v>EF137229087128074</v>
      </c>
      <c r="B197" s="67">
        <f>IFERROR(__xludf.DUMMYFUNCTION("""COMPUTED_VALUE"""),45720.0)</f>
        <v>45720</v>
      </c>
      <c r="C197" s="1" t="str">
        <f>IFERROR(__xludf.DUMMYFUNCTION("""COMPUTED_VALUE"""),"SHJP7557522445")</f>
        <v>SHJP7557522445</v>
      </c>
      <c r="D197" s="1" t="str">
        <f>IFERROR(__xludf.DUMMYFUNCTION("""COMPUTED_VALUE"""),"J&amp;G Compress")</f>
        <v>J&amp;G Compress</v>
      </c>
      <c r="E197" s="1" t="str">
        <f>IFERROR(__xludf.DUMMYFUNCTION("""COMPUTED_VALUE"""),"Arturo Vidal")</f>
        <v>Arturo Vidal</v>
      </c>
      <c r="F197" s="1" t="str">
        <f>IFERROR(__xludf.DUMMYFUNCTION("""COMPUTED_VALUE"""),"Cilacap")</f>
        <v>Cilacap</v>
      </c>
      <c r="G197" s="1" t="str">
        <f>IFERROR(__xludf.DUMMYFUNCTION("""COMPUTED_VALUE"""),"Short Sleeve - Cotton Shirt Grey")</f>
        <v>Short Sleeve - Cotton Shirt Grey</v>
      </c>
      <c r="H197" s="68">
        <f>IFERROR(__xludf.DUMMYFUNCTION("""COMPUTED_VALUE"""),179000.0)</f>
        <v>179000</v>
      </c>
      <c r="I197" s="68">
        <f>IFERROR(__xludf.DUMMYFUNCTION("""COMPUTED_VALUE"""),2.0)</f>
        <v>2</v>
      </c>
      <c r="J197" s="68">
        <f>IFERROR(__xludf.DUMMYFUNCTION("""COMPUTED_VALUE"""),358000.0)</f>
        <v>358000</v>
      </c>
      <c r="K197" s="68">
        <f>IFERROR(__xludf.DUMMYFUNCTION("""COMPUTED_VALUE"""),358000.0)</f>
        <v>358000</v>
      </c>
      <c r="L197" s="1" t="str">
        <f>IFERROR(__xludf.DUMMYFUNCTION("""COMPUTED_VALUE"""),"Shirt")</f>
        <v>Shirt</v>
      </c>
    </row>
    <row r="198">
      <c r="A198" s="1" t="str">
        <f>IFERROR(__xludf.DUMMYFUNCTION("""COMPUTED_VALUE"""),"EF137268883563341")</f>
        <v>EF137268883563341</v>
      </c>
      <c r="B198" s="67">
        <f>IFERROR(__xludf.DUMMYFUNCTION("""COMPUTED_VALUE"""),45721.0)</f>
        <v>45721</v>
      </c>
      <c r="C198" s="1" t="str">
        <f>IFERROR(__xludf.DUMMYFUNCTION("""COMPUTED_VALUE"""),"SHJP7557522446")</f>
        <v>SHJP7557522446</v>
      </c>
      <c r="D198" s="1" t="str">
        <f>IFERROR(__xludf.DUMMYFUNCTION("""COMPUTED_VALUE"""),"J&amp;G Compress")</f>
        <v>J&amp;G Compress</v>
      </c>
      <c r="E198" s="1" t="str">
        <f>IFERROR(__xludf.DUMMYFUNCTION("""COMPUTED_VALUE"""),"Samuel Umtiti")</f>
        <v>Samuel Umtiti</v>
      </c>
      <c r="F198" s="1" t="str">
        <f>IFERROR(__xludf.DUMMYFUNCTION("""COMPUTED_VALUE"""),"Makassar")</f>
        <v>Makassar</v>
      </c>
      <c r="G198" s="1" t="str">
        <f>IFERROR(__xludf.DUMMYFUNCTION("""COMPUTED_VALUE"""),"Cotton Pants - Short Navy")</f>
        <v>Cotton Pants - Short Navy</v>
      </c>
      <c r="H198" s="68">
        <f>IFERROR(__xludf.DUMMYFUNCTION("""COMPUTED_VALUE"""),149000.0)</f>
        <v>149000</v>
      </c>
      <c r="I198" s="68">
        <f>IFERROR(__xludf.DUMMYFUNCTION("""COMPUTED_VALUE"""),1.0)</f>
        <v>1</v>
      </c>
      <c r="J198" s="68">
        <f>IFERROR(__xludf.DUMMYFUNCTION("""COMPUTED_VALUE"""),149000.0)</f>
        <v>149000</v>
      </c>
      <c r="K198" s="68">
        <f>IFERROR(__xludf.DUMMYFUNCTION("""COMPUTED_VALUE"""),149000.0)</f>
        <v>149000</v>
      </c>
      <c r="L198" s="1" t="str">
        <f>IFERROR(__xludf.DUMMYFUNCTION("""COMPUTED_VALUE"""),"Pants")</f>
        <v>Pants</v>
      </c>
    </row>
    <row r="199">
      <c r="A199" s="1" t="str">
        <f>IFERROR(__xludf.DUMMYFUNCTION("""COMPUTED_VALUE"""),"EF137308691539573")</f>
        <v>EF137308691539573</v>
      </c>
      <c r="B199" s="67">
        <f>IFERROR(__xludf.DUMMYFUNCTION("""COMPUTED_VALUE"""),45722.0)</f>
        <v>45722</v>
      </c>
      <c r="C199" s="1" t="str">
        <f>IFERROR(__xludf.DUMMYFUNCTION("""COMPUTED_VALUE"""),"SHJP2893424801")</f>
        <v>SHJP2893424801</v>
      </c>
      <c r="D199" s="1" t="str">
        <f>IFERROR(__xludf.DUMMYFUNCTION("""COMPUTED_VALUE"""),"J&amp;G Compress")</f>
        <v>J&amp;G Compress</v>
      </c>
      <c r="E199" s="1" t="str">
        <f>IFERROR(__xludf.DUMMYFUNCTION("""COMPUTED_VALUE"""),"Junior Firpo")</f>
        <v>Junior Firpo</v>
      </c>
      <c r="F199" s="1" t="str">
        <f>IFERROR(__xludf.DUMMYFUNCTION("""COMPUTED_VALUE"""),"Medan")</f>
        <v>Medan</v>
      </c>
      <c r="G199" s="1" t="str">
        <f>IFERROR(__xludf.DUMMYFUNCTION("""COMPUTED_VALUE"""),"Cotton Pants - Short Black")</f>
        <v>Cotton Pants - Short Black</v>
      </c>
      <c r="H199" s="68">
        <f>IFERROR(__xludf.DUMMYFUNCTION("""COMPUTED_VALUE"""),149000.0)</f>
        <v>149000</v>
      </c>
      <c r="I199" s="68">
        <f>IFERROR(__xludf.DUMMYFUNCTION("""COMPUTED_VALUE"""),1.0)</f>
        <v>1</v>
      </c>
      <c r="J199" s="68">
        <f>IFERROR(__xludf.DUMMYFUNCTION("""COMPUTED_VALUE"""),149000.0)</f>
        <v>149000</v>
      </c>
      <c r="K199" s="68">
        <f>IFERROR(__xludf.DUMMYFUNCTION("""COMPUTED_VALUE"""),149000.0)</f>
        <v>149000</v>
      </c>
      <c r="L199" s="1" t="str">
        <f>IFERROR(__xludf.DUMMYFUNCTION("""COMPUTED_VALUE"""),"Pants")</f>
        <v>Pants</v>
      </c>
    </row>
    <row r="200">
      <c r="A200" s="1" t="str">
        <f>IFERROR(__xludf.DUMMYFUNCTION("""COMPUTED_VALUE"""),"EF135685992536938")</f>
        <v>EF135685992536938</v>
      </c>
      <c r="B200" s="67">
        <f>IFERROR(__xludf.DUMMYFUNCTION("""COMPUTED_VALUE"""),45723.0)</f>
        <v>45723</v>
      </c>
      <c r="C200" s="1" t="str">
        <f>IFERROR(__xludf.DUMMYFUNCTION("""COMPUTED_VALUE"""),"SHJP0870106262")</f>
        <v>SHJP0870106262</v>
      </c>
      <c r="D200" s="1" t="str">
        <f>IFERROR(__xludf.DUMMYFUNCTION("""COMPUTED_VALUE"""),"J&amp;G Compress")</f>
        <v>J&amp;G Compress</v>
      </c>
      <c r="E200" s="1" t="str">
        <f>IFERROR(__xludf.DUMMYFUNCTION("""COMPUTED_VALUE"""),"Federico Bernardeschi")</f>
        <v>Federico Bernardeschi</v>
      </c>
      <c r="F200" s="1" t="str">
        <f>IFERROR(__xludf.DUMMYFUNCTION("""COMPUTED_VALUE"""),"Samarinda")</f>
        <v>Samarinda</v>
      </c>
      <c r="G200" s="1" t="str">
        <f>IFERROR(__xludf.DUMMYFUNCTION("""COMPUTED_VALUE"""),"Bomber - Jacket Maroon")</f>
        <v>Bomber - Jacket Maroon</v>
      </c>
      <c r="H200" s="68">
        <f>IFERROR(__xludf.DUMMYFUNCTION("""COMPUTED_VALUE"""),249000.0)</f>
        <v>249000</v>
      </c>
      <c r="I200" s="68">
        <f>IFERROR(__xludf.DUMMYFUNCTION("""COMPUTED_VALUE"""),1.0)</f>
        <v>1</v>
      </c>
      <c r="J200" s="68">
        <f>IFERROR(__xludf.DUMMYFUNCTION("""COMPUTED_VALUE"""),249000.0)</f>
        <v>249000</v>
      </c>
      <c r="K200" s="68">
        <f>IFERROR(__xludf.DUMMYFUNCTION("""COMPUTED_VALUE"""),249000.0)</f>
        <v>249000</v>
      </c>
      <c r="L200" s="1" t="str">
        <f>IFERROR(__xludf.DUMMYFUNCTION("""COMPUTED_VALUE"""),"Jacket")</f>
        <v>Jacket</v>
      </c>
    </row>
    <row r="201">
      <c r="A201" s="1" t="str">
        <f>IFERROR(__xludf.DUMMYFUNCTION("""COMPUTED_VALUE"""),"EF137308691539574")</f>
        <v>EF137308691539574</v>
      </c>
      <c r="B201" s="67">
        <f>IFERROR(__xludf.DUMMYFUNCTION("""COMPUTED_VALUE"""),45723.0)</f>
        <v>45723</v>
      </c>
      <c r="C201" s="1" t="str">
        <f>IFERROR(__xludf.DUMMYFUNCTION("""COMPUTED_VALUE"""),"SHJP2893424801")</f>
        <v>SHJP2893424801</v>
      </c>
      <c r="D201" s="1" t="str">
        <f>IFERROR(__xludf.DUMMYFUNCTION("""COMPUTED_VALUE"""),"J&amp;G Compress")</f>
        <v>J&amp;G Compress</v>
      </c>
      <c r="E201" s="1" t="str">
        <f>IFERROR(__xludf.DUMMYFUNCTION("""COMPUTED_VALUE"""),"Riqui Puig")</f>
        <v>Riqui Puig</v>
      </c>
      <c r="F201" s="1" t="str">
        <f>IFERROR(__xludf.DUMMYFUNCTION("""COMPUTED_VALUE"""),"Denpasar")</f>
        <v>Denpasar</v>
      </c>
      <c r="G201" s="1" t="str">
        <f>IFERROR(__xludf.DUMMYFUNCTION("""COMPUTED_VALUE"""),"Cotton Pants - Short White")</f>
        <v>Cotton Pants - Short White</v>
      </c>
      <c r="H201" s="68">
        <f>IFERROR(__xludf.DUMMYFUNCTION("""COMPUTED_VALUE"""),149000.0)</f>
        <v>149000</v>
      </c>
      <c r="I201" s="68">
        <f>IFERROR(__xludf.DUMMYFUNCTION("""COMPUTED_VALUE"""),1.0)</f>
        <v>1</v>
      </c>
      <c r="J201" s="68">
        <f>IFERROR(__xludf.DUMMYFUNCTION("""COMPUTED_VALUE"""),149000.0)</f>
        <v>149000</v>
      </c>
      <c r="K201" s="68">
        <f>IFERROR(__xludf.DUMMYFUNCTION("""COMPUTED_VALUE"""),1891000.0)</f>
        <v>1891000</v>
      </c>
      <c r="L201" s="1" t="str">
        <f>IFERROR(__xludf.DUMMYFUNCTION("""COMPUTED_VALUE"""),"Pants")</f>
        <v>Pants</v>
      </c>
    </row>
    <row r="202">
      <c r="A202" s="1" t="str">
        <f>IFERROR(__xludf.DUMMYFUNCTION("""COMPUTED_VALUE"""),"EF137308691539574")</f>
        <v>EF137308691539574</v>
      </c>
      <c r="B202" s="67">
        <f>IFERROR(__xludf.DUMMYFUNCTION("""COMPUTED_VALUE"""),45723.0)</f>
        <v>45723</v>
      </c>
      <c r="C202" s="1" t="str">
        <f>IFERROR(__xludf.DUMMYFUNCTION("""COMPUTED_VALUE"""),"SHJP2893424801")</f>
        <v>SHJP2893424801</v>
      </c>
      <c r="D202" s="1" t="str">
        <f>IFERROR(__xludf.DUMMYFUNCTION("""COMPUTED_VALUE"""),"J&amp;G Compress")</f>
        <v>J&amp;G Compress</v>
      </c>
      <c r="E202" s="1" t="str">
        <f>IFERROR(__xludf.DUMMYFUNCTION("""COMPUTED_VALUE"""),"Riqui Puig")</f>
        <v>Riqui Puig</v>
      </c>
      <c r="F202" s="1" t="str">
        <f>IFERROR(__xludf.DUMMYFUNCTION("""COMPUTED_VALUE"""),"Denpasar")</f>
        <v>Denpasar</v>
      </c>
      <c r="G202" s="1" t="str">
        <f>IFERROR(__xludf.DUMMYFUNCTION("""COMPUTED_VALUE"""),"Cotton Pants - Short Grey")</f>
        <v>Cotton Pants - Short Grey</v>
      </c>
      <c r="H202" s="68">
        <f>IFERROR(__xludf.DUMMYFUNCTION("""COMPUTED_VALUE"""),149000.0)</f>
        <v>149000</v>
      </c>
      <c r="I202" s="68">
        <f>IFERROR(__xludf.DUMMYFUNCTION("""COMPUTED_VALUE"""),1.0)</f>
        <v>1</v>
      </c>
      <c r="J202" s="68">
        <f>IFERROR(__xludf.DUMMYFUNCTION("""COMPUTED_VALUE"""),149000.0)</f>
        <v>149000</v>
      </c>
      <c r="K202" s="68">
        <f>IFERROR(__xludf.DUMMYFUNCTION("""COMPUTED_VALUE"""),1891000.0)</f>
        <v>1891000</v>
      </c>
      <c r="L202" s="1" t="str">
        <f>IFERROR(__xludf.DUMMYFUNCTION("""COMPUTED_VALUE"""),"Pants")</f>
        <v>Pants</v>
      </c>
    </row>
    <row r="203">
      <c r="A203" s="1" t="str">
        <f>IFERROR(__xludf.DUMMYFUNCTION("""COMPUTED_VALUE"""),"EF137308691539574")</f>
        <v>EF137308691539574</v>
      </c>
      <c r="B203" s="67">
        <f>IFERROR(__xludf.DUMMYFUNCTION("""COMPUTED_VALUE"""),45723.0)</f>
        <v>45723</v>
      </c>
      <c r="C203" s="1" t="str">
        <f>IFERROR(__xludf.DUMMYFUNCTION("""COMPUTED_VALUE"""),"SHJP2893424801")</f>
        <v>SHJP2893424801</v>
      </c>
      <c r="D203" s="1" t="str">
        <f>IFERROR(__xludf.DUMMYFUNCTION("""COMPUTED_VALUE"""),"J&amp;G Compress")</f>
        <v>J&amp;G Compress</v>
      </c>
      <c r="E203" s="1" t="str">
        <f>IFERROR(__xludf.DUMMYFUNCTION("""COMPUTED_VALUE"""),"Riqui Puig")</f>
        <v>Riqui Puig</v>
      </c>
      <c r="F203" s="1" t="str">
        <f>IFERROR(__xludf.DUMMYFUNCTION("""COMPUTED_VALUE"""),"Denpasar")</f>
        <v>Denpasar</v>
      </c>
      <c r="G203" s="1" t="str">
        <f>IFERROR(__xludf.DUMMYFUNCTION("""COMPUTED_VALUE"""),"Bomber - Jacket Black")</f>
        <v>Bomber - Jacket Black</v>
      </c>
      <c r="H203" s="68">
        <f>IFERROR(__xludf.DUMMYFUNCTION("""COMPUTED_VALUE"""),249000.0)</f>
        <v>249000</v>
      </c>
      <c r="I203" s="68">
        <f>IFERROR(__xludf.DUMMYFUNCTION("""COMPUTED_VALUE"""),1.0)</f>
        <v>1</v>
      </c>
      <c r="J203" s="68">
        <f>IFERROR(__xludf.DUMMYFUNCTION("""COMPUTED_VALUE"""),249000.0)</f>
        <v>249000</v>
      </c>
      <c r="K203" s="68">
        <f>IFERROR(__xludf.DUMMYFUNCTION("""COMPUTED_VALUE"""),1891000.0)</f>
        <v>1891000</v>
      </c>
      <c r="L203" s="1" t="str">
        <f>IFERROR(__xludf.DUMMYFUNCTION("""COMPUTED_VALUE"""),"Jacket")</f>
        <v>Jacket</v>
      </c>
    </row>
    <row r="204">
      <c r="A204" s="1" t="str">
        <f>IFERROR(__xludf.DUMMYFUNCTION("""COMPUTED_VALUE"""),"EF137308691539574")</f>
        <v>EF137308691539574</v>
      </c>
      <c r="B204" s="67">
        <f>IFERROR(__xludf.DUMMYFUNCTION("""COMPUTED_VALUE"""),45723.0)</f>
        <v>45723</v>
      </c>
      <c r="C204" s="1" t="str">
        <f>IFERROR(__xludf.DUMMYFUNCTION("""COMPUTED_VALUE"""),"SHJP2893424801")</f>
        <v>SHJP2893424801</v>
      </c>
      <c r="D204" s="1" t="str">
        <f>IFERROR(__xludf.DUMMYFUNCTION("""COMPUTED_VALUE"""),"J&amp;G Compress")</f>
        <v>J&amp;G Compress</v>
      </c>
      <c r="E204" s="1" t="str">
        <f>IFERROR(__xludf.DUMMYFUNCTION("""COMPUTED_VALUE"""),"Riqui Puig")</f>
        <v>Riqui Puig</v>
      </c>
      <c r="F204" s="1" t="str">
        <f>IFERROR(__xludf.DUMMYFUNCTION("""COMPUTED_VALUE"""),"Denpasar")</f>
        <v>Denpasar</v>
      </c>
      <c r="G204" s="1" t="str">
        <f>IFERROR(__xludf.DUMMYFUNCTION("""COMPUTED_VALUE"""),"Bomber - Jacket Navy")</f>
        <v>Bomber - Jacket Navy</v>
      </c>
      <c r="H204" s="68">
        <f>IFERROR(__xludf.DUMMYFUNCTION("""COMPUTED_VALUE"""),249000.0)</f>
        <v>249000</v>
      </c>
      <c r="I204" s="68">
        <f>IFERROR(__xludf.DUMMYFUNCTION("""COMPUTED_VALUE"""),1.0)</f>
        <v>1</v>
      </c>
      <c r="J204" s="68">
        <f>IFERROR(__xludf.DUMMYFUNCTION("""COMPUTED_VALUE"""),249000.0)</f>
        <v>249000</v>
      </c>
      <c r="K204" s="68">
        <f>IFERROR(__xludf.DUMMYFUNCTION("""COMPUTED_VALUE"""),1891000.0)</f>
        <v>1891000</v>
      </c>
      <c r="L204" s="1" t="str">
        <f>IFERROR(__xludf.DUMMYFUNCTION("""COMPUTED_VALUE"""),"Jacket")</f>
        <v>Jacket</v>
      </c>
    </row>
    <row r="205">
      <c r="A205" s="1" t="str">
        <f>IFERROR(__xludf.DUMMYFUNCTION("""COMPUTED_VALUE"""),"EF137308691539574")</f>
        <v>EF137308691539574</v>
      </c>
      <c r="B205" s="67">
        <f>IFERROR(__xludf.DUMMYFUNCTION("""COMPUTED_VALUE"""),45723.0)</f>
        <v>45723</v>
      </c>
      <c r="C205" s="1" t="str">
        <f>IFERROR(__xludf.DUMMYFUNCTION("""COMPUTED_VALUE"""),"SHJP2893424801")</f>
        <v>SHJP2893424801</v>
      </c>
      <c r="D205" s="1" t="str">
        <f>IFERROR(__xludf.DUMMYFUNCTION("""COMPUTED_VALUE"""),"J&amp;G Compress")</f>
        <v>J&amp;G Compress</v>
      </c>
      <c r="E205" s="1" t="str">
        <f>IFERROR(__xludf.DUMMYFUNCTION("""COMPUTED_VALUE"""),"Riqui Puig")</f>
        <v>Riqui Puig</v>
      </c>
      <c r="F205" s="1" t="str">
        <f>IFERROR(__xludf.DUMMYFUNCTION("""COMPUTED_VALUE"""),"Denpasar")</f>
        <v>Denpasar</v>
      </c>
      <c r="G205" s="1" t="str">
        <f>IFERROR(__xludf.DUMMYFUNCTION("""COMPUTED_VALUE"""),"Bomber - Jacket Dark Grey")</f>
        <v>Bomber - Jacket Dark Grey</v>
      </c>
      <c r="H205" s="68">
        <f>IFERROR(__xludf.DUMMYFUNCTION("""COMPUTED_VALUE"""),249000.0)</f>
        <v>249000</v>
      </c>
      <c r="I205" s="68">
        <f>IFERROR(__xludf.DUMMYFUNCTION("""COMPUTED_VALUE"""),1.0)</f>
        <v>1</v>
      </c>
      <c r="J205" s="68">
        <f>IFERROR(__xludf.DUMMYFUNCTION("""COMPUTED_VALUE"""),249000.0)</f>
        <v>249000</v>
      </c>
      <c r="K205" s="68">
        <f>IFERROR(__xludf.DUMMYFUNCTION("""COMPUTED_VALUE"""),1891000.0)</f>
        <v>1891000</v>
      </c>
      <c r="L205" s="1" t="str">
        <f>IFERROR(__xludf.DUMMYFUNCTION("""COMPUTED_VALUE"""),"Jacket")</f>
        <v>Jacket</v>
      </c>
    </row>
    <row r="206">
      <c r="A206" s="1" t="str">
        <f>IFERROR(__xludf.DUMMYFUNCTION("""COMPUTED_VALUE"""),"EF137308691539574")</f>
        <v>EF137308691539574</v>
      </c>
      <c r="B206" s="67">
        <f>IFERROR(__xludf.DUMMYFUNCTION("""COMPUTED_VALUE"""),45723.0)</f>
        <v>45723</v>
      </c>
      <c r="C206" s="1" t="str">
        <f>IFERROR(__xludf.DUMMYFUNCTION("""COMPUTED_VALUE"""),"SHJP2893424801")</f>
        <v>SHJP2893424801</v>
      </c>
      <c r="D206" s="1" t="str">
        <f>IFERROR(__xludf.DUMMYFUNCTION("""COMPUTED_VALUE"""),"J&amp;G Compress")</f>
        <v>J&amp;G Compress</v>
      </c>
      <c r="E206" s="1" t="str">
        <f>IFERROR(__xludf.DUMMYFUNCTION("""COMPUTED_VALUE"""),"Riqui Puig")</f>
        <v>Riqui Puig</v>
      </c>
      <c r="F206" s="1" t="str">
        <f>IFERROR(__xludf.DUMMYFUNCTION("""COMPUTED_VALUE"""),"Denpasar")</f>
        <v>Denpasar</v>
      </c>
      <c r="G206" s="1" t="str">
        <f>IFERROR(__xludf.DUMMYFUNCTION("""COMPUTED_VALUE"""),"Bomber - Jacket Maroon")</f>
        <v>Bomber - Jacket Maroon</v>
      </c>
      <c r="H206" s="68">
        <f>IFERROR(__xludf.DUMMYFUNCTION("""COMPUTED_VALUE"""),249000.0)</f>
        <v>249000</v>
      </c>
      <c r="I206" s="68">
        <f>IFERROR(__xludf.DUMMYFUNCTION("""COMPUTED_VALUE"""),1.0)</f>
        <v>1</v>
      </c>
      <c r="J206" s="68">
        <f>IFERROR(__xludf.DUMMYFUNCTION("""COMPUTED_VALUE"""),249000.0)</f>
        <v>249000</v>
      </c>
      <c r="K206" s="68">
        <f>IFERROR(__xludf.DUMMYFUNCTION("""COMPUTED_VALUE"""),1891000.0)</f>
        <v>1891000</v>
      </c>
      <c r="L206" s="1" t="str">
        <f>IFERROR(__xludf.DUMMYFUNCTION("""COMPUTED_VALUE"""),"Jacket")</f>
        <v>Jacket</v>
      </c>
    </row>
    <row r="207">
      <c r="A207" s="1" t="str">
        <f>IFERROR(__xludf.DUMMYFUNCTION("""COMPUTED_VALUE"""),"EF137308691539574")</f>
        <v>EF137308691539574</v>
      </c>
      <c r="B207" s="67">
        <f>IFERROR(__xludf.DUMMYFUNCTION("""COMPUTED_VALUE"""),45723.0)</f>
        <v>45723</v>
      </c>
      <c r="C207" s="1" t="str">
        <f>IFERROR(__xludf.DUMMYFUNCTION("""COMPUTED_VALUE"""),"SHJP2893424801")</f>
        <v>SHJP2893424801</v>
      </c>
      <c r="D207" s="1" t="str">
        <f>IFERROR(__xludf.DUMMYFUNCTION("""COMPUTED_VALUE"""),"J&amp;G Compress")</f>
        <v>J&amp;G Compress</v>
      </c>
      <c r="E207" s="1" t="str">
        <f>IFERROR(__xludf.DUMMYFUNCTION("""COMPUTED_VALUE"""),"Riqui Puig")</f>
        <v>Riqui Puig</v>
      </c>
      <c r="F207" s="1" t="str">
        <f>IFERROR(__xludf.DUMMYFUNCTION("""COMPUTED_VALUE"""),"Denpasar")</f>
        <v>Denpasar</v>
      </c>
      <c r="G207" s="1" t="str">
        <f>IFERROR(__xludf.DUMMYFUNCTION("""COMPUTED_VALUE"""),"Colarless Shirt Long Sleeve Black")</f>
        <v>Colarless Shirt Long Sleeve Black</v>
      </c>
      <c r="H207" s="68">
        <f>IFERROR(__xludf.DUMMYFUNCTION("""COMPUTED_VALUE"""),199000.0)</f>
        <v>199000</v>
      </c>
      <c r="I207" s="68">
        <f>IFERROR(__xludf.DUMMYFUNCTION("""COMPUTED_VALUE"""),1.0)</f>
        <v>1</v>
      </c>
      <c r="J207" s="68">
        <f>IFERROR(__xludf.DUMMYFUNCTION("""COMPUTED_VALUE"""),199000.0)</f>
        <v>199000</v>
      </c>
      <c r="K207" s="68">
        <f>IFERROR(__xludf.DUMMYFUNCTION("""COMPUTED_VALUE"""),1891000.0)</f>
        <v>1891000</v>
      </c>
      <c r="L207" s="1" t="str">
        <f>IFERROR(__xludf.DUMMYFUNCTION("""COMPUTED_VALUE"""),"Shirt")</f>
        <v>Shirt</v>
      </c>
    </row>
    <row r="208">
      <c r="A208" s="1" t="str">
        <f>IFERROR(__xludf.DUMMYFUNCTION("""COMPUTED_VALUE"""),"EF137308691539574")</f>
        <v>EF137308691539574</v>
      </c>
      <c r="B208" s="67">
        <f>IFERROR(__xludf.DUMMYFUNCTION("""COMPUTED_VALUE"""),45723.0)</f>
        <v>45723</v>
      </c>
      <c r="C208" s="1" t="str">
        <f>IFERROR(__xludf.DUMMYFUNCTION("""COMPUTED_VALUE"""),"SHJP2893424801")</f>
        <v>SHJP2893424801</v>
      </c>
      <c r="D208" s="1" t="str">
        <f>IFERROR(__xludf.DUMMYFUNCTION("""COMPUTED_VALUE"""),"J&amp;G Compress")</f>
        <v>J&amp;G Compress</v>
      </c>
      <c r="E208" s="1" t="str">
        <f>IFERROR(__xludf.DUMMYFUNCTION("""COMPUTED_VALUE"""),"Riqui Puig")</f>
        <v>Riqui Puig</v>
      </c>
      <c r="F208" s="1" t="str">
        <f>IFERROR(__xludf.DUMMYFUNCTION("""COMPUTED_VALUE"""),"Denpasar")</f>
        <v>Denpasar</v>
      </c>
      <c r="G208" s="1" t="str">
        <f>IFERROR(__xludf.DUMMYFUNCTION("""COMPUTED_VALUE"""),"Colarless Shirt Long Sleeve Maroon")</f>
        <v>Colarless Shirt Long Sleeve Maroon</v>
      </c>
      <c r="H208" s="68">
        <f>IFERROR(__xludf.DUMMYFUNCTION("""COMPUTED_VALUE"""),199000.0)</f>
        <v>199000</v>
      </c>
      <c r="I208" s="68">
        <f>IFERROR(__xludf.DUMMYFUNCTION("""COMPUTED_VALUE"""),2.0)</f>
        <v>2</v>
      </c>
      <c r="J208" s="68">
        <f>IFERROR(__xludf.DUMMYFUNCTION("""COMPUTED_VALUE"""),398000.0)</f>
        <v>398000</v>
      </c>
      <c r="K208" s="68">
        <f>IFERROR(__xludf.DUMMYFUNCTION("""COMPUTED_VALUE"""),1891000.0)</f>
        <v>1891000</v>
      </c>
      <c r="L208" s="1" t="str">
        <f>IFERROR(__xludf.DUMMYFUNCTION("""COMPUTED_VALUE"""),"Shirt")</f>
        <v>Shirt</v>
      </c>
    </row>
    <row r="209">
      <c r="A209" s="1" t="str">
        <f>IFERROR(__xludf.DUMMYFUNCTION("""COMPUTED_VALUE"""),"EF135725341474774")</f>
        <v>EF135725341474774</v>
      </c>
      <c r="B209" s="67">
        <f>IFERROR(__xludf.DUMMYFUNCTION("""COMPUTED_VALUE"""),45724.0)</f>
        <v>45724</v>
      </c>
      <c r="C209" s="1" t="str">
        <f>IFERROR(__xludf.DUMMYFUNCTION("""COMPUTED_VALUE"""),"SH000819738191")</f>
        <v>SH000819738191</v>
      </c>
      <c r="D209" s="1" t="str">
        <f>IFERROR(__xludf.DUMMYFUNCTION("""COMPUTED_VALUE"""),"SiLumayanCepat")</f>
        <v>SiLumayanCepat</v>
      </c>
      <c r="E209" s="1" t="str">
        <f>IFERROR(__xludf.DUMMYFUNCTION("""COMPUTED_VALUE"""),"Dejan Kulusevski")</f>
        <v>Dejan Kulusevski</v>
      </c>
      <c r="F209" s="1" t="str">
        <f>IFERROR(__xludf.DUMMYFUNCTION("""COMPUTED_VALUE"""),"Semarang")</f>
        <v>Semarang</v>
      </c>
      <c r="G209" s="1" t="str">
        <f>IFERROR(__xludf.DUMMYFUNCTION("""COMPUTED_VALUE"""),"Colarless Shirt Long Sleeve Black")</f>
        <v>Colarless Shirt Long Sleeve Black</v>
      </c>
      <c r="H209" s="68">
        <f>IFERROR(__xludf.DUMMYFUNCTION("""COMPUTED_VALUE"""),199000.0)</f>
        <v>199000</v>
      </c>
      <c r="I209" s="68">
        <f>IFERROR(__xludf.DUMMYFUNCTION("""COMPUTED_VALUE"""),1.0)</f>
        <v>1</v>
      </c>
      <c r="J209" s="68">
        <f>IFERROR(__xludf.DUMMYFUNCTION("""COMPUTED_VALUE"""),199000.0)</f>
        <v>199000</v>
      </c>
      <c r="K209" s="68">
        <f>IFERROR(__xludf.DUMMYFUNCTION("""COMPUTED_VALUE"""),199000.0)</f>
        <v>199000</v>
      </c>
      <c r="L209" s="1" t="str">
        <f>IFERROR(__xludf.DUMMYFUNCTION("""COMPUTED_VALUE"""),"Shirt")</f>
        <v>Shirt</v>
      </c>
    </row>
    <row r="210">
      <c r="A210" s="1" t="str">
        <f>IFERROR(__xludf.DUMMYFUNCTION("""COMPUTED_VALUE"""),"EF135764701823802")</f>
        <v>EF135764701823802</v>
      </c>
      <c r="B210" s="67">
        <f>IFERROR(__xludf.DUMMYFUNCTION("""COMPUTED_VALUE"""),45725.0)</f>
        <v>45725</v>
      </c>
      <c r="C210" s="1" t="str">
        <f>IFERROR(__xludf.DUMMYFUNCTION("""COMPUTED_VALUE"""),"SH002500071926")</f>
        <v>SH002500071926</v>
      </c>
      <c r="D210" s="1" t="str">
        <f>IFERROR(__xludf.DUMMYFUNCTION("""COMPUTED_VALUE"""),"SiLumayanCepat")</f>
        <v>SiLumayanCepat</v>
      </c>
      <c r="E210" s="1" t="str">
        <f>IFERROR(__xludf.DUMMYFUNCTION("""COMPUTED_VALUE"""),"Cristiano Ronaldo")</f>
        <v>Cristiano Ronaldo</v>
      </c>
      <c r="F210" s="1" t="str">
        <f>IFERROR(__xludf.DUMMYFUNCTION("""COMPUTED_VALUE"""),"Solo")</f>
        <v>Solo</v>
      </c>
      <c r="G210" s="1" t="str">
        <f>IFERROR(__xludf.DUMMYFUNCTION("""COMPUTED_VALUE"""),"Colarless Shirt Long Sleeve Maroon")</f>
        <v>Colarless Shirt Long Sleeve Maroon</v>
      </c>
      <c r="H210" s="68">
        <f>IFERROR(__xludf.DUMMYFUNCTION("""COMPUTED_VALUE"""),199000.0)</f>
        <v>199000</v>
      </c>
      <c r="I210" s="68">
        <f>IFERROR(__xludf.DUMMYFUNCTION("""COMPUTED_VALUE"""),2.0)</f>
        <v>2</v>
      </c>
      <c r="J210" s="68">
        <f>IFERROR(__xludf.DUMMYFUNCTION("""COMPUTED_VALUE"""),398000.0)</f>
        <v>398000</v>
      </c>
      <c r="K210" s="68">
        <f>IFERROR(__xludf.DUMMYFUNCTION("""COMPUTED_VALUE"""),398000.0)</f>
        <v>398000</v>
      </c>
      <c r="L210" s="1" t="str">
        <f>IFERROR(__xludf.DUMMYFUNCTION("""COMPUTED_VALUE"""),"Shirt")</f>
        <v>Shirt</v>
      </c>
    </row>
    <row r="211">
      <c r="A211" s="1" t="str">
        <f>IFERROR(__xludf.DUMMYFUNCTION("""COMPUTED_VALUE"""),"EF135804073587331")</f>
        <v>EF135804073587331</v>
      </c>
      <c r="B211" s="67">
        <f>IFERROR(__xludf.DUMMYFUNCTION("""COMPUTED_VALUE"""),45726.0)</f>
        <v>45726</v>
      </c>
      <c r="C211" s="1" t="str">
        <f>IFERROR(__xludf.DUMMYFUNCTION("""COMPUTED_VALUE"""),"SH000818825341")</f>
        <v>SH000818825341</v>
      </c>
      <c r="D211" s="1" t="str">
        <f>IFERROR(__xludf.DUMMYFUNCTION("""COMPUTED_VALUE"""),"SiLumayanCepat")</f>
        <v>SiLumayanCepat</v>
      </c>
      <c r="E211" s="1" t="str">
        <f>IFERROR(__xludf.DUMMYFUNCTION("""COMPUTED_VALUE"""),"Alex Sandro")</f>
        <v>Alex Sandro</v>
      </c>
      <c r="F211" s="1" t="str">
        <f>IFERROR(__xludf.DUMMYFUNCTION("""COMPUTED_VALUE"""),"Surabaya")</f>
        <v>Surabaya</v>
      </c>
      <c r="G211" s="1" t="str">
        <f>IFERROR(__xludf.DUMMYFUNCTION("""COMPUTED_VALUE"""),"Colarless Shirt Long Sleeve Navy")</f>
        <v>Colarless Shirt Long Sleeve Navy</v>
      </c>
      <c r="H211" s="68">
        <f>IFERROR(__xludf.DUMMYFUNCTION("""COMPUTED_VALUE"""),199000.0)</f>
        <v>199000</v>
      </c>
      <c r="I211" s="68">
        <f>IFERROR(__xludf.DUMMYFUNCTION("""COMPUTED_VALUE"""),1.0)</f>
        <v>1</v>
      </c>
      <c r="J211" s="68">
        <f>IFERROR(__xludf.DUMMYFUNCTION("""COMPUTED_VALUE"""),199000.0)</f>
        <v>199000</v>
      </c>
      <c r="K211" s="68">
        <f>IFERROR(__xludf.DUMMYFUNCTION("""COMPUTED_VALUE"""),199000.0)</f>
        <v>199000</v>
      </c>
      <c r="L211" s="1" t="str">
        <f>IFERROR(__xludf.DUMMYFUNCTION("""COMPUTED_VALUE"""),"Shirt")</f>
        <v>Shirt</v>
      </c>
    </row>
    <row r="212">
      <c r="A212" s="1" t="str">
        <f>IFERROR(__xludf.DUMMYFUNCTION("""COMPUTED_VALUE"""),"EF135843456768671")</f>
        <v>EF135843456768671</v>
      </c>
      <c r="B212" s="67">
        <f>IFERROR(__xludf.DUMMYFUNCTION("""COMPUTED_VALUE"""),45727.0)</f>
        <v>45727</v>
      </c>
      <c r="C212" s="1" t="str">
        <f>IFERROR(__xludf.DUMMYFUNCTION("""COMPUTED_VALUE"""),"SH000818825340")</f>
        <v>SH000818825340</v>
      </c>
      <c r="D212" s="1" t="str">
        <f>IFERROR(__xludf.DUMMYFUNCTION("""COMPUTED_VALUE"""),"SiLumayanCepat")</f>
        <v>SiLumayanCepat</v>
      </c>
      <c r="E212" s="1" t="str">
        <f>IFERROR(__xludf.DUMMYFUNCTION("""COMPUTED_VALUE"""),"Paulo Dybala")</f>
        <v>Paulo Dybala</v>
      </c>
      <c r="F212" s="1" t="str">
        <f>IFERROR(__xludf.DUMMYFUNCTION("""COMPUTED_VALUE"""),"Tangerang")</f>
        <v>Tangerang</v>
      </c>
      <c r="G212" s="1" t="str">
        <f>IFERROR(__xludf.DUMMYFUNCTION("""COMPUTED_VALUE"""),"Colarless Shirt Long Sleeve White")</f>
        <v>Colarless Shirt Long Sleeve White</v>
      </c>
      <c r="H212" s="68">
        <f>IFERROR(__xludf.DUMMYFUNCTION("""COMPUTED_VALUE"""),199000.0)</f>
        <v>199000</v>
      </c>
      <c r="I212" s="68">
        <f>IFERROR(__xludf.DUMMYFUNCTION("""COMPUTED_VALUE"""),2.0)</f>
        <v>2</v>
      </c>
      <c r="J212" s="68">
        <f>IFERROR(__xludf.DUMMYFUNCTION("""COMPUTED_VALUE"""),398000.0)</f>
        <v>398000</v>
      </c>
      <c r="K212" s="68">
        <f>IFERROR(__xludf.DUMMYFUNCTION("""COMPUTED_VALUE"""),398000.0)</f>
        <v>398000</v>
      </c>
      <c r="L212" s="1" t="str">
        <f>IFERROR(__xludf.DUMMYFUNCTION("""COMPUTED_VALUE"""),"Shirt")</f>
        <v>Shirt</v>
      </c>
    </row>
    <row r="213">
      <c r="A213" s="1" t="str">
        <f>IFERROR(__xludf.DUMMYFUNCTION("""COMPUTED_VALUE"""),"EF135882851371134")</f>
        <v>EF135882851371134</v>
      </c>
      <c r="B213" s="67">
        <f>IFERROR(__xludf.DUMMYFUNCTION("""COMPUTED_VALUE"""),45728.0)</f>
        <v>45728</v>
      </c>
      <c r="C213" s="1" t="str">
        <f>IFERROR(__xludf.DUMMYFUNCTION("""COMPUTED_VALUE"""),"SHJP0130056348")</f>
        <v>SHJP0130056348</v>
      </c>
      <c r="D213" s="1" t="str">
        <f>IFERROR(__xludf.DUMMYFUNCTION("""COMPUTED_VALUE"""),"J&amp;G Compress")</f>
        <v>J&amp;G Compress</v>
      </c>
      <c r="E213" s="1" t="str">
        <f>IFERROR(__xludf.DUMMYFUNCTION("""COMPUTED_VALUE"""),"Federico Chiesa")</f>
        <v>Federico Chiesa</v>
      </c>
      <c r="F213" s="1" t="str">
        <f>IFERROR(__xludf.DUMMYFUNCTION("""COMPUTED_VALUE"""),"Yogyakarta")</f>
        <v>Yogyakarta</v>
      </c>
      <c r="G213" s="1" t="str">
        <f>IFERROR(__xludf.DUMMYFUNCTION("""COMPUTED_VALUE"""),"Colarless Shirt Long Sleeve Grey")</f>
        <v>Colarless Shirt Long Sleeve Grey</v>
      </c>
      <c r="H213" s="68">
        <f>IFERROR(__xludf.DUMMYFUNCTION("""COMPUTED_VALUE"""),199000.0)</f>
        <v>199000</v>
      </c>
      <c r="I213" s="68">
        <f>IFERROR(__xludf.DUMMYFUNCTION("""COMPUTED_VALUE"""),1.0)</f>
        <v>1</v>
      </c>
      <c r="J213" s="68">
        <f>IFERROR(__xludf.DUMMYFUNCTION("""COMPUTED_VALUE"""),199000.0)</f>
        <v>199000</v>
      </c>
      <c r="K213" s="68">
        <f>IFERROR(__xludf.DUMMYFUNCTION("""COMPUTED_VALUE"""),199000.0)</f>
        <v>199000</v>
      </c>
      <c r="L213" s="1" t="str">
        <f>IFERROR(__xludf.DUMMYFUNCTION("""COMPUTED_VALUE"""),"Shirt")</f>
        <v>Shirt</v>
      </c>
    </row>
    <row r="214">
      <c r="A214" s="1" t="str">
        <f>IFERROR(__xludf.DUMMYFUNCTION("""COMPUTED_VALUE"""),"EF135922257398031")</f>
        <v>EF135922257398031</v>
      </c>
      <c r="B214" s="67">
        <f>IFERROR(__xludf.DUMMYFUNCTION("""COMPUTED_VALUE"""),45729.0)</f>
        <v>45729</v>
      </c>
      <c r="C214" s="1" t="str">
        <f>IFERROR(__xludf.DUMMYFUNCTION("""COMPUTED_VALUE"""),"SHJP0981597628")</f>
        <v>SHJP0981597628</v>
      </c>
      <c r="D214" s="1" t="str">
        <f>IFERROR(__xludf.DUMMYFUNCTION("""COMPUTED_VALUE"""),"J&amp;G Compress")</f>
        <v>J&amp;G Compress</v>
      </c>
      <c r="E214" s="1" t="str">
        <f>IFERROR(__xludf.DUMMYFUNCTION("""COMPUTED_VALUE"""),"Mattia De Sciglio")</f>
        <v>Mattia De Sciglio</v>
      </c>
      <c r="F214" s="1" t="str">
        <f>IFERROR(__xludf.DUMMYFUNCTION("""COMPUTED_VALUE"""),"Padang")</f>
        <v>Padang</v>
      </c>
      <c r="G214" s="1" t="str">
        <f>IFERROR(__xludf.DUMMYFUNCTION("""COMPUTED_VALUE"""),"Colarless Shirt Long Sleeve Army")</f>
        <v>Colarless Shirt Long Sleeve Army</v>
      </c>
      <c r="H214" s="68">
        <f>IFERROR(__xludf.DUMMYFUNCTION("""COMPUTED_VALUE"""),199000.0)</f>
        <v>199000</v>
      </c>
      <c r="I214" s="68">
        <f>IFERROR(__xludf.DUMMYFUNCTION("""COMPUTED_VALUE"""),1.0)</f>
        <v>1</v>
      </c>
      <c r="J214" s="68">
        <f>IFERROR(__xludf.DUMMYFUNCTION("""COMPUTED_VALUE"""),199000.0)</f>
        <v>199000</v>
      </c>
      <c r="K214" s="68">
        <f>IFERROR(__xludf.DUMMYFUNCTION("""COMPUTED_VALUE"""),199000.0)</f>
        <v>199000</v>
      </c>
      <c r="L214" s="1" t="str">
        <f>IFERROR(__xludf.DUMMYFUNCTION("""COMPUTED_VALUE"""),"Shirt")</f>
        <v>Shirt</v>
      </c>
    </row>
    <row r="215">
      <c r="A215" s="1" t="str">
        <f>IFERROR(__xludf.DUMMYFUNCTION("""COMPUTED_VALUE"""),"EF135961674852677")</f>
        <v>EF135961674852677</v>
      </c>
      <c r="B215" s="67">
        <f>IFERROR(__xludf.DUMMYFUNCTION("""COMPUTED_VALUE"""),45730.0)</f>
        <v>45730</v>
      </c>
      <c r="C215" s="1" t="str">
        <f>IFERROR(__xludf.DUMMYFUNCTION("""COMPUTED_VALUE"""),"SHJP2253321595")</f>
        <v>SHJP2253321595</v>
      </c>
      <c r="D215" s="1" t="str">
        <f>IFERROR(__xludf.DUMMYFUNCTION("""COMPUTED_VALUE"""),"J&amp;G Compress")</f>
        <v>J&amp;G Compress</v>
      </c>
      <c r="E215" s="1" t="str">
        <f>IFERROR(__xludf.DUMMYFUNCTION("""COMPUTED_VALUE"""),"Douglas Costa")</f>
        <v>Douglas Costa</v>
      </c>
      <c r="F215" s="1" t="str">
        <f>IFERROR(__xludf.DUMMYFUNCTION("""COMPUTED_VALUE"""),"Cilacap")</f>
        <v>Cilacap</v>
      </c>
      <c r="G215" s="1" t="str">
        <f>IFERROR(__xludf.DUMMYFUNCTION("""COMPUTED_VALUE"""),"Casual Sneakers Black")</f>
        <v>Casual Sneakers Black</v>
      </c>
      <c r="H215" s="68">
        <f>IFERROR(__xludf.DUMMYFUNCTION("""COMPUTED_VALUE"""),329000.0)</f>
        <v>329000</v>
      </c>
      <c r="I215" s="68">
        <f>IFERROR(__xludf.DUMMYFUNCTION("""COMPUTED_VALUE"""),1.0)</f>
        <v>1</v>
      </c>
      <c r="J215" s="68">
        <f>IFERROR(__xludf.DUMMYFUNCTION("""COMPUTED_VALUE"""),329000.0)</f>
        <v>329000</v>
      </c>
      <c r="K215" s="68">
        <f>IFERROR(__xludf.DUMMYFUNCTION("""COMPUTED_VALUE"""),329000.0)</f>
        <v>329000</v>
      </c>
      <c r="L215" s="1" t="str">
        <f>IFERROR(__xludf.DUMMYFUNCTION("""COMPUTED_VALUE"""),"Shoes")</f>
        <v>Shoes</v>
      </c>
    </row>
    <row r="216">
      <c r="A216" s="1" t="str">
        <f>IFERROR(__xludf.DUMMYFUNCTION("""COMPUTED_VALUE"""),"EF136001103738384")</f>
        <v>EF136001103738384</v>
      </c>
      <c r="B216" s="67">
        <f>IFERROR(__xludf.DUMMYFUNCTION("""COMPUTED_VALUE"""),45731.0)</f>
        <v>45731</v>
      </c>
      <c r="C216" s="1" t="str">
        <f>IFERROR(__xludf.DUMMYFUNCTION("""COMPUTED_VALUE"""),"SH000819409944")</f>
        <v>SH000819409944</v>
      </c>
      <c r="D216" s="1" t="str">
        <f>IFERROR(__xludf.DUMMYFUNCTION("""COMPUTED_VALUE"""),"SiLumayanCepat")</f>
        <v>SiLumayanCepat</v>
      </c>
      <c r="E216" s="1" t="str">
        <f>IFERROR(__xludf.DUMMYFUNCTION("""COMPUTED_VALUE"""),"Éder Militão")</f>
        <v>Éder Militão</v>
      </c>
      <c r="F216" s="1" t="str">
        <f>IFERROR(__xludf.DUMMYFUNCTION("""COMPUTED_VALUE"""),"Kupang")</f>
        <v>Kupang</v>
      </c>
      <c r="G216" s="1" t="str">
        <f>IFERROR(__xludf.DUMMYFUNCTION("""COMPUTED_VALUE"""),"Casual Sneakers White")</f>
        <v>Casual Sneakers White</v>
      </c>
      <c r="H216" s="68">
        <f>IFERROR(__xludf.DUMMYFUNCTION("""COMPUTED_VALUE"""),329000.0)</f>
        <v>329000</v>
      </c>
      <c r="I216" s="68">
        <f>IFERROR(__xludf.DUMMYFUNCTION("""COMPUTED_VALUE"""),1.0)</f>
        <v>1</v>
      </c>
      <c r="J216" s="68">
        <f>IFERROR(__xludf.DUMMYFUNCTION("""COMPUTED_VALUE"""),329000.0)</f>
        <v>329000</v>
      </c>
      <c r="K216" s="68">
        <f>IFERROR(__xludf.DUMMYFUNCTION("""COMPUTED_VALUE"""),329000.0)</f>
        <v>329000</v>
      </c>
      <c r="L216" s="1" t="str">
        <f>IFERROR(__xludf.DUMMYFUNCTION("""COMPUTED_VALUE"""),"Shoes")</f>
        <v>Shoes</v>
      </c>
    </row>
    <row r="217">
      <c r="A217" s="1" t="str">
        <f>IFERROR(__xludf.DUMMYFUNCTION("""COMPUTED_VALUE"""),"EF137667483221710")</f>
        <v>EF137667483221710</v>
      </c>
      <c r="B217" s="67">
        <f>IFERROR(__xludf.DUMMYFUNCTION("""COMPUTED_VALUE"""),45731.0)</f>
        <v>45731</v>
      </c>
      <c r="C217" s="1" t="str">
        <f>IFERROR(__xludf.DUMMYFUNCTION("""COMPUTED_VALUE"""),"SH002502004248")</f>
        <v>SH002502004248</v>
      </c>
      <c r="D217" s="1" t="str">
        <f>IFERROR(__xludf.DUMMYFUNCTION("""COMPUTED_VALUE"""),"SiLumayanCepat")</f>
        <v>SiLumayanCepat</v>
      </c>
      <c r="E217" s="1" t="str">
        <f>IFERROR(__xludf.DUMMYFUNCTION("""COMPUTED_VALUE"""),"Weston McKennie")</f>
        <v>Weston McKennie</v>
      </c>
      <c r="F217" s="1" t="str">
        <f>IFERROR(__xludf.DUMMYFUNCTION("""COMPUTED_VALUE"""),"Surabaya")</f>
        <v>Surabaya</v>
      </c>
      <c r="G217" s="1" t="str">
        <f>IFERROR(__xludf.DUMMYFUNCTION("""COMPUTED_VALUE"""),"Colarless Shirt Long Sleeve Navy")</f>
        <v>Colarless Shirt Long Sleeve Navy</v>
      </c>
      <c r="H217" s="68">
        <f>IFERROR(__xludf.DUMMYFUNCTION("""COMPUTED_VALUE"""),199000.0)</f>
        <v>199000</v>
      </c>
      <c r="I217" s="68">
        <f>IFERROR(__xludf.DUMMYFUNCTION("""COMPUTED_VALUE"""),1.0)</f>
        <v>1</v>
      </c>
      <c r="J217" s="68">
        <f>IFERROR(__xludf.DUMMYFUNCTION("""COMPUTED_VALUE"""),199000.0)</f>
        <v>199000</v>
      </c>
      <c r="K217" s="68">
        <f>IFERROR(__xludf.DUMMYFUNCTION("""COMPUTED_VALUE"""),199000.0)</f>
        <v>199000</v>
      </c>
      <c r="L217" s="1" t="str">
        <f>IFERROR(__xludf.DUMMYFUNCTION("""COMPUTED_VALUE"""),"Shirt")</f>
        <v>Shirt</v>
      </c>
    </row>
    <row r="218">
      <c r="A218" s="1" t="str">
        <f>IFERROR(__xludf.DUMMYFUNCTION("""COMPUTED_VALUE"""),"EF136040544058468")</f>
        <v>EF136040544058468</v>
      </c>
      <c r="B218" s="67">
        <f>IFERROR(__xludf.DUMMYFUNCTION("""COMPUTED_VALUE"""),45732.0)</f>
        <v>45732</v>
      </c>
      <c r="C218" s="1" t="str">
        <f>IFERROR(__xludf.DUMMYFUNCTION("""COMPUTED_VALUE"""),"SH000817822662")</f>
        <v>SH000817822662</v>
      </c>
      <c r="D218" s="1" t="str">
        <f>IFERROR(__xludf.DUMMYFUNCTION("""COMPUTED_VALUE"""),"SiLumayanCepat")</f>
        <v>SiLumayanCepat</v>
      </c>
      <c r="E218" s="1" t="str">
        <f>IFERROR(__xludf.DUMMYFUNCTION("""COMPUTED_VALUE"""),"Thibaut Courtois")</f>
        <v>Thibaut Courtois</v>
      </c>
      <c r="F218" s="1" t="str">
        <f>IFERROR(__xludf.DUMMYFUNCTION("""COMPUTED_VALUE"""),"Jayapura")</f>
        <v>Jayapura</v>
      </c>
      <c r="G218" s="1" t="str">
        <f>IFERROR(__xludf.DUMMYFUNCTION("""COMPUTED_VALUE"""),"Basic T-Shirt Black")</f>
        <v>Basic T-Shirt Black</v>
      </c>
      <c r="H218" s="68">
        <f>IFERROR(__xludf.DUMMYFUNCTION("""COMPUTED_VALUE"""),89000.0)</f>
        <v>89000</v>
      </c>
      <c r="I218" s="68">
        <f>IFERROR(__xludf.DUMMYFUNCTION("""COMPUTED_VALUE"""),1.0)</f>
        <v>1</v>
      </c>
      <c r="J218" s="68">
        <f>IFERROR(__xludf.DUMMYFUNCTION("""COMPUTED_VALUE"""),89000.0)</f>
        <v>89000</v>
      </c>
      <c r="K218" s="68">
        <f>IFERROR(__xludf.DUMMYFUNCTION("""COMPUTED_VALUE"""),267000.0)</f>
        <v>267000</v>
      </c>
      <c r="L218" s="1" t="str">
        <f>IFERROR(__xludf.DUMMYFUNCTION("""COMPUTED_VALUE"""),"T-Shirt")</f>
        <v>T-Shirt</v>
      </c>
    </row>
    <row r="219">
      <c r="A219" s="1" t="str">
        <f>IFERROR(__xludf.DUMMYFUNCTION("""COMPUTED_VALUE"""),"EF136040544058468")</f>
        <v>EF136040544058468</v>
      </c>
      <c r="B219" s="67">
        <f>IFERROR(__xludf.DUMMYFUNCTION("""COMPUTED_VALUE"""),45732.0)</f>
        <v>45732</v>
      </c>
      <c r="C219" s="1" t="str">
        <f>IFERROR(__xludf.DUMMYFUNCTION("""COMPUTED_VALUE"""),"SH000817822662")</f>
        <v>SH000817822662</v>
      </c>
      <c r="D219" s="1" t="str">
        <f>IFERROR(__xludf.DUMMYFUNCTION("""COMPUTED_VALUE"""),"SiLumayanCepat")</f>
        <v>SiLumayanCepat</v>
      </c>
      <c r="E219" s="1" t="str">
        <f>IFERROR(__xludf.DUMMYFUNCTION("""COMPUTED_VALUE"""),"Thibaut Courtois")</f>
        <v>Thibaut Courtois</v>
      </c>
      <c r="F219" s="1" t="str">
        <f>IFERROR(__xludf.DUMMYFUNCTION("""COMPUTED_VALUE"""),"Jayapura")</f>
        <v>Jayapura</v>
      </c>
      <c r="G219" s="1" t="str">
        <f>IFERROR(__xludf.DUMMYFUNCTION("""COMPUTED_VALUE"""),"Basic T-Shirt White")</f>
        <v>Basic T-Shirt White</v>
      </c>
      <c r="H219" s="68">
        <f>IFERROR(__xludf.DUMMYFUNCTION("""COMPUTED_VALUE"""),89000.0)</f>
        <v>89000</v>
      </c>
      <c r="I219" s="68">
        <f>IFERROR(__xludf.DUMMYFUNCTION("""COMPUTED_VALUE"""),1.0)</f>
        <v>1</v>
      </c>
      <c r="J219" s="68">
        <f>IFERROR(__xludf.DUMMYFUNCTION("""COMPUTED_VALUE"""),89000.0)</f>
        <v>89000</v>
      </c>
      <c r="K219" s="68">
        <f>IFERROR(__xludf.DUMMYFUNCTION("""COMPUTED_VALUE"""),267000.0)</f>
        <v>267000</v>
      </c>
      <c r="L219" s="1" t="str">
        <f>IFERROR(__xludf.DUMMYFUNCTION("""COMPUTED_VALUE"""),"T-Shirt")</f>
        <v>T-Shirt</v>
      </c>
    </row>
    <row r="220">
      <c r="A220" s="1" t="str">
        <f>IFERROR(__xludf.DUMMYFUNCTION("""COMPUTED_VALUE"""),"EF136040544058468")</f>
        <v>EF136040544058468</v>
      </c>
      <c r="B220" s="67">
        <f>IFERROR(__xludf.DUMMYFUNCTION("""COMPUTED_VALUE"""),45732.0)</f>
        <v>45732</v>
      </c>
      <c r="C220" s="1" t="str">
        <f>IFERROR(__xludf.DUMMYFUNCTION("""COMPUTED_VALUE"""),"SH000817822662")</f>
        <v>SH000817822662</v>
      </c>
      <c r="D220" s="1" t="str">
        <f>IFERROR(__xludf.DUMMYFUNCTION("""COMPUTED_VALUE"""),"SiLumayanCepat")</f>
        <v>SiLumayanCepat</v>
      </c>
      <c r="E220" s="1" t="str">
        <f>IFERROR(__xludf.DUMMYFUNCTION("""COMPUTED_VALUE"""),"Thibaut Courtois")</f>
        <v>Thibaut Courtois</v>
      </c>
      <c r="F220" s="1" t="str">
        <f>IFERROR(__xludf.DUMMYFUNCTION("""COMPUTED_VALUE"""),"Jayapura")</f>
        <v>Jayapura</v>
      </c>
      <c r="G220" s="1" t="str">
        <f>IFERROR(__xludf.DUMMYFUNCTION("""COMPUTED_VALUE"""),"Basic T-Shirt Navy")</f>
        <v>Basic T-Shirt Navy</v>
      </c>
      <c r="H220" s="68">
        <f>IFERROR(__xludf.DUMMYFUNCTION("""COMPUTED_VALUE"""),89000.0)</f>
        <v>89000</v>
      </c>
      <c r="I220" s="68">
        <f>IFERROR(__xludf.DUMMYFUNCTION("""COMPUTED_VALUE"""),1.0)</f>
        <v>1</v>
      </c>
      <c r="J220" s="68">
        <f>IFERROR(__xludf.DUMMYFUNCTION("""COMPUTED_VALUE"""),89000.0)</f>
        <v>89000</v>
      </c>
      <c r="K220" s="68">
        <f>IFERROR(__xludf.DUMMYFUNCTION("""COMPUTED_VALUE"""),267000.0)</f>
        <v>267000</v>
      </c>
      <c r="L220" s="1" t="str">
        <f>IFERROR(__xludf.DUMMYFUNCTION("""COMPUTED_VALUE"""),"T-Shirt")</f>
        <v>T-Shirt</v>
      </c>
    </row>
    <row r="221">
      <c r="A221" s="1" t="str">
        <f>IFERROR(__xludf.DUMMYFUNCTION("""COMPUTED_VALUE"""),"EF137707406791844")</f>
        <v>EF137707406791844</v>
      </c>
      <c r="B221" s="67">
        <f>IFERROR(__xludf.DUMMYFUNCTION("""COMPUTED_VALUE"""),45732.0)</f>
        <v>45732</v>
      </c>
      <c r="C221" s="1" t="str">
        <f>IFERROR(__xludf.DUMMYFUNCTION("""COMPUTED_VALUE"""),"SH002502004247")</f>
        <v>SH002502004247</v>
      </c>
      <c r="D221" s="1" t="str">
        <f>IFERROR(__xludf.DUMMYFUNCTION("""COMPUTED_VALUE"""),"SiLumayanCepat")</f>
        <v>SiLumayanCepat</v>
      </c>
      <c r="E221" s="1" t="str">
        <f>IFERROR(__xludf.DUMMYFUNCTION("""COMPUTED_VALUE"""),"Adrien Rabiot")</f>
        <v>Adrien Rabiot</v>
      </c>
      <c r="F221" s="1" t="str">
        <f>IFERROR(__xludf.DUMMYFUNCTION("""COMPUTED_VALUE"""),"Surabaya")</f>
        <v>Surabaya</v>
      </c>
      <c r="G221" s="1" t="str">
        <f>IFERROR(__xludf.DUMMYFUNCTION("""COMPUTED_VALUE"""),"Colarless Shirt Long Sleeve White")</f>
        <v>Colarless Shirt Long Sleeve White</v>
      </c>
      <c r="H221" s="68">
        <f>IFERROR(__xludf.DUMMYFUNCTION("""COMPUTED_VALUE"""),199000.0)</f>
        <v>199000</v>
      </c>
      <c r="I221" s="68">
        <f>IFERROR(__xludf.DUMMYFUNCTION("""COMPUTED_VALUE"""),1.0)</f>
        <v>1</v>
      </c>
      <c r="J221" s="68">
        <f>IFERROR(__xludf.DUMMYFUNCTION("""COMPUTED_VALUE"""),199000.0)</f>
        <v>199000</v>
      </c>
      <c r="K221" s="68">
        <f>IFERROR(__xludf.DUMMYFUNCTION("""COMPUTED_VALUE"""),199000.0)</f>
        <v>199000</v>
      </c>
      <c r="L221" s="1" t="str">
        <f>IFERROR(__xludf.DUMMYFUNCTION("""COMPUTED_VALUE"""),"Shirt")</f>
        <v>Shirt</v>
      </c>
    </row>
    <row r="222">
      <c r="A222" s="1" t="str">
        <f>IFERROR(__xludf.DUMMYFUNCTION("""COMPUTED_VALUE"""),"EF137747341939814")</f>
        <v>EF137747341939814</v>
      </c>
      <c r="B222" s="67">
        <f>IFERROR(__xludf.DUMMYFUNCTION("""COMPUTED_VALUE"""),45733.0)</f>
        <v>45733</v>
      </c>
      <c r="C222" s="1" t="str">
        <f>IFERROR(__xludf.DUMMYFUNCTION("""COMPUTED_VALUE"""),"SHJP0108352134")</f>
        <v>SHJP0108352134</v>
      </c>
      <c r="D222" s="1" t="str">
        <f>IFERROR(__xludf.DUMMYFUNCTION("""COMPUTED_VALUE"""),"J&amp;G Compress")</f>
        <v>J&amp;G Compress</v>
      </c>
      <c r="E222" s="1" t="str">
        <f>IFERROR(__xludf.DUMMYFUNCTION("""COMPUTED_VALUE"""),"Rodrigo Bentancur")</f>
        <v>Rodrigo Bentancur</v>
      </c>
      <c r="F222" s="1" t="str">
        <f>IFERROR(__xludf.DUMMYFUNCTION("""COMPUTED_VALUE"""),"Surabaya")</f>
        <v>Surabaya</v>
      </c>
      <c r="G222" s="1" t="str">
        <f>IFERROR(__xludf.DUMMYFUNCTION("""COMPUTED_VALUE"""),"Colarless Shirt Long Sleeve Grey")</f>
        <v>Colarless Shirt Long Sleeve Grey</v>
      </c>
      <c r="H222" s="68">
        <f>IFERROR(__xludf.DUMMYFUNCTION("""COMPUTED_VALUE"""),199000.0)</f>
        <v>199000</v>
      </c>
      <c r="I222" s="68">
        <f>IFERROR(__xludf.DUMMYFUNCTION("""COMPUTED_VALUE"""),1.0)</f>
        <v>1</v>
      </c>
      <c r="J222" s="68">
        <f>IFERROR(__xludf.DUMMYFUNCTION("""COMPUTED_VALUE"""),199000.0)</f>
        <v>199000</v>
      </c>
      <c r="K222" s="68">
        <f>IFERROR(__xludf.DUMMYFUNCTION("""COMPUTED_VALUE"""),199000.0)</f>
        <v>199000</v>
      </c>
      <c r="L222" s="1" t="str">
        <f>IFERROR(__xludf.DUMMYFUNCTION("""COMPUTED_VALUE"""),"Shirt")</f>
        <v>Shirt</v>
      </c>
    </row>
    <row r="223">
      <c r="A223" s="1" t="str">
        <f>IFERROR(__xludf.DUMMYFUNCTION("""COMPUTED_VALUE"""),"EF137787288668977")</f>
        <v>EF137787288668977</v>
      </c>
      <c r="B223" s="67">
        <f>IFERROR(__xludf.DUMMYFUNCTION("""COMPUTED_VALUE"""),45734.0)</f>
        <v>45734</v>
      </c>
      <c r="C223" s="1" t="str">
        <f>IFERROR(__xludf.DUMMYFUNCTION("""COMPUTED_VALUE"""),"SHJP2595368290")</f>
        <v>SHJP2595368290</v>
      </c>
      <c r="D223" s="1" t="str">
        <f>IFERROR(__xludf.DUMMYFUNCTION("""COMPUTED_VALUE"""),"J&amp;G Compress")</f>
        <v>J&amp;G Compress</v>
      </c>
      <c r="E223" s="1" t="str">
        <f>IFERROR(__xludf.DUMMYFUNCTION("""COMPUTED_VALUE"""),"Riyad Mahrez")</f>
        <v>Riyad Mahrez</v>
      </c>
      <c r="F223" s="1" t="str">
        <f>IFERROR(__xludf.DUMMYFUNCTION("""COMPUTED_VALUE"""),"Surabaya")</f>
        <v>Surabaya</v>
      </c>
      <c r="G223" s="1" t="str">
        <f>IFERROR(__xludf.DUMMYFUNCTION("""COMPUTED_VALUE"""),"Colarless Shirt Long Sleeve Army")</f>
        <v>Colarless Shirt Long Sleeve Army</v>
      </c>
      <c r="H223" s="68">
        <f>IFERROR(__xludf.DUMMYFUNCTION("""COMPUTED_VALUE"""),199000.0)</f>
        <v>199000</v>
      </c>
      <c r="I223" s="68">
        <f>IFERROR(__xludf.DUMMYFUNCTION("""COMPUTED_VALUE"""),1.0)</f>
        <v>1</v>
      </c>
      <c r="J223" s="68">
        <f>IFERROR(__xludf.DUMMYFUNCTION("""COMPUTED_VALUE"""),199000.0)</f>
        <v>199000</v>
      </c>
      <c r="K223" s="68">
        <f>IFERROR(__xludf.DUMMYFUNCTION("""COMPUTED_VALUE"""),199000.0)</f>
        <v>199000</v>
      </c>
      <c r="L223" s="1" t="str">
        <f>IFERROR(__xludf.DUMMYFUNCTION("""COMPUTED_VALUE"""),"Shirt")</f>
        <v>Shirt</v>
      </c>
    </row>
    <row r="224">
      <c r="A224" s="1" t="str">
        <f>IFERROR(__xludf.DUMMYFUNCTION("""COMPUTED_VALUE"""),"EF136158933658146")</f>
        <v>EF136158933658146</v>
      </c>
      <c r="B224" s="67">
        <f>IFERROR(__xludf.DUMMYFUNCTION("""COMPUTED_VALUE"""),45735.0)</f>
        <v>45735</v>
      </c>
      <c r="C224" s="1" t="str">
        <f>IFERROR(__xludf.DUMMYFUNCTION("""COMPUTED_VALUE"""),"SH000819411655")</f>
        <v>SH000819411655</v>
      </c>
      <c r="D224" s="1" t="str">
        <f>IFERROR(__xludf.DUMMYFUNCTION("""COMPUTED_VALUE"""),"SiLumayanCepat")</f>
        <v>SiLumayanCepat</v>
      </c>
      <c r="E224" s="1" t="str">
        <f>IFERROR(__xludf.DUMMYFUNCTION("""COMPUTED_VALUE"""),"Sergio Ramos")</f>
        <v>Sergio Ramos</v>
      </c>
      <c r="F224" s="1" t="str">
        <f>IFERROR(__xludf.DUMMYFUNCTION("""COMPUTED_VALUE"""),"Tarakan")</f>
        <v>Tarakan</v>
      </c>
      <c r="G224" s="1" t="str">
        <f>IFERROR(__xludf.DUMMYFUNCTION("""COMPUTED_VALUE"""),"Basic T-Shirt Maroon")</f>
        <v>Basic T-Shirt Maroon</v>
      </c>
      <c r="H224" s="68">
        <f>IFERROR(__xludf.DUMMYFUNCTION("""COMPUTED_VALUE"""),89000.0)</f>
        <v>89000</v>
      </c>
      <c r="I224" s="68">
        <f>IFERROR(__xludf.DUMMYFUNCTION("""COMPUTED_VALUE"""),1.0)</f>
        <v>1</v>
      </c>
      <c r="J224" s="68">
        <f>IFERROR(__xludf.DUMMYFUNCTION("""COMPUTED_VALUE"""),89000.0)</f>
        <v>89000</v>
      </c>
      <c r="K224" s="68">
        <f>IFERROR(__xludf.DUMMYFUNCTION("""COMPUTED_VALUE"""),89000.0)</f>
        <v>89000</v>
      </c>
      <c r="L224" s="1" t="str">
        <f>IFERROR(__xludf.DUMMYFUNCTION("""COMPUTED_VALUE"""),"T-Shirt")</f>
        <v>T-Shirt</v>
      </c>
    </row>
    <row r="225">
      <c r="A225" s="1" t="str">
        <f>IFERROR(__xludf.DUMMYFUNCTION("""COMPUTED_VALUE"""),"EF137827246982691")</f>
        <v>EF137827246982691</v>
      </c>
      <c r="B225" s="67">
        <f>IFERROR(__xludf.DUMMYFUNCTION("""COMPUTED_VALUE"""),45735.0)</f>
        <v>45735</v>
      </c>
      <c r="C225" s="1" t="str">
        <f>IFERROR(__xludf.DUMMYFUNCTION("""COMPUTED_VALUE"""),"SH002501999931")</f>
        <v>SH002501999931</v>
      </c>
      <c r="D225" s="1" t="str">
        <f>IFERROR(__xludf.DUMMYFUNCTION("""COMPUTED_VALUE"""),"SiLumayanCepat")</f>
        <v>SiLumayanCepat</v>
      </c>
      <c r="E225" s="1" t="str">
        <f>IFERROR(__xludf.DUMMYFUNCTION("""COMPUTED_VALUE"""),"João Cancelo")</f>
        <v>João Cancelo</v>
      </c>
      <c r="F225" s="1" t="str">
        <f>IFERROR(__xludf.DUMMYFUNCTION("""COMPUTED_VALUE"""),"Surabaya")</f>
        <v>Surabaya</v>
      </c>
      <c r="G225" s="1" t="str">
        <f>IFERROR(__xludf.DUMMYFUNCTION("""COMPUTED_VALUE"""),"Casual Sneakers Black")</f>
        <v>Casual Sneakers Black</v>
      </c>
      <c r="H225" s="68">
        <f>IFERROR(__xludf.DUMMYFUNCTION("""COMPUTED_VALUE"""),329000.0)</f>
        <v>329000</v>
      </c>
      <c r="I225" s="68">
        <f>IFERROR(__xludf.DUMMYFUNCTION("""COMPUTED_VALUE"""),1.0)</f>
        <v>1</v>
      </c>
      <c r="J225" s="68">
        <f>IFERROR(__xludf.DUMMYFUNCTION("""COMPUTED_VALUE"""),329000.0)</f>
        <v>329000</v>
      </c>
      <c r="K225" s="68">
        <f>IFERROR(__xludf.DUMMYFUNCTION("""COMPUTED_VALUE"""),329000.0)</f>
        <v>329000</v>
      </c>
      <c r="L225" s="1" t="str">
        <f>IFERROR(__xludf.DUMMYFUNCTION("""COMPUTED_VALUE"""),"Shoes")</f>
        <v>Shoes</v>
      </c>
    </row>
    <row r="226">
      <c r="A226" s="1" t="str">
        <f>IFERROR(__xludf.DUMMYFUNCTION("""COMPUTED_VALUE"""),"EF136198419748907")</f>
        <v>EF136198419748907</v>
      </c>
      <c r="B226" s="67">
        <f>IFERROR(__xludf.DUMMYFUNCTION("""COMPUTED_VALUE"""),45736.0)</f>
        <v>45736</v>
      </c>
      <c r="C226" s="1" t="str">
        <f>IFERROR(__xludf.DUMMYFUNCTION("""COMPUTED_VALUE"""),"SH000818577702")</f>
        <v>SH000818577702</v>
      </c>
      <c r="D226" s="1" t="str">
        <f>IFERROR(__xludf.DUMMYFUNCTION("""COMPUTED_VALUE"""),"JemputAja")</f>
        <v>JemputAja</v>
      </c>
      <c r="E226" s="1" t="str">
        <f>IFERROR(__xludf.DUMMYFUNCTION("""COMPUTED_VALUE"""),"Raphaël Varane")</f>
        <v>Raphaël Varane</v>
      </c>
      <c r="F226" s="1" t="str">
        <f>IFERROR(__xludf.DUMMYFUNCTION("""COMPUTED_VALUE"""),"Jakarta")</f>
        <v>Jakarta</v>
      </c>
      <c r="G226" s="1" t="str">
        <f>IFERROR(__xludf.DUMMYFUNCTION("""COMPUTED_VALUE"""),"Basic T-Shirt Grey")</f>
        <v>Basic T-Shirt Grey</v>
      </c>
      <c r="H226" s="68">
        <f>IFERROR(__xludf.DUMMYFUNCTION("""COMPUTED_VALUE"""),89000.0)</f>
        <v>89000</v>
      </c>
      <c r="I226" s="68">
        <f>IFERROR(__xludf.DUMMYFUNCTION("""COMPUTED_VALUE"""),1.0)</f>
        <v>1</v>
      </c>
      <c r="J226" s="68">
        <f>IFERROR(__xludf.DUMMYFUNCTION("""COMPUTED_VALUE"""),89000.0)</f>
        <v>89000</v>
      </c>
      <c r="K226" s="68">
        <f>IFERROR(__xludf.DUMMYFUNCTION("""COMPUTED_VALUE"""),89000.0)</f>
        <v>89000</v>
      </c>
      <c r="L226" s="1" t="str">
        <f>IFERROR(__xludf.DUMMYFUNCTION("""COMPUTED_VALUE"""),"T-Shirt")</f>
        <v>T-Shirt</v>
      </c>
    </row>
    <row r="227">
      <c r="A227" s="1" t="str">
        <f>IFERROR(__xludf.DUMMYFUNCTION("""COMPUTED_VALUE"""),"EF137867216884316")</f>
        <v>EF137867216884316</v>
      </c>
      <c r="B227" s="67">
        <f>IFERROR(__xludf.DUMMYFUNCTION("""COMPUTED_VALUE"""),45736.0)</f>
        <v>45736</v>
      </c>
      <c r="C227" s="1" t="str">
        <f>IFERROR(__xludf.DUMMYFUNCTION("""COMPUTED_VALUE"""),"SH002502227569")</f>
        <v>SH002502227569</v>
      </c>
      <c r="D227" s="1" t="str">
        <f>IFERROR(__xludf.DUMMYFUNCTION("""COMPUTED_VALUE"""),"JemputAja")</f>
        <v>JemputAja</v>
      </c>
      <c r="E227" s="1" t="str">
        <f>IFERROR(__xludf.DUMMYFUNCTION("""COMPUTED_VALUE"""),"Ahn Jeongwon")</f>
        <v>Ahn Jeongwon</v>
      </c>
      <c r="F227" s="1" t="str">
        <f>IFERROR(__xludf.DUMMYFUNCTION("""COMPUTED_VALUE"""),"Surabaya")</f>
        <v>Surabaya</v>
      </c>
      <c r="G227" s="1" t="str">
        <f>IFERROR(__xludf.DUMMYFUNCTION("""COMPUTED_VALUE"""),"Casual Sneakers White")</f>
        <v>Casual Sneakers White</v>
      </c>
      <c r="H227" s="68">
        <f>IFERROR(__xludf.DUMMYFUNCTION("""COMPUTED_VALUE"""),329000.0)</f>
        <v>329000</v>
      </c>
      <c r="I227" s="68">
        <f>IFERROR(__xludf.DUMMYFUNCTION("""COMPUTED_VALUE"""),1.0)</f>
        <v>1</v>
      </c>
      <c r="J227" s="68">
        <f>IFERROR(__xludf.DUMMYFUNCTION("""COMPUTED_VALUE"""),329000.0)</f>
        <v>329000</v>
      </c>
      <c r="K227" s="68">
        <f>IFERROR(__xludf.DUMMYFUNCTION("""COMPUTED_VALUE"""),329000.0)</f>
        <v>329000</v>
      </c>
      <c r="L227" s="1" t="str">
        <f>IFERROR(__xludf.DUMMYFUNCTION("""COMPUTED_VALUE"""),"Shoes")</f>
        <v>Shoes</v>
      </c>
    </row>
    <row r="228">
      <c r="A228" s="1" t="str">
        <f>IFERROR(__xludf.DUMMYFUNCTION("""COMPUTED_VALUE"""),"EF136237917290634")</f>
        <v>EF136237917290634</v>
      </c>
      <c r="B228" s="67">
        <f>IFERROR(__xludf.DUMMYFUNCTION("""COMPUTED_VALUE"""),45737.0)</f>
        <v>45737</v>
      </c>
      <c r="C228" s="1" t="str">
        <f>IFERROR(__xludf.DUMMYFUNCTION("""COMPUTED_VALUE"""),"SH000818577701")</f>
        <v>SH000818577701</v>
      </c>
      <c r="D228" s="1" t="str">
        <f>IFERROR(__xludf.DUMMYFUNCTION("""COMPUTED_VALUE"""),"JemputAja")</f>
        <v>JemputAja</v>
      </c>
      <c r="E228" s="1" t="str">
        <f>IFERROR(__xludf.DUMMYFUNCTION("""COMPUTED_VALUE"""),"Nacho")</f>
        <v>Nacho</v>
      </c>
      <c r="F228" s="1" t="str">
        <f>IFERROR(__xludf.DUMMYFUNCTION("""COMPUTED_VALUE"""),"Jakarta")</f>
        <v>Jakarta</v>
      </c>
      <c r="G228" s="1" t="str">
        <f>IFERROR(__xludf.DUMMYFUNCTION("""COMPUTED_VALUE"""),"Basic T-Shirt Army")</f>
        <v>Basic T-Shirt Army</v>
      </c>
      <c r="H228" s="68">
        <f>IFERROR(__xludf.DUMMYFUNCTION("""COMPUTED_VALUE"""),89000.0)</f>
        <v>89000</v>
      </c>
      <c r="I228" s="68">
        <f>IFERROR(__xludf.DUMMYFUNCTION("""COMPUTED_VALUE"""),2.0)</f>
        <v>2</v>
      </c>
      <c r="J228" s="68">
        <f>IFERROR(__xludf.DUMMYFUNCTION("""COMPUTED_VALUE"""),178000.0)</f>
        <v>178000</v>
      </c>
      <c r="K228" s="68">
        <f>IFERROR(__xludf.DUMMYFUNCTION("""COMPUTED_VALUE"""),178000.0)</f>
        <v>178000</v>
      </c>
      <c r="L228" s="1" t="str">
        <f>IFERROR(__xludf.DUMMYFUNCTION("""COMPUTED_VALUE"""),"T-Shirt")</f>
        <v>T-Shirt</v>
      </c>
    </row>
    <row r="229">
      <c r="A229" s="1" t="str">
        <f>IFERROR(__xludf.DUMMYFUNCTION("""COMPUTED_VALUE"""),"EF137907198377212")</f>
        <v>EF137907198377212</v>
      </c>
      <c r="B229" s="67">
        <f>IFERROR(__xludf.DUMMYFUNCTION("""COMPUTED_VALUE"""),45737.0)</f>
        <v>45737</v>
      </c>
      <c r="C229" s="1" t="str">
        <f>IFERROR(__xludf.DUMMYFUNCTION("""COMPUTED_VALUE"""),"SHJP8663070422")</f>
        <v>SHJP8663070422</v>
      </c>
      <c r="D229" s="1" t="str">
        <f>IFERROR(__xludf.DUMMYFUNCTION("""COMPUTED_VALUE"""),"J&amp;G Compress")</f>
        <v>J&amp;G Compress</v>
      </c>
      <c r="E229" s="1" t="str">
        <f>IFERROR(__xludf.DUMMYFUNCTION("""COMPUTED_VALUE"""),"Ahn Jeongwon")</f>
        <v>Ahn Jeongwon</v>
      </c>
      <c r="F229" s="1" t="str">
        <f>IFERROR(__xludf.DUMMYFUNCTION("""COMPUTED_VALUE"""),"Surabaya")</f>
        <v>Surabaya</v>
      </c>
      <c r="G229" s="1" t="str">
        <f>IFERROR(__xludf.DUMMYFUNCTION("""COMPUTED_VALUE"""),"Basic T-Shirt Black")</f>
        <v>Basic T-Shirt Black</v>
      </c>
      <c r="H229" s="68">
        <f>IFERROR(__xludf.DUMMYFUNCTION("""COMPUTED_VALUE"""),89000.0)</f>
        <v>89000</v>
      </c>
      <c r="I229" s="68">
        <f>IFERROR(__xludf.DUMMYFUNCTION("""COMPUTED_VALUE"""),1.0)</f>
        <v>1</v>
      </c>
      <c r="J229" s="68">
        <f>IFERROR(__xludf.DUMMYFUNCTION("""COMPUTED_VALUE"""),89000.0)</f>
        <v>89000</v>
      </c>
      <c r="K229" s="68">
        <f>IFERROR(__xludf.DUMMYFUNCTION("""COMPUTED_VALUE"""),89000.0)</f>
        <v>89000</v>
      </c>
      <c r="L229" s="1" t="str">
        <f>IFERROR(__xludf.DUMMYFUNCTION("""COMPUTED_VALUE"""),"T-Shirt")</f>
        <v>T-Shirt</v>
      </c>
    </row>
    <row r="230">
      <c r="A230" s="1" t="str">
        <f>IFERROR(__xludf.DUMMYFUNCTION("""COMPUTED_VALUE"""),"EF136277426286649")</f>
        <v>EF136277426286649</v>
      </c>
      <c r="B230" s="67">
        <f>IFERROR(__xludf.DUMMYFUNCTION("""COMPUTED_VALUE"""),45738.0)</f>
        <v>45738</v>
      </c>
      <c r="C230" s="1" t="str">
        <f>IFERROR(__xludf.DUMMYFUNCTION("""COMPUTED_VALUE"""),"SH002500179706")</f>
        <v>SH002500179706</v>
      </c>
      <c r="D230" s="1" t="str">
        <f>IFERROR(__xludf.DUMMYFUNCTION("""COMPUTED_VALUE"""),"JemputAja")</f>
        <v>JemputAja</v>
      </c>
      <c r="E230" s="1" t="str">
        <f>IFERROR(__xludf.DUMMYFUNCTION("""COMPUTED_VALUE"""),"Eden Hazard")</f>
        <v>Eden Hazard</v>
      </c>
      <c r="F230" s="1" t="str">
        <f>IFERROR(__xludf.DUMMYFUNCTION("""COMPUTED_VALUE"""),"Jakarta")</f>
        <v>Jakarta</v>
      </c>
      <c r="G230" s="1" t="str">
        <f>IFERROR(__xludf.DUMMYFUNCTION("""COMPUTED_VALUE"""),"Basic Hoodie - White")</f>
        <v>Basic Hoodie - White</v>
      </c>
      <c r="H230" s="68">
        <f>IFERROR(__xludf.DUMMYFUNCTION("""COMPUTED_VALUE"""),189000.0)</f>
        <v>189000</v>
      </c>
      <c r="I230" s="68">
        <f>IFERROR(__xludf.DUMMYFUNCTION("""COMPUTED_VALUE"""),1.0)</f>
        <v>1</v>
      </c>
      <c r="J230" s="68">
        <f>IFERROR(__xludf.DUMMYFUNCTION("""COMPUTED_VALUE"""),189000.0)</f>
        <v>189000</v>
      </c>
      <c r="K230" s="68">
        <f>IFERROR(__xludf.DUMMYFUNCTION("""COMPUTED_VALUE"""),189000.0)</f>
        <v>189000</v>
      </c>
      <c r="L230" s="1" t="str">
        <f>IFERROR(__xludf.DUMMYFUNCTION("""COMPUTED_VALUE"""),"Jacket")</f>
        <v>Jacket</v>
      </c>
    </row>
    <row r="231">
      <c r="A231" s="1" t="str">
        <f>IFERROR(__xludf.DUMMYFUNCTION("""COMPUTED_VALUE"""),"EF137947191464741")</f>
        <v>EF137947191464741</v>
      </c>
      <c r="B231" s="67">
        <f>IFERROR(__xludf.DUMMYFUNCTION("""COMPUTED_VALUE"""),45738.0)</f>
        <v>45738</v>
      </c>
      <c r="C231" s="1" t="str">
        <f>IFERROR(__xludf.DUMMYFUNCTION("""COMPUTED_VALUE"""),"SHJP8663070423")</f>
        <v>SHJP8663070423</v>
      </c>
      <c r="D231" s="1" t="str">
        <f>IFERROR(__xludf.DUMMYFUNCTION("""COMPUTED_VALUE"""),"J&amp;G Compress")</f>
        <v>J&amp;G Compress</v>
      </c>
      <c r="E231" s="1" t="str">
        <f>IFERROR(__xludf.DUMMYFUNCTION("""COMPUTED_VALUE"""),"Rodri")</f>
        <v>Rodri</v>
      </c>
      <c r="F231" s="1" t="str">
        <f>IFERROR(__xludf.DUMMYFUNCTION("""COMPUTED_VALUE"""),"Surabaya")</f>
        <v>Surabaya</v>
      </c>
      <c r="G231" s="1" t="str">
        <f>IFERROR(__xludf.DUMMYFUNCTION("""COMPUTED_VALUE"""),"Basic T-Shirt White")</f>
        <v>Basic T-Shirt White</v>
      </c>
      <c r="H231" s="68">
        <f>IFERROR(__xludf.DUMMYFUNCTION("""COMPUTED_VALUE"""),89000.0)</f>
        <v>89000</v>
      </c>
      <c r="I231" s="68">
        <f>IFERROR(__xludf.DUMMYFUNCTION("""COMPUTED_VALUE"""),1.0)</f>
        <v>1</v>
      </c>
      <c r="J231" s="68">
        <f>IFERROR(__xludf.DUMMYFUNCTION("""COMPUTED_VALUE"""),89000.0)</f>
        <v>89000</v>
      </c>
      <c r="K231" s="68">
        <f>IFERROR(__xludf.DUMMYFUNCTION("""COMPUTED_VALUE"""),89000.0)</f>
        <v>89000</v>
      </c>
      <c r="L231" s="1" t="str">
        <f>IFERROR(__xludf.DUMMYFUNCTION("""COMPUTED_VALUE"""),"T-Shirt")</f>
        <v>T-Shirt</v>
      </c>
    </row>
    <row r="232">
      <c r="A232" s="1" t="str">
        <f>IFERROR(__xludf.DUMMYFUNCTION("""COMPUTED_VALUE"""),"EF136316946740272")</f>
        <v>EF136316946740272</v>
      </c>
      <c r="B232" s="67">
        <f>IFERROR(__xludf.DUMMYFUNCTION("""COMPUTED_VALUE"""),45739.0)</f>
        <v>45739</v>
      </c>
      <c r="C232" s="1" t="str">
        <f>IFERROR(__xludf.DUMMYFUNCTION("""COMPUTED_VALUE"""),"SH000818333860")</f>
        <v>SH000818333860</v>
      </c>
      <c r="D232" s="1" t="str">
        <f>IFERROR(__xludf.DUMMYFUNCTION("""COMPUTED_VALUE"""),"SiLumayanCepat")</f>
        <v>SiLumayanCepat</v>
      </c>
      <c r="E232" s="1" t="str">
        <f>IFERROR(__xludf.DUMMYFUNCTION("""COMPUTED_VALUE"""),"Toni Kroos")</f>
        <v>Toni Kroos</v>
      </c>
      <c r="F232" s="1" t="str">
        <f>IFERROR(__xludf.DUMMYFUNCTION("""COMPUTED_VALUE"""),"Jakarta")</f>
        <v>Jakarta</v>
      </c>
      <c r="G232" s="1" t="str">
        <f>IFERROR(__xludf.DUMMYFUNCTION("""COMPUTED_VALUE"""),"Basic Shirt - Black")</f>
        <v>Basic Shirt - Black</v>
      </c>
      <c r="H232" s="68">
        <f>IFERROR(__xludf.DUMMYFUNCTION("""COMPUTED_VALUE"""),129000.0)</f>
        <v>129000</v>
      </c>
      <c r="I232" s="68">
        <f>IFERROR(__xludf.DUMMYFUNCTION("""COMPUTED_VALUE"""),1.0)</f>
        <v>1</v>
      </c>
      <c r="J232" s="68">
        <f>IFERROR(__xludf.DUMMYFUNCTION("""COMPUTED_VALUE"""),129000.0)</f>
        <v>129000</v>
      </c>
      <c r="K232" s="68">
        <f>IFERROR(__xludf.DUMMYFUNCTION("""COMPUTED_VALUE"""),129000.0)</f>
        <v>129000</v>
      </c>
      <c r="L232" s="1" t="str">
        <f>IFERROR(__xludf.DUMMYFUNCTION("""COMPUTED_VALUE"""),"Shirt")</f>
        <v>Shirt</v>
      </c>
    </row>
    <row r="233">
      <c r="A233" s="1" t="str">
        <f>IFERROR(__xludf.DUMMYFUNCTION("""COMPUTED_VALUE"""),"EF137987196150266")</f>
        <v>EF137987196150266</v>
      </c>
      <c r="B233" s="67">
        <f>IFERROR(__xludf.DUMMYFUNCTION("""COMPUTED_VALUE"""),45739.0)</f>
        <v>45739</v>
      </c>
      <c r="C233" s="1" t="str">
        <f>IFERROR(__xludf.DUMMYFUNCTION("""COMPUTED_VALUE"""),"SH002502130273")</f>
        <v>SH002502130273</v>
      </c>
      <c r="D233" s="1" t="str">
        <f>IFERROR(__xludf.DUMMYFUNCTION("""COMPUTED_VALUE"""),"SiLumayanCepat")</f>
        <v>SiLumayanCepat</v>
      </c>
      <c r="E233" s="1" t="str">
        <f>IFERROR(__xludf.DUMMYFUNCTION("""COMPUTED_VALUE"""),"Kevin De Bruyne")</f>
        <v>Kevin De Bruyne</v>
      </c>
      <c r="F233" s="1" t="str">
        <f>IFERROR(__xludf.DUMMYFUNCTION("""COMPUTED_VALUE"""),"Surabaya")</f>
        <v>Surabaya</v>
      </c>
      <c r="G233" s="1" t="str">
        <f>IFERROR(__xludf.DUMMYFUNCTION("""COMPUTED_VALUE"""),"Basic T-Shirt Navy")</f>
        <v>Basic T-Shirt Navy</v>
      </c>
      <c r="H233" s="68">
        <f>IFERROR(__xludf.DUMMYFUNCTION("""COMPUTED_VALUE"""),89000.0)</f>
        <v>89000</v>
      </c>
      <c r="I233" s="68">
        <f>IFERROR(__xludf.DUMMYFUNCTION("""COMPUTED_VALUE"""),2.0)</f>
        <v>2</v>
      </c>
      <c r="J233" s="68">
        <f>IFERROR(__xludf.DUMMYFUNCTION("""COMPUTED_VALUE"""),178000.0)</f>
        <v>178000</v>
      </c>
      <c r="K233" s="68">
        <f>IFERROR(__xludf.DUMMYFUNCTION("""COMPUTED_VALUE"""),178000.0)</f>
        <v>178000</v>
      </c>
      <c r="L233" s="1" t="str">
        <f>IFERROR(__xludf.DUMMYFUNCTION("""COMPUTED_VALUE"""),"T-Shirt")</f>
        <v>T-Shirt</v>
      </c>
    </row>
    <row r="234">
      <c r="A234" s="1" t="str">
        <f>IFERROR(__xludf.DUMMYFUNCTION("""COMPUTED_VALUE"""),"EF136356478654826")</f>
        <v>EF136356478654826</v>
      </c>
      <c r="B234" s="67">
        <f>IFERROR(__xludf.DUMMYFUNCTION("""COMPUTED_VALUE"""),45740.0)</f>
        <v>45740</v>
      </c>
      <c r="C234" s="1" t="str">
        <f>IFERROR(__xludf.DUMMYFUNCTION("""COMPUTED_VALUE"""),"SH000818369116")</f>
        <v>SH000818369116</v>
      </c>
      <c r="D234" s="1" t="str">
        <f>IFERROR(__xludf.DUMMYFUNCTION("""COMPUTED_VALUE"""),"SiLumayanCepat")</f>
        <v>SiLumayanCepat</v>
      </c>
      <c r="E234" s="1" t="str">
        <f>IFERROR(__xludf.DUMMYFUNCTION("""COMPUTED_VALUE"""),"Karim Benzema")</f>
        <v>Karim Benzema</v>
      </c>
      <c r="F234" s="1" t="str">
        <f>IFERROR(__xludf.DUMMYFUNCTION("""COMPUTED_VALUE"""),"Jakarta")</f>
        <v>Jakarta</v>
      </c>
      <c r="G234" s="1" t="str">
        <f>IFERROR(__xludf.DUMMYFUNCTION("""COMPUTED_VALUE"""),"Basic Shirt - Grey")</f>
        <v>Basic Shirt - Grey</v>
      </c>
      <c r="H234" s="68">
        <f>IFERROR(__xludf.DUMMYFUNCTION("""COMPUTED_VALUE"""),129000.0)</f>
        <v>129000</v>
      </c>
      <c r="I234" s="68">
        <f>IFERROR(__xludf.DUMMYFUNCTION("""COMPUTED_VALUE"""),1.0)</f>
        <v>1</v>
      </c>
      <c r="J234" s="68">
        <f>IFERROR(__xludf.DUMMYFUNCTION("""COMPUTED_VALUE"""),129000.0)</f>
        <v>129000</v>
      </c>
      <c r="K234" s="68">
        <f>IFERROR(__xludf.DUMMYFUNCTION("""COMPUTED_VALUE"""),129000.0)</f>
        <v>129000</v>
      </c>
      <c r="L234" s="1" t="str">
        <f>IFERROR(__xludf.DUMMYFUNCTION("""COMPUTED_VALUE"""),"Shirt")</f>
        <v>Shirt</v>
      </c>
    </row>
    <row r="235">
      <c r="A235" s="1" t="str">
        <f>IFERROR(__xludf.DUMMYFUNCTION("""COMPUTED_VALUE"""),"EF138027212437150")</f>
        <v>EF138027212437150</v>
      </c>
      <c r="B235" s="67">
        <f>IFERROR(__xludf.DUMMYFUNCTION("""COMPUTED_VALUE"""),45740.0)</f>
        <v>45740</v>
      </c>
      <c r="C235" s="1" t="str">
        <f>IFERROR(__xludf.DUMMYFUNCTION("""COMPUTED_VALUE"""),"SHJP5911196396")</f>
        <v>SHJP5911196396</v>
      </c>
      <c r="D235" s="1" t="str">
        <f>IFERROR(__xludf.DUMMYFUNCTION("""COMPUTED_VALUE"""),"J&amp;T Economy")</f>
        <v>J&amp;T Economy</v>
      </c>
      <c r="E235" s="1" t="str">
        <f>IFERROR(__xludf.DUMMYFUNCTION("""COMPUTED_VALUE"""),"Bernardo Silva")</f>
        <v>Bernardo Silva</v>
      </c>
      <c r="F235" s="1" t="str">
        <f>IFERROR(__xludf.DUMMYFUNCTION("""COMPUTED_VALUE"""),"Surabaya")</f>
        <v>Surabaya</v>
      </c>
      <c r="G235" s="1" t="str">
        <f>IFERROR(__xludf.DUMMYFUNCTION("""COMPUTED_VALUE"""),"Basic T-Shirt Maroon")</f>
        <v>Basic T-Shirt Maroon</v>
      </c>
      <c r="H235" s="68">
        <f>IFERROR(__xludf.DUMMYFUNCTION("""COMPUTED_VALUE"""),89000.0)</f>
        <v>89000</v>
      </c>
      <c r="I235" s="68">
        <f>IFERROR(__xludf.DUMMYFUNCTION("""COMPUTED_VALUE"""),1.0)</f>
        <v>1</v>
      </c>
      <c r="J235" s="68">
        <f>IFERROR(__xludf.DUMMYFUNCTION("""COMPUTED_VALUE"""),89000.0)</f>
        <v>89000</v>
      </c>
      <c r="K235" s="68">
        <f>IFERROR(__xludf.DUMMYFUNCTION("""COMPUTED_VALUE"""),89000.0)</f>
        <v>89000</v>
      </c>
      <c r="L235" s="1" t="str">
        <f>IFERROR(__xludf.DUMMYFUNCTION("""COMPUTED_VALUE"""),"T-Shirt")</f>
        <v>T-Shirt</v>
      </c>
    </row>
    <row r="236">
      <c r="A236" s="1" t="str">
        <f>IFERROR(__xludf.DUMMYFUNCTION("""COMPUTED_VALUE"""),"EF136396022033636")</f>
        <v>EF136396022033636</v>
      </c>
      <c r="B236" s="67">
        <f>IFERROR(__xludf.DUMMYFUNCTION("""COMPUTED_VALUE"""),45741.0)</f>
        <v>45741</v>
      </c>
      <c r="C236" s="1" t="str">
        <f>IFERROR(__xludf.DUMMYFUNCTION("""COMPUTED_VALUE"""),"SHJP7767666102")</f>
        <v>SHJP7767666102</v>
      </c>
      <c r="D236" s="1" t="str">
        <f>IFERROR(__xludf.DUMMYFUNCTION("""COMPUTED_VALUE"""),"J&amp;G Compress")</f>
        <v>J&amp;G Compress</v>
      </c>
      <c r="E236" s="1" t="str">
        <f>IFERROR(__xludf.DUMMYFUNCTION("""COMPUTED_VALUE"""),"Luka Modrić")</f>
        <v>Luka Modrić</v>
      </c>
      <c r="F236" s="1" t="str">
        <f>IFERROR(__xludf.DUMMYFUNCTION("""COMPUTED_VALUE"""),"Jakarta")</f>
        <v>Jakarta</v>
      </c>
      <c r="G236" s="1" t="str">
        <f>IFERROR(__xludf.DUMMYFUNCTION("""COMPUTED_VALUE"""),"Basic Shirt - Navy")</f>
        <v>Basic Shirt - Navy</v>
      </c>
      <c r="H236" s="68">
        <f>IFERROR(__xludf.DUMMYFUNCTION("""COMPUTED_VALUE"""),129000.0)</f>
        <v>129000</v>
      </c>
      <c r="I236" s="68">
        <f>IFERROR(__xludf.DUMMYFUNCTION("""COMPUTED_VALUE"""),1.0)</f>
        <v>1</v>
      </c>
      <c r="J236" s="68">
        <f>IFERROR(__xludf.DUMMYFUNCTION("""COMPUTED_VALUE"""),129000.0)</f>
        <v>129000</v>
      </c>
      <c r="K236" s="68">
        <f>IFERROR(__xludf.DUMMYFUNCTION("""COMPUTED_VALUE"""),129000.0)</f>
        <v>129000</v>
      </c>
      <c r="L236" s="1" t="str">
        <f>IFERROR(__xludf.DUMMYFUNCTION("""COMPUTED_VALUE"""),"Shirt")</f>
        <v>Shirt</v>
      </c>
    </row>
    <row r="237">
      <c r="A237" s="1" t="str">
        <f>IFERROR(__xludf.DUMMYFUNCTION("""COMPUTED_VALUE"""),"EF138067240328759")</f>
        <v>EF138067240328759</v>
      </c>
      <c r="B237" s="67">
        <f>IFERROR(__xludf.DUMMYFUNCTION("""COMPUTED_VALUE"""),45741.0)</f>
        <v>45741</v>
      </c>
      <c r="C237" s="1" t="str">
        <f>IFERROR(__xludf.DUMMYFUNCTION("""COMPUTED_VALUE"""),"SH002502299073")</f>
        <v>SH002502299073</v>
      </c>
      <c r="D237" s="1" t="str">
        <f>IFERROR(__xludf.DUMMYFUNCTION("""COMPUTED_VALUE"""),"SiLumayanCepat")</f>
        <v>SiLumayanCepat</v>
      </c>
      <c r="E237" s="1" t="str">
        <f>IFERROR(__xludf.DUMMYFUNCTION("""COMPUTED_VALUE"""),"Ferran Torres")</f>
        <v>Ferran Torres</v>
      </c>
      <c r="F237" s="1" t="str">
        <f>IFERROR(__xludf.DUMMYFUNCTION("""COMPUTED_VALUE"""),"Surabaya")</f>
        <v>Surabaya</v>
      </c>
      <c r="G237" s="1" t="str">
        <f>IFERROR(__xludf.DUMMYFUNCTION("""COMPUTED_VALUE"""),"Basic T-Shirt Grey")</f>
        <v>Basic T-Shirt Grey</v>
      </c>
      <c r="H237" s="68">
        <f>IFERROR(__xludf.DUMMYFUNCTION("""COMPUTED_VALUE"""),89000.0)</f>
        <v>89000</v>
      </c>
      <c r="I237" s="68">
        <f>IFERROR(__xludf.DUMMYFUNCTION("""COMPUTED_VALUE"""),1.0)</f>
        <v>1</v>
      </c>
      <c r="J237" s="68">
        <f>IFERROR(__xludf.DUMMYFUNCTION("""COMPUTED_VALUE"""),89000.0)</f>
        <v>89000</v>
      </c>
      <c r="K237" s="68">
        <f>IFERROR(__xludf.DUMMYFUNCTION("""COMPUTED_VALUE"""),89000.0)</f>
        <v>89000</v>
      </c>
      <c r="L237" s="1" t="str">
        <f>IFERROR(__xludf.DUMMYFUNCTION("""COMPUTED_VALUE"""),"T-Shirt")</f>
        <v>T-Shirt</v>
      </c>
    </row>
    <row r="238">
      <c r="A238" s="1" t="str">
        <f>IFERROR(__xludf.DUMMYFUNCTION("""COMPUTED_VALUE"""),"EF136435576880026")</f>
        <v>EF136435576880026</v>
      </c>
      <c r="B238" s="67">
        <f>IFERROR(__xludf.DUMMYFUNCTION("""COMPUTED_VALUE"""),45742.0)</f>
        <v>45742</v>
      </c>
      <c r="C238" s="1" t="str">
        <f>IFERROR(__xludf.DUMMYFUNCTION("""COMPUTED_VALUE"""),"SH000818208737")</f>
        <v>SH000818208737</v>
      </c>
      <c r="D238" s="1" t="str">
        <f>IFERROR(__xludf.DUMMYFUNCTION("""COMPUTED_VALUE"""),"SiLumayanCepat")</f>
        <v>SiLumayanCepat</v>
      </c>
      <c r="E238" s="1" t="str">
        <f>IFERROR(__xludf.DUMMYFUNCTION("""COMPUTED_VALUE"""),"Marco Asensio")</f>
        <v>Marco Asensio</v>
      </c>
      <c r="F238" s="1" t="str">
        <f>IFERROR(__xludf.DUMMYFUNCTION("""COMPUTED_VALUE"""),"Jakarta")</f>
        <v>Jakarta</v>
      </c>
      <c r="G238" s="1" t="str">
        <f>IFERROR(__xludf.DUMMYFUNCTION("""COMPUTED_VALUE"""),"Basic Shirt - White")</f>
        <v>Basic Shirt - White</v>
      </c>
      <c r="H238" s="68">
        <f>IFERROR(__xludf.DUMMYFUNCTION("""COMPUTED_VALUE"""),129000.0)</f>
        <v>129000</v>
      </c>
      <c r="I238" s="68">
        <f>IFERROR(__xludf.DUMMYFUNCTION("""COMPUTED_VALUE"""),1.0)</f>
        <v>1</v>
      </c>
      <c r="J238" s="68">
        <f>IFERROR(__xludf.DUMMYFUNCTION("""COMPUTED_VALUE"""),129000.0)</f>
        <v>129000</v>
      </c>
      <c r="K238" s="68">
        <f>IFERROR(__xludf.DUMMYFUNCTION("""COMPUTED_VALUE"""),304000.0)</f>
        <v>304000</v>
      </c>
      <c r="L238" s="1" t="str">
        <f>IFERROR(__xludf.DUMMYFUNCTION("""COMPUTED_VALUE"""),"Shirt")</f>
        <v>Shirt</v>
      </c>
    </row>
    <row r="239">
      <c r="A239" s="1" t="str">
        <f>IFERROR(__xludf.DUMMYFUNCTION("""COMPUTED_VALUE"""),"EF136435576880026")</f>
        <v>EF136435576880026</v>
      </c>
      <c r="B239" s="67">
        <f>IFERROR(__xludf.DUMMYFUNCTION("""COMPUTED_VALUE"""),45742.0)</f>
        <v>45742</v>
      </c>
      <c r="C239" s="1" t="str">
        <f>IFERROR(__xludf.DUMMYFUNCTION("""COMPUTED_VALUE"""),"SH000818208737")</f>
        <v>SH000818208737</v>
      </c>
      <c r="D239" s="1" t="str">
        <f>IFERROR(__xludf.DUMMYFUNCTION("""COMPUTED_VALUE"""),"SiLumayanCepat")</f>
        <v>SiLumayanCepat</v>
      </c>
      <c r="E239" s="1" t="str">
        <f>IFERROR(__xludf.DUMMYFUNCTION("""COMPUTED_VALUE"""),"Marco Asensio")</f>
        <v>Marco Asensio</v>
      </c>
      <c r="F239" s="1" t="str">
        <f>IFERROR(__xludf.DUMMYFUNCTION("""COMPUTED_VALUE"""),"Jakarta")</f>
        <v>Jakarta</v>
      </c>
      <c r="G239" s="1" t="str">
        <f>IFERROR(__xludf.DUMMYFUNCTION("""COMPUTED_VALUE"""),"Chino Pants - Grey")</f>
        <v>Chino Pants - Grey</v>
      </c>
      <c r="H239" s="68">
        <f>IFERROR(__xludf.DUMMYFUNCTION("""COMPUTED_VALUE"""),175000.0)</f>
        <v>175000</v>
      </c>
      <c r="I239" s="68">
        <f>IFERROR(__xludf.DUMMYFUNCTION("""COMPUTED_VALUE"""),1.0)</f>
        <v>1</v>
      </c>
      <c r="J239" s="68">
        <f>IFERROR(__xludf.DUMMYFUNCTION("""COMPUTED_VALUE"""),175000.0)</f>
        <v>175000</v>
      </c>
      <c r="K239" s="68">
        <f>IFERROR(__xludf.DUMMYFUNCTION("""COMPUTED_VALUE"""),304000.0)</f>
        <v>304000</v>
      </c>
      <c r="L239" s="1" t="str">
        <f>IFERROR(__xludf.DUMMYFUNCTION("""COMPUTED_VALUE"""),"Pants")</f>
        <v>Pants</v>
      </c>
    </row>
    <row r="240">
      <c r="A240" s="1" t="str">
        <f>IFERROR(__xludf.DUMMYFUNCTION("""COMPUTED_VALUE"""),"EF138067240328756")</f>
        <v>EF138067240328756</v>
      </c>
      <c r="B240" s="67">
        <f>IFERROR(__xludf.DUMMYFUNCTION("""COMPUTED_VALUE"""),45742.0)</f>
        <v>45742</v>
      </c>
      <c r="C240" s="1" t="str">
        <f>IFERROR(__xludf.DUMMYFUNCTION("""COMPUTED_VALUE"""),"SH002502299073")</f>
        <v>SH002502299073</v>
      </c>
      <c r="D240" s="1" t="str">
        <f>IFERROR(__xludf.DUMMYFUNCTION("""COMPUTED_VALUE"""),"SiLumayanCepat")</f>
        <v>SiLumayanCepat</v>
      </c>
      <c r="E240" s="1" t="str">
        <f>IFERROR(__xludf.DUMMYFUNCTION("""COMPUTED_VALUE"""),"Kang Lotre")</f>
        <v>Kang Lotre</v>
      </c>
      <c r="F240" s="1" t="str">
        <f>IFERROR(__xludf.DUMMYFUNCTION("""COMPUTED_VALUE"""),"Surabaya")</f>
        <v>Surabaya</v>
      </c>
      <c r="G240" s="1" t="str">
        <f>IFERROR(__xludf.DUMMYFUNCTION("""COMPUTED_VALUE"""),"Basic T-Shirt Army")</f>
        <v>Basic T-Shirt Army</v>
      </c>
      <c r="H240" s="68">
        <f>IFERROR(__xludf.DUMMYFUNCTION("""COMPUTED_VALUE"""),89000.0)</f>
        <v>89000</v>
      </c>
      <c r="I240" s="68">
        <f>IFERROR(__xludf.DUMMYFUNCTION("""COMPUTED_VALUE"""),3.0)</f>
        <v>3</v>
      </c>
      <c r="J240" s="68">
        <f>IFERROR(__xludf.DUMMYFUNCTION("""COMPUTED_VALUE"""),267000.0)</f>
        <v>267000</v>
      </c>
      <c r="K240" s="68">
        <f>IFERROR(__xludf.DUMMYFUNCTION("""COMPUTED_VALUE"""),496000.0)</f>
        <v>496000</v>
      </c>
      <c r="L240" s="1" t="str">
        <f>IFERROR(__xludf.DUMMYFUNCTION("""COMPUTED_VALUE"""),"T-Shirt")</f>
        <v>T-Shirt</v>
      </c>
    </row>
    <row r="241">
      <c r="A241" s="1" t="str">
        <f>IFERROR(__xludf.DUMMYFUNCTION("""COMPUTED_VALUE"""),"EF138067240328756")</f>
        <v>EF138067240328756</v>
      </c>
      <c r="B241" s="67">
        <f>IFERROR(__xludf.DUMMYFUNCTION("""COMPUTED_VALUE"""),45742.0)</f>
        <v>45742</v>
      </c>
      <c r="C241" s="1" t="str">
        <f>IFERROR(__xludf.DUMMYFUNCTION("""COMPUTED_VALUE"""),"SH002502299073")</f>
        <v>SH002502299073</v>
      </c>
      <c r="D241" s="1" t="str">
        <f>IFERROR(__xludf.DUMMYFUNCTION("""COMPUTED_VALUE"""),"SiLumayanCepat")</f>
        <v>SiLumayanCepat</v>
      </c>
      <c r="E241" s="1" t="str">
        <f>IFERROR(__xludf.DUMMYFUNCTION("""COMPUTED_VALUE"""),"Kang Lotre")</f>
        <v>Kang Lotre</v>
      </c>
      <c r="F241" s="1" t="str">
        <f>IFERROR(__xludf.DUMMYFUNCTION("""COMPUTED_VALUE"""),"Surabaya")</f>
        <v>Surabaya</v>
      </c>
      <c r="G241" s="1" t="str">
        <f>IFERROR(__xludf.DUMMYFUNCTION("""COMPUTED_VALUE"""),"Linen Shirt - Slimfit - Navy")</f>
        <v>Linen Shirt - Slimfit - Navy</v>
      </c>
      <c r="H241" s="68">
        <f>IFERROR(__xludf.DUMMYFUNCTION("""COMPUTED_VALUE"""),229000.0)</f>
        <v>229000</v>
      </c>
      <c r="I241" s="68">
        <f>IFERROR(__xludf.DUMMYFUNCTION("""COMPUTED_VALUE"""),1.0)</f>
        <v>1</v>
      </c>
      <c r="J241" s="68">
        <f>IFERROR(__xludf.DUMMYFUNCTION("""COMPUTED_VALUE"""),229000.0)</f>
        <v>229000</v>
      </c>
      <c r="K241" s="68">
        <f>IFERROR(__xludf.DUMMYFUNCTION("""COMPUTED_VALUE"""),496000.0)</f>
        <v>496000</v>
      </c>
      <c r="L241" s="1" t="str">
        <f>IFERROR(__xludf.DUMMYFUNCTION("""COMPUTED_VALUE"""),"Shirt")</f>
        <v>Shirt</v>
      </c>
    </row>
    <row r="242">
      <c r="A242" s="1" t="str">
        <f>IFERROR(__xludf.DUMMYFUNCTION("""COMPUTED_VALUE"""),"EF136514720988848")</f>
        <v>EF136514720988848</v>
      </c>
      <c r="B242" s="67">
        <f>IFERROR(__xludf.DUMMYFUNCTION("""COMPUTED_VALUE"""),45744.0)</f>
        <v>45744</v>
      </c>
      <c r="C242" s="1" t="str">
        <f>IFERROR(__xludf.DUMMYFUNCTION("""COMPUTED_VALUE"""),"SHJP3057272060")</f>
        <v>SHJP3057272060</v>
      </c>
      <c r="D242" s="1" t="str">
        <f>IFERROR(__xludf.DUMMYFUNCTION("""COMPUTED_VALUE"""),"J&amp;G Compress")</f>
        <v>J&amp;G Compress</v>
      </c>
      <c r="E242" s="1" t="str">
        <f>IFERROR(__xludf.DUMMYFUNCTION("""COMPUTED_VALUE"""),"Andriy Lunin")</f>
        <v>Andriy Lunin</v>
      </c>
      <c r="F242" s="1" t="str">
        <f>IFERROR(__xludf.DUMMYFUNCTION("""COMPUTED_VALUE"""),"Bandung")</f>
        <v>Bandung</v>
      </c>
      <c r="G242" s="1" t="str">
        <f>IFERROR(__xludf.DUMMYFUNCTION("""COMPUTED_VALUE"""),"Chino Pants - Khaki")</f>
        <v>Chino Pants - Khaki</v>
      </c>
      <c r="H242" s="68">
        <f>IFERROR(__xludf.DUMMYFUNCTION("""COMPUTED_VALUE"""),175000.0)</f>
        <v>175000</v>
      </c>
      <c r="I242" s="68">
        <f>IFERROR(__xludf.DUMMYFUNCTION("""COMPUTED_VALUE"""),1.0)</f>
        <v>1</v>
      </c>
      <c r="J242" s="68">
        <f>IFERROR(__xludf.DUMMYFUNCTION("""COMPUTED_VALUE"""),175000.0)</f>
        <v>175000</v>
      </c>
      <c r="K242" s="68">
        <f>IFERROR(__xludf.DUMMYFUNCTION("""COMPUTED_VALUE"""),175000.0)</f>
        <v>175000</v>
      </c>
      <c r="L242" s="1" t="str">
        <f>IFERROR(__xludf.DUMMYFUNCTION("""COMPUTED_VALUE"""),"Pants")</f>
        <v>Pants</v>
      </c>
    </row>
    <row r="243">
      <c r="A243" s="1" t="str">
        <f>IFERROR(__xludf.DUMMYFUNCTION("""COMPUTED_VALUE"""),"EF138187393665575")</f>
        <v>EF138187393665575</v>
      </c>
      <c r="B243" s="67">
        <f>IFERROR(__xludf.DUMMYFUNCTION("""COMPUTED_VALUE"""),45744.0)</f>
        <v>45744</v>
      </c>
      <c r="C243" s="1" t="str">
        <f>IFERROR(__xludf.DUMMYFUNCTION("""COMPUTED_VALUE"""),"SH002502294171")</f>
        <v>SH002502294171</v>
      </c>
      <c r="D243" s="1" t="str">
        <f>IFERROR(__xludf.DUMMYFUNCTION("""COMPUTED_VALUE"""),"SiLumayanCepat")</f>
        <v>SiLumayanCepat</v>
      </c>
      <c r="E243" s="1" t="str">
        <f>IFERROR(__xludf.DUMMYFUNCTION("""COMPUTED_VALUE"""),"Moussa Wagué")</f>
        <v>Moussa Wagué</v>
      </c>
      <c r="F243" s="1" t="str">
        <f>IFERROR(__xludf.DUMMYFUNCTION("""COMPUTED_VALUE"""),"Padang")</f>
        <v>Padang</v>
      </c>
      <c r="G243" s="1" t="str">
        <f>IFERROR(__xludf.DUMMYFUNCTION("""COMPUTED_VALUE"""),"Linen Shirt - Slimfit - Khaki")</f>
        <v>Linen Shirt - Slimfit - Khaki</v>
      </c>
      <c r="H243" s="68">
        <f>IFERROR(__xludf.DUMMYFUNCTION("""COMPUTED_VALUE"""),229000.0)</f>
        <v>229000</v>
      </c>
      <c r="I243" s="68">
        <f>IFERROR(__xludf.DUMMYFUNCTION("""COMPUTED_VALUE"""),1.0)</f>
        <v>1</v>
      </c>
      <c r="J243" s="68">
        <f>IFERROR(__xludf.DUMMYFUNCTION("""COMPUTED_VALUE"""),229000.0)</f>
        <v>229000</v>
      </c>
      <c r="K243" s="68">
        <f>IFERROR(__xludf.DUMMYFUNCTION("""COMPUTED_VALUE"""),229000.0)</f>
        <v>229000</v>
      </c>
      <c r="L243" s="1" t="str">
        <f>IFERROR(__xludf.DUMMYFUNCTION("""COMPUTED_VALUE"""),"Shirt")</f>
        <v>Shirt</v>
      </c>
    </row>
    <row r="244">
      <c r="A244" s="1" t="str">
        <f>IFERROR(__xludf.DUMMYFUNCTION("""COMPUTED_VALUE"""),"EF136554310257935")</f>
        <v>EF136554310257935</v>
      </c>
      <c r="B244" s="67">
        <f>IFERROR(__xludf.DUMMYFUNCTION("""COMPUTED_VALUE"""),45745.0)</f>
        <v>45745</v>
      </c>
      <c r="C244" s="1" t="str">
        <f>IFERROR(__xludf.DUMMYFUNCTION("""COMPUTED_VALUE"""),"SHJP6157925607")</f>
        <v>SHJP6157925607</v>
      </c>
      <c r="D244" s="1" t="str">
        <f>IFERROR(__xludf.DUMMYFUNCTION("""COMPUTED_VALUE"""),"J&amp;G Compress")</f>
        <v>J&amp;G Compress</v>
      </c>
      <c r="E244" s="1" t="str">
        <f>IFERROR(__xludf.DUMMYFUNCTION("""COMPUTED_VALUE"""),"Casemiro")</f>
        <v>Casemiro</v>
      </c>
      <c r="F244" s="1" t="str">
        <f>IFERROR(__xludf.DUMMYFUNCTION("""COMPUTED_VALUE"""),"Bandung")</f>
        <v>Bandung</v>
      </c>
      <c r="G244" s="1" t="str">
        <f>IFERROR(__xludf.DUMMYFUNCTION("""COMPUTED_VALUE"""),"Running Jacket - Black")</f>
        <v>Running Jacket - Black</v>
      </c>
      <c r="H244" s="68">
        <f>IFERROR(__xludf.DUMMYFUNCTION("""COMPUTED_VALUE"""),199000.0)</f>
        <v>199000</v>
      </c>
      <c r="I244" s="68">
        <f>IFERROR(__xludf.DUMMYFUNCTION("""COMPUTED_VALUE"""),1.0)</f>
        <v>1</v>
      </c>
      <c r="J244" s="68">
        <f>IFERROR(__xludf.DUMMYFUNCTION("""COMPUTED_VALUE"""),199000.0)</f>
        <v>199000</v>
      </c>
      <c r="K244" s="68">
        <f>IFERROR(__xludf.DUMMYFUNCTION("""COMPUTED_VALUE"""),199000.0)</f>
        <v>199000</v>
      </c>
      <c r="L244" s="1" t="str">
        <f>IFERROR(__xludf.DUMMYFUNCTION("""COMPUTED_VALUE"""),"Sportswear")</f>
        <v>Sportswear</v>
      </c>
    </row>
    <row r="245">
      <c r="A245" s="1" t="str">
        <f>IFERROR(__xludf.DUMMYFUNCTION("""COMPUTED_VALUE"""),"EF138227468009738")</f>
        <v>EF138227468009738</v>
      </c>
      <c r="B245" s="67">
        <f>IFERROR(__xludf.DUMMYFUNCTION("""COMPUTED_VALUE"""),45745.0)</f>
        <v>45745</v>
      </c>
      <c r="C245" s="1" t="str">
        <f>IFERROR(__xludf.DUMMYFUNCTION("""COMPUTED_VALUE"""),"SHJP5167377859")</f>
        <v>SHJP5167377859</v>
      </c>
      <c r="D245" s="1" t="str">
        <f>IFERROR(__xludf.DUMMYFUNCTION("""COMPUTED_VALUE"""),"J&amp;G Compress")</f>
        <v>J&amp;G Compress</v>
      </c>
      <c r="E245" s="1" t="str">
        <f>IFERROR(__xludf.DUMMYFUNCTION("""COMPUTED_VALUE"""),"Yang Seok-Hyeong")</f>
        <v>Yang Seok-Hyeong</v>
      </c>
      <c r="F245" s="1" t="str">
        <f>IFERROR(__xludf.DUMMYFUNCTION("""COMPUTED_VALUE"""),"Banjarmasin")</f>
        <v>Banjarmasin</v>
      </c>
      <c r="G245" s="1" t="str">
        <f>IFERROR(__xludf.DUMMYFUNCTION("""COMPUTED_VALUE"""),"Linen Shirt - Slimfit - White")</f>
        <v>Linen Shirt - Slimfit - White</v>
      </c>
      <c r="H245" s="68">
        <f>IFERROR(__xludf.DUMMYFUNCTION("""COMPUTED_VALUE"""),229000.0)</f>
        <v>229000</v>
      </c>
      <c r="I245" s="68">
        <f>IFERROR(__xludf.DUMMYFUNCTION("""COMPUTED_VALUE"""),1.0)</f>
        <v>1</v>
      </c>
      <c r="J245" s="68">
        <f>IFERROR(__xludf.DUMMYFUNCTION("""COMPUTED_VALUE"""),229000.0)</f>
        <v>229000</v>
      </c>
      <c r="K245" s="68">
        <f>IFERROR(__xludf.DUMMYFUNCTION("""COMPUTED_VALUE"""),458000.0)</f>
        <v>458000</v>
      </c>
      <c r="L245" s="1" t="str">
        <f>IFERROR(__xludf.DUMMYFUNCTION("""COMPUTED_VALUE"""),"Shirt")</f>
        <v>Shirt</v>
      </c>
    </row>
    <row r="246">
      <c r="A246" s="1" t="str">
        <f>IFERROR(__xludf.DUMMYFUNCTION("""COMPUTED_VALUE"""),"EF138227468009738")</f>
        <v>EF138227468009738</v>
      </c>
      <c r="B246" s="67">
        <f>IFERROR(__xludf.DUMMYFUNCTION("""COMPUTED_VALUE"""),45745.0)</f>
        <v>45745</v>
      </c>
      <c r="C246" s="1" t="str">
        <f>IFERROR(__xludf.DUMMYFUNCTION("""COMPUTED_VALUE"""),"SHJP5167377859")</f>
        <v>SHJP5167377859</v>
      </c>
      <c r="D246" s="1" t="str">
        <f>IFERROR(__xludf.DUMMYFUNCTION("""COMPUTED_VALUE"""),"J&amp;G Compress")</f>
        <v>J&amp;G Compress</v>
      </c>
      <c r="E246" s="1" t="str">
        <f>IFERROR(__xludf.DUMMYFUNCTION("""COMPUTED_VALUE"""),"Yang Seok-Hyeong")</f>
        <v>Yang Seok-Hyeong</v>
      </c>
      <c r="F246" s="1" t="str">
        <f>IFERROR(__xludf.DUMMYFUNCTION("""COMPUTED_VALUE"""),"Banjarmasin")</f>
        <v>Banjarmasin</v>
      </c>
      <c r="G246" s="1" t="str">
        <f>IFERROR(__xludf.DUMMYFUNCTION("""COMPUTED_VALUE"""),"Linen Shirt - Slimfit - Black")</f>
        <v>Linen Shirt - Slimfit - Black</v>
      </c>
      <c r="H246" s="68">
        <f>IFERROR(__xludf.DUMMYFUNCTION("""COMPUTED_VALUE"""),229000.0)</f>
        <v>229000</v>
      </c>
      <c r="I246" s="68">
        <f>IFERROR(__xludf.DUMMYFUNCTION("""COMPUTED_VALUE"""),1.0)</f>
        <v>1</v>
      </c>
      <c r="J246" s="68">
        <f>IFERROR(__xludf.DUMMYFUNCTION("""COMPUTED_VALUE"""),229000.0)</f>
        <v>229000</v>
      </c>
      <c r="K246" s="68">
        <f>IFERROR(__xludf.DUMMYFUNCTION("""COMPUTED_VALUE"""),458000.0)</f>
        <v>458000</v>
      </c>
      <c r="L246" s="1" t="str">
        <f>IFERROR(__xludf.DUMMYFUNCTION("""COMPUTED_VALUE"""),"Shirt")</f>
        <v>Shirt</v>
      </c>
    </row>
    <row r="247">
      <c r="A247" s="1" t="str">
        <f>IFERROR(__xludf.DUMMYFUNCTION("""COMPUTED_VALUE"""),"EF136593911007910")</f>
        <v>EF136593911007910</v>
      </c>
      <c r="B247" s="67">
        <f>IFERROR(__xludf.DUMMYFUNCTION("""COMPUTED_VALUE"""),45746.0)</f>
        <v>45746</v>
      </c>
      <c r="C247" s="1" t="str">
        <f>IFERROR(__xludf.DUMMYFUNCTION("""COMPUTED_VALUE"""),"SH000819542574")</f>
        <v>SH000819542574</v>
      </c>
      <c r="D247" s="1" t="str">
        <f>IFERROR(__xludf.DUMMYFUNCTION("""COMPUTED_VALUE"""),"SiLumayanCepat")</f>
        <v>SiLumayanCepat</v>
      </c>
      <c r="E247" s="1" t="str">
        <f>IFERROR(__xludf.DUMMYFUNCTION("""COMPUTED_VALUE"""),"Federico Valverde")</f>
        <v>Federico Valverde</v>
      </c>
      <c r="F247" s="1" t="str">
        <f>IFERROR(__xludf.DUMMYFUNCTION("""COMPUTED_VALUE"""),"Bandung")</f>
        <v>Bandung</v>
      </c>
      <c r="G247" s="1" t="str">
        <f>IFERROR(__xludf.DUMMYFUNCTION("""COMPUTED_VALUE"""),"Running Jacket - Navy")</f>
        <v>Running Jacket - Navy</v>
      </c>
      <c r="H247" s="68">
        <f>IFERROR(__xludf.DUMMYFUNCTION("""COMPUTED_VALUE"""),199000.0)</f>
        <v>199000</v>
      </c>
      <c r="I247" s="68">
        <f>IFERROR(__xludf.DUMMYFUNCTION("""COMPUTED_VALUE"""),2.0)</f>
        <v>2</v>
      </c>
      <c r="J247" s="68">
        <f>IFERROR(__xludf.DUMMYFUNCTION("""COMPUTED_VALUE"""),398000.0)</f>
        <v>398000</v>
      </c>
      <c r="K247" s="68">
        <f>IFERROR(__xludf.DUMMYFUNCTION("""COMPUTED_VALUE"""),398000.0)</f>
        <v>398000</v>
      </c>
      <c r="L247" s="1" t="str">
        <f>IFERROR(__xludf.DUMMYFUNCTION("""COMPUTED_VALUE"""),"Sportswear")</f>
        <v>Sportswear</v>
      </c>
    </row>
    <row r="248">
      <c r="A248" s="1" t="str">
        <f>IFERROR(__xludf.DUMMYFUNCTION("""COMPUTED_VALUE"""),"EF136633523242102")</f>
        <v>EF136633523242102</v>
      </c>
      <c r="B248" s="67">
        <f>IFERROR(__xludf.DUMMYFUNCTION("""COMPUTED_VALUE"""),45747.0)</f>
        <v>45747</v>
      </c>
      <c r="C248" s="1" t="str">
        <f>IFERROR(__xludf.DUMMYFUNCTION("""COMPUTED_VALUE"""),"SH000819542573")</f>
        <v>SH000819542573</v>
      </c>
      <c r="D248" s="1" t="str">
        <f>IFERROR(__xludf.DUMMYFUNCTION("""COMPUTED_VALUE"""),"SiLumayanCepat")</f>
        <v>SiLumayanCepat</v>
      </c>
      <c r="E248" s="1" t="str">
        <f>IFERROR(__xludf.DUMMYFUNCTION("""COMPUTED_VALUE"""),"Lucas Vázquez")</f>
        <v>Lucas Vázquez</v>
      </c>
      <c r="F248" s="1" t="str">
        <f>IFERROR(__xludf.DUMMYFUNCTION("""COMPUTED_VALUE"""),"Bandung")</f>
        <v>Bandung</v>
      </c>
      <c r="G248" s="1" t="str">
        <f>IFERROR(__xludf.DUMMYFUNCTION("""COMPUTED_VALUE"""),"Running Pants - Black")</f>
        <v>Running Pants - Black</v>
      </c>
      <c r="H248" s="68">
        <f>IFERROR(__xludf.DUMMYFUNCTION("""COMPUTED_VALUE"""),149000.0)</f>
        <v>149000</v>
      </c>
      <c r="I248" s="68">
        <f>IFERROR(__xludf.DUMMYFUNCTION("""COMPUTED_VALUE"""),1.0)</f>
        <v>1</v>
      </c>
      <c r="J248" s="68">
        <f>IFERROR(__xludf.DUMMYFUNCTION("""COMPUTED_VALUE"""),149000.0)</f>
        <v>149000</v>
      </c>
      <c r="K248" s="68">
        <f>IFERROR(__xludf.DUMMYFUNCTION("""COMPUTED_VALUE"""),149000.0)</f>
        <v>149000</v>
      </c>
      <c r="L248" s="1" t="str">
        <f>IFERROR(__xludf.DUMMYFUNCTION("""COMPUTED_VALUE"""),"Sportswear")</f>
        <v>Sportswear</v>
      </c>
    </row>
    <row r="249">
      <c r="A249" s="1" t="str">
        <f>IFERROR(__xludf.DUMMYFUNCTION("""COMPUTED_VALUE"""),"EF138307651566113")</f>
        <v>EF138307651566113</v>
      </c>
      <c r="B249" s="67">
        <f>IFERROR(__xludf.DUMMYFUNCTION("""COMPUTED_VALUE"""),45749.0)</f>
        <v>45749</v>
      </c>
      <c r="C249" s="1" t="str">
        <f>IFERROR(__xludf.DUMMYFUNCTION("""COMPUTED_VALUE"""),"SHJP6324306102")</f>
        <v>SHJP6324306102</v>
      </c>
      <c r="D249" s="1" t="str">
        <f>IFERROR(__xludf.DUMMYFUNCTION("""COMPUTED_VALUE"""),"J&amp;G Compress")</f>
        <v>J&amp;G Compress</v>
      </c>
      <c r="E249" s="1" t="str">
        <f>IFERROR(__xludf.DUMMYFUNCTION("""COMPUTED_VALUE"""),"Joe Gomez")</f>
        <v>Joe Gomez</v>
      </c>
      <c r="F249" s="1" t="str">
        <f>IFERROR(__xludf.DUMMYFUNCTION("""COMPUTED_VALUE"""),"Kupang")</f>
        <v>Kupang</v>
      </c>
      <c r="G249" s="1" t="str">
        <f>IFERROR(__xludf.DUMMYFUNCTION("""COMPUTED_VALUE"""),"Linen Shirt - Slimfit - Maroon")</f>
        <v>Linen Shirt - Slimfit - Maroon</v>
      </c>
      <c r="H249" s="68">
        <f>IFERROR(__xludf.DUMMYFUNCTION("""COMPUTED_VALUE"""),229000.0)</f>
        <v>229000</v>
      </c>
      <c r="I249" s="68">
        <f>IFERROR(__xludf.DUMMYFUNCTION("""COMPUTED_VALUE"""),1.0)</f>
        <v>1</v>
      </c>
      <c r="J249" s="68">
        <f>IFERROR(__xludf.DUMMYFUNCTION("""COMPUTED_VALUE"""),229000.0)</f>
        <v>229000</v>
      </c>
      <c r="K249" s="68">
        <f>IFERROR(__xludf.DUMMYFUNCTION("""COMPUTED_VALUE"""),229000.0)</f>
        <v>229000</v>
      </c>
      <c r="L249" s="1" t="str">
        <f>IFERROR(__xludf.DUMMYFUNCTION("""COMPUTED_VALUE"""),"Shirt")</f>
        <v>Shirt</v>
      </c>
    </row>
  </sheetData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1.0"/>
    <col customWidth="1" min="4" max="4" width="5.38"/>
    <col customWidth="1" min="5" max="5" width="15.0"/>
    <col customWidth="1" min="6" max="6" width="5.88"/>
    <col customWidth="1" min="7" max="7" width="19.75"/>
  </cols>
  <sheetData>
    <row r="2">
      <c r="B2" s="70"/>
      <c r="C2" s="70"/>
      <c r="D2" s="70"/>
      <c r="I2" s="71"/>
    </row>
    <row r="3">
      <c r="B3" s="72" t="s">
        <v>672</v>
      </c>
      <c r="C3" s="73">
        <v>45658.0</v>
      </c>
      <c r="E3" s="74" t="s">
        <v>673</v>
      </c>
      <c r="G3" s="74" t="s">
        <v>674</v>
      </c>
      <c r="I3" s="75"/>
    </row>
    <row r="4">
      <c r="B4" s="72" t="s">
        <v>675</v>
      </c>
      <c r="C4" s="73">
        <v>45749.0</v>
      </c>
      <c r="E4" s="76">
        <f>SUM(Helper1!I:I)</f>
        <v>294</v>
      </c>
      <c r="G4" s="77">
        <f>SUM(Helper1!J:J)</f>
        <v>53386000</v>
      </c>
      <c r="I4" s="78"/>
    </row>
    <row r="5">
      <c r="M5" s="79"/>
    </row>
    <row r="7">
      <c r="C7" s="80"/>
      <c r="E7" s="80"/>
    </row>
    <row r="8">
      <c r="C8" s="80"/>
      <c r="E8" s="80"/>
    </row>
    <row r="9">
      <c r="C9" s="81"/>
      <c r="E9" s="81"/>
    </row>
    <row r="10">
      <c r="B10" s="75"/>
      <c r="C10" s="80"/>
      <c r="E10" s="80"/>
      <c r="F10" s="75"/>
    </row>
    <row r="12">
      <c r="B12" s="82"/>
      <c r="G12" s="82"/>
      <c r="H12" s="83"/>
    </row>
    <row r="29">
      <c r="H29" s="2"/>
    </row>
    <row r="40">
      <c r="F40" s="84"/>
    </row>
  </sheetData>
  <mergeCells count="3">
    <mergeCell ref="E4:E5"/>
    <mergeCell ref="G4:G5"/>
    <mergeCell ref="B12:F13"/>
  </mergeCells>
  <dataValidations>
    <dataValidation type="custom" allowBlank="1" showDropDown="1" sqref="C3:C4">
      <formula1>OR(NOT(ISERROR(DATEVALUE(C3))), AND(ISNUMBER(C3), LEFT(CELL("format", C3))="D"))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13"/>
    <col customWidth="1" min="3" max="3" width="20.8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5" width="29.0"/>
  </cols>
  <sheetData>
    <row r="4">
      <c r="B4" s="85" t="s">
        <v>677</v>
      </c>
      <c r="C4" s="86" t="s">
        <v>678</v>
      </c>
      <c r="D4" s="85" t="s">
        <v>679</v>
      </c>
      <c r="E4" s="85" t="s">
        <v>680</v>
      </c>
    </row>
    <row r="5">
      <c r="B5" s="87" t="s">
        <v>681</v>
      </c>
      <c r="C5" s="87" t="s">
        <v>682</v>
      </c>
      <c r="D5" s="87" t="s">
        <v>683</v>
      </c>
      <c r="E5" s="87" t="s">
        <v>684</v>
      </c>
    </row>
    <row r="6">
      <c r="B6" s="88"/>
      <c r="C6" s="88"/>
      <c r="D6" s="89"/>
      <c r="E6" s="88"/>
    </row>
    <row r="7">
      <c r="B7" s="90" t="s">
        <v>685</v>
      </c>
      <c r="C7" s="90" t="s">
        <v>686</v>
      </c>
      <c r="D7" s="91" t="s">
        <v>687</v>
      </c>
      <c r="E7" s="90" t="s">
        <v>688</v>
      </c>
    </row>
    <row r="8">
      <c r="B8" s="90" t="s">
        <v>689</v>
      </c>
      <c r="C8" s="90" t="s">
        <v>690</v>
      </c>
      <c r="D8" s="91" t="s">
        <v>691</v>
      </c>
      <c r="E8" s="88"/>
    </row>
    <row r="9">
      <c r="B9" s="88"/>
      <c r="C9" s="88"/>
      <c r="D9" s="89"/>
      <c r="E9" s="88"/>
    </row>
    <row r="10">
      <c r="B10" s="88"/>
      <c r="C10" s="92" t="s">
        <v>692</v>
      </c>
      <c r="D10" s="93" t="s">
        <v>692</v>
      </c>
      <c r="E10" s="94" t="s">
        <v>693</v>
      </c>
    </row>
    <row r="11">
      <c r="B11" s="88"/>
      <c r="C11" s="90" t="s">
        <v>694</v>
      </c>
      <c r="D11" s="95" t="s">
        <v>695</v>
      </c>
      <c r="E11" s="90" t="s">
        <v>696</v>
      </c>
    </row>
    <row r="12">
      <c r="B12" s="88"/>
      <c r="C12" s="90" t="s">
        <v>697</v>
      </c>
      <c r="D12" s="95" t="s">
        <v>698</v>
      </c>
      <c r="E12" s="90" t="s">
        <v>699</v>
      </c>
    </row>
    <row r="13">
      <c r="B13" s="88"/>
      <c r="C13" s="90" t="s">
        <v>700</v>
      </c>
      <c r="D13" s="91" t="s">
        <v>701</v>
      </c>
      <c r="E13" s="88"/>
    </row>
    <row r="14">
      <c r="B14" s="88"/>
      <c r="C14" s="90" t="s">
        <v>702</v>
      </c>
      <c r="D14" s="91" t="s">
        <v>703</v>
      </c>
      <c r="E14" s="88"/>
    </row>
    <row r="15">
      <c r="B15" s="88"/>
      <c r="C15" s="90" t="s">
        <v>704</v>
      </c>
      <c r="D15" s="95" t="s">
        <v>705</v>
      </c>
      <c r="E15" s="88"/>
    </row>
    <row r="16">
      <c r="B16" s="88"/>
      <c r="C16" s="90" t="s">
        <v>706</v>
      </c>
      <c r="D16" s="95" t="s">
        <v>707</v>
      </c>
      <c r="E16" s="88"/>
    </row>
    <row r="17">
      <c r="B17" s="88"/>
      <c r="C17" s="90" t="s">
        <v>708</v>
      </c>
      <c r="D17" s="89"/>
      <c r="E17" s="96" t="s">
        <v>709</v>
      </c>
    </row>
    <row r="18">
      <c r="B18" s="88"/>
      <c r="C18" s="88"/>
      <c r="D18" s="89"/>
      <c r="E18" s="88"/>
    </row>
    <row r="19">
      <c r="B19" s="88"/>
      <c r="C19" s="88"/>
      <c r="D19" s="97"/>
      <c r="E19" s="96" t="s">
        <v>710</v>
      </c>
    </row>
    <row r="23">
      <c r="C23" s="2" t="s">
        <v>711</v>
      </c>
    </row>
    <row r="25">
      <c r="D25" s="2" t="s">
        <v>712</v>
      </c>
    </row>
    <row r="28">
      <c r="C28" s="2" t="s">
        <v>713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7.0"/>
    <col customWidth="1" min="3" max="3" width="28.13"/>
  </cols>
  <sheetData>
    <row r="1">
      <c r="A1" s="98"/>
      <c r="B1" s="99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</row>
    <row r="2">
      <c r="A2" s="98"/>
      <c r="B2" s="99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>
      <c r="A3" s="98"/>
      <c r="B3" s="100">
        <v>1.0</v>
      </c>
      <c r="C3" s="101" t="s">
        <v>714</v>
      </c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>
      <c r="A4" s="98"/>
      <c r="B4" s="100">
        <v>2.0</v>
      </c>
      <c r="C4" s="102" t="s">
        <v>715</v>
      </c>
      <c r="D4" s="98"/>
      <c r="E4" s="98"/>
      <c r="F4" s="103" t="s">
        <v>716</v>
      </c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>
      <c r="A5" s="98"/>
      <c r="B5" s="100">
        <v>3.0</v>
      </c>
      <c r="C5" s="102" t="s">
        <v>717</v>
      </c>
      <c r="D5" s="98"/>
      <c r="E5" s="98"/>
      <c r="F5" s="103" t="s">
        <v>718</v>
      </c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>
      <c r="A6" s="98"/>
      <c r="B6" s="100">
        <v>4.0</v>
      </c>
      <c r="C6" s="102" t="s">
        <v>719</v>
      </c>
      <c r="D6" s="98"/>
      <c r="E6" s="98"/>
      <c r="F6" s="103" t="s">
        <v>720</v>
      </c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>
      <c r="A7" s="98"/>
      <c r="B7" s="100">
        <v>5.0</v>
      </c>
      <c r="C7" s="102" t="s">
        <v>721</v>
      </c>
      <c r="D7" s="98"/>
      <c r="E7" s="98"/>
      <c r="F7" s="103" t="s">
        <v>722</v>
      </c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>
      <c r="A8" s="98"/>
      <c r="B8" s="100">
        <v>6.0</v>
      </c>
      <c r="C8" s="102" t="s">
        <v>723</v>
      </c>
      <c r="D8" s="98"/>
      <c r="E8" s="98"/>
      <c r="F8" s="103" t="s">
        <v>724</v>
      </c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</row>
    <row r="9">
      <c r="A9" s="98"/>
      <c r="B9" s="100">
        <v>7.0</v>
      </c>
      <c r="C9" s="102" t="s">
        <v>725</v>
      </c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>
      <c r="A10" s="98"/>
      <c r="B10" s="100">
        <v>8.0</v>
      </c>
      <c r="C10" s="102" t="s">
        <v>726</v>
      </c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</row>
    <row r="11">
      <c r="A11" s="98"/>
      <c r="B11" s="100">
        <v>9.0</v>
      </c>
      <c r="C11" s="102" t="s">
        <v>727</v>
      </c>
      <c r="D11" s="103" t="s">
        <v>728</v>
      </c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>
      <c r="A12" s="98"/>
      <c r="B12" s="100">
        <v>10.0</v>
      </c>
      <c r="C12" s="102" t="s">
        <v>729</v>
      </c>
      <c r="D12" s="103" t="s">
        <v>728</v>
      </c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</row>
    <row r="13">
      <c r="A13" s="98"/>
      <c r="B13" s="100">
        <v>11.0</v>
      </c>
      <c r="C13" s="103" t="s">
        <v>730</v>
      </c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>
      <c r="A14" s="98"/>
      <c r="B14" s="99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</row>
    <row r="15">
      <c r="A15" s="98"/>
      <c r="B15" s="99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>
      <c r="A16" s="98"/>
      <c r="B16" s="99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</row>
    <row r="17">
      <c r="A17" s="98"/>
      <c r="B17" s="99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>
      <c r="A18" s="98"/>
      <c r="B18" s="99"/>
      <c r="C18" s="98"/>
      <c r="D18" s="98"/>
      <c r="E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</row>
    <row r="19">
      <c r="A19" s="98"/>
      <c r="B19" s="99"/>
      <c r="C19" s="98"/>
      <c r="D19" s="98"/>
      <c r="E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>
      <c r="A20" s="98"/>
      <c r="B20" s="99"/>
      <c r="C20" s="98"/>
      <c r="D20" s="98"/>
      <c r="E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</row>
    <row r="21">
      <c r="A21" s="98"/>
      <c r="B21" s="99"/>
      <c r="C21" s="98"/>
      <c r="D21" s="98"/>
      <c r="E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>
      <c r="A22" s="98"/>
      <c r="B22" s="99"/>
      <c r="C22" s="98"/>
      <c r="D22" s="98"/>
      <c r="E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</row>
    <row r="23">
      <c r="A23" s="98"/>
      <c r="B23" s="99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</row>
    <row r="24">
      <c r="A24" s="98"/>
      <c r="B24" s="99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</row>
    <row r="25">
      <c r="A25" s="98"/>
      <c r="B25" s="99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>
      <c r="A26" s="98"/>
      <c r="B26" s="99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</row>
    <row r="27">
      <c r="A27" s="98"/>
      <c r="B27" s="99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>
      <c r="A28" s="98"/>
      <c r="B28" s="99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</row>
    <row r="29">
      <c r="A29" s="98"/>
      <c r="B29" s="99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</row>
    <row r="30">
      <c r="A30" s="98"/>
      <c r="B30" s="99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</row>
    <row r="31">
      <c r="A31" s="98"/>
      <c r="B31" s="99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</row>
    <row r="32">
      <c r="A32" s="98"/>
      <c r="B32" s="99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>
      <c r="A33" s="98"/>
      <c r="B33" s="99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>
      <c r="A34" s="98"/>
      <c r="B34" s="99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>
      <c r="A35" s="98"/>
      <c r="B35" s="99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</row>
    <row r="36">
      <c r="A36" s="98"/>
      <c r="B36" s="99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>
      <c r="A37" s="98"/>
      <c r="B37" s="99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>
      <c r="A38" s="98"/>
      <c r="B38" s="99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>
      <c r="A39" s="98"/>
      <c r="B39" s="99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>
      <c r="A40" s="98"/>
      <c r="B40" s="99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>
      <c r="A41" s="98"/>
      <c r="B41" s="99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>
      <c r="A42" s="98"/>
      <c r="B42" s="99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>
      <c r="A43" s="98"/>
      <c r="B43" s="99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>
      <c r="A44" s="98"/>
      <c r="B44" s="99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>
      <c r="A45" s="98"/>
      <c r="B45" s="99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>
      <c r="A46" s="98"/>
      <c r="B46" s="99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>
      <c r="A47" s="98"/>
      <c r="B47" s="99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>
      <c r="A48" s="98"/>
      <c r="B48" s="99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>
      <c r="A49" s="98"/>
      <c r="B49" s="99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>
      <c r="A50" s="98"/>
      <c r="B50" s="99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>
      <c r="A51" s="98"/>
      <c r="B51" s="99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>
      <c r="A52" s="98"/>
      <c r="B52" s="99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>
      <c r="A53" s="98"/>
      <c r="B53" s="99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>
      <c r="A54" s="98"/>
      <c r="B54" s="99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>
      <c r="A55" s="98"/>
      <c r="B55" s="99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>
      <c r="A56" s="98"/>
      <c r="B56" s="99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>
      <c r="A57" s="98"/>
      <c r="B57" s="99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>
      <c r="A58" s="98"/>
      <c r="B58" s="99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>
      <c r="A59" s="98"/>
      <c r="B59" s="99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>
      <c r="A60" s="98"/>
      <c r="B60" s="99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>
      <c r="A61" s="98"/>
      <c r="B61" s="99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>
      <c r="A62" s="98"/>
      <c r="B62" s="99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>
      <c r="A63" s="98"/>
      <c r="B63" s="99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>
      <c r="A64" s="98"/>
      <c r="B64" s="99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>
      <c r="A65" s="98"/>
      <c r="B65" s="99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>
      <c r="A66" s="98"/>
      <c r="B66" s="99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>
      <c r="A67" s="98"/>
      <c r="B67" s="99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>
      <c r="A68" s="98"/>
      <c r="B68" s="99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>
      <c r="A69" s="98"/>
      <c r="B69" s="99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>
      <c r="A70" s="98"/>
      <c r="B70" s="99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>
      <c r="A71" s="98"/>
      <c r="B71" s="99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>
      <c r="A72" s="98"/>
      <c r="B72" s="99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>
      <c r="A73" s="98"/>
      <c r="B73" s="99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>
      <c r="A74" s="98"/>
      <c r="B74" s="99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>
      <c r="A75" s="98"/>
      <c r="B75" s="99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>
      <c r="A76" s="98"/>
      <c r="B76" s="99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>
      <c r="A77" s="98"/>
      <c r="B77" s="99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>
      <c r="A78" s="98"/>
      <c r="B78" s="99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>
      <c r="A79" s="98"/>
      <c r="B79" s="99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>
      <c r="A80" s="98"/>
      <c r="B80" s="99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>
      <c r="A81" s="98"/>
      <c r="B81" s="99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>
      <c r="A82" s="98"/>
      <c r="B82" s="99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>
      <c r="A83" s="98"/>
      <c r="B83" s="99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>
      <c r="A84" s="98"/>
      <c r="B84" s="99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>
      <c r="A85" s="98"/>
      <c r="B85" s="99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>
      <c r="A86" s="98"/>
      <c r="B86" s="99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>
      <c r="A87" s="98"/>
      <c r="B87" s="99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>
      <c r="A88" s="98"/>
      <c r="B88" s="99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>
      <c r="A89" s="98"/>
      <c r="B89" s="99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>
      <c r="A90" s="98"/>
      <c r="B90" s="99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>
      <c r="A91" s="98"/>
      <c r="B91" s="99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>
      <c r="A92" s="98"/>
      <c r="B92" s="99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>
      <c r="A93" s="98"/>
      <c r="B93" s="99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>
      <c r="A94" s="98"/>
      <c r="B94" s="99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>
      <c r="A95" s="98"/>
      <c r="B95" s="99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>
      <c r="A96" s="98"/>
      <c r="B96" s="99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>
      <c r="A97" s="98"/>
      <c r="B97" s="99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>
      <c r="A98" s="98"/>
      <c r="B98" s="99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>
      <c r="A99" s="98"/>
      <c r="B99" s="99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>
      <c r="A100" s="98"/>
      <c r="B100" s="99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>
      <c r="A101" s="98"/>
      <c r="B101" s="99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>
      <c r="A102" s="98"/>
      <c r="B102" s="99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>
      <c r="A103" s="98"/>
      <c r="B103" s="99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>
      <c r="A104" s="98"/>
      <c r="B104" s="99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>
      <c r="A105" s="98"/>
      <c r="B105" s="99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>
      <c r="A106" s="98"/>
      <c r="B106" s="99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>
      <c r="A107" s="98"/>
      <c r="B107" s="99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>
      <c r="A108" s="98"/>
      <c r="B108" s="99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>
      <c r="A109" s="98"/>
      <c r="B109" s="99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>
      <c r="A110" s="98"/>
      <c r="B110" s="99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>
      <c r="A111" s="98"/>
      <c r="B111" s="99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>
      <c r="A112" s="98"/>
      <c r="B112" s="99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>
      <c r="A113" s="98"/>
      <c r="B113" s="99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>
      <c r="A114" s="98"/>
      <c r="B114" s="99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>
      <c r="A115" s="98"/>
      <c r="B115" s="99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>
      <c r="A116" s="98"/>
      <c r="B116" s="99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>
      <c r="A117" s="98"/>
      <c r="B117" s="99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>
      <c r="A118" s="98"/>
      <c r="B118" s="99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>
      <c r="A119" s="98"/>
      <c r="B119" s="99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>
      <c r="A120" s="98"/>
      <c r="B120" s="99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>
      <c r="A121" s="98"/>
      <c r="B121" s="99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>
      <c r="A122" s="98"/>
      <c r="B122" s="99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>
      <c r="A123" s="98"/>
      <c r="B123" s="99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>
      <c r="A124" s="98"/>
      <c r="B124" s="99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>
      <c r="A125" s="98"/>
      <c r="B125" s="99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>
      <c r="A126" s="98"/>
      <c r="B126" s="99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>
      <c r="A127" s="98"/>
      <c r="B127" s="99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>
      <c r="A128" s="98"/>
      <c r="B128" s="99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>
      <c r="A129" s="98"/>
      <c r="B129" s="99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>
      <c r="A130" s="98"/>
      <c r="B130" s="99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>
      <c r="A131" s="98"/>
      <c r="B131" s="99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>
      <c r="A132" s="98"/>
      <c r="B132" s="99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>
      <c r="A133" s="98"/>
      <c r="B133" s="99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>
      <c r="A134" s="98"/>
      <c r="B134" s="99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>
      <c r="A135" s="98"/>
      <c r="B135" s="99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>
      <c r="A136" s="98"/>
      <c r="B136" s="99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>
      <c r="A137" s="98"/>
      <c r="B137" s="99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>
      <c r="A138" s="98"/>
      <c r="B138" s="99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>
      <c r="A139" s="98"/>
      <c r="B139" s="99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>
      <c r="A140" s="98"/>
      <c r="B140" s="99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>
      <c r="A141" s="98"/>
      <c r="B141" s="99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>
      <c r="A142" s="98"/>
      <c r="B142" s="99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>
      <c r="A143" s="98"/>
      <c r="B143" s="99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>
      <c r="A144" s="98"/>
      <c r="B144" s="99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>
      <c r="A145" s="98"/>
      <c r="B145" s="99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>
      <c r="A146" s="98"/>
      <c r="B146" s="99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>
      <c r="A147" s="98"/>
      <c r="B147" s="99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>
      <c r="A148" s="98"/>
      <c r="B148" s="99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>
      <c r="A149" s="98"/>
      <c r="B149" s="99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>
      <c r="A150" s="98"/>
      <c r="B150" s="99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>
      <c r="A151" s="98"/>
      <c r="B151" s="99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>
      <c r="A152" s="98"/>
      <c r="B152" s="99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>
      <c r="A153" s="98"/>
      <c r="B153" s="99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>
      <c r="A154" s="98"/>
      <c r="B154" s="99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>
      <c r="A155" s="98"/>
      <c r="B155" s="99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>
      <c r="A156" s="98"/>
      <c r="B156" s="99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>
      <c r="A157" s="98"/>
      <c r="B157" s="99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>
      <c r="A158" s="98"/>
      <c r="B158" s="99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>
      <c r="A159" s="98"/>
      <c r="B159" s="99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>
      <c r="A160" s="98"/>
      <c r="B160" s="99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>
      <c r="A161" s="98"/>
      <c r="B161" s="99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>
      <c r="A162" s="98"/>
      <c r="B162" s="99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>
      <c r="A163" s="98"/>
      <c r="B163" s="99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>
      <c r="A164" s="98"/>
      <c r="B164" s="99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>
      <c r="A165" s="98"/>
      <c r="B165" s="99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>
      <c r="A166" s="98"/>
      <c r="B166" s="99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>
      <c r="A167" s="98"/>
      <c r="B167" s="99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>
      <c r="A168" s="98"/>
      <c r="B168" s="99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>
      <c r="A169" s="98"/>
      <c r="B169" s="99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>
      <c r="A170" s="98"/>
      <c r="B170" s="99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>
      <c r="A171" s="98"/>
      <c r="B171" s="99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>
      <c r="A172" s="98"/>
      <c r="B172" s="99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>
      <c r="A173" s="98"/>
      <c r="B173" s="99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>
      <c r="A174" s="98"/>
      <c r="B174" s="99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>
      <c r="A175" s="98"/>
      <c r="B175" s="99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>
      <c r="A176" s="98"/>
      <c r="B176" s="99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>
      <c r="A177" s="98"/>
      <c r="B177" s="99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>
      <c r="A178" s="98"/>
      <c r="B178" s="99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>
      <c r="A179" s="98"/>
      <c r="B179" s="99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>
      <c r="A180" s="98"/>
      <c r="B180" s="99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>
      <c r="A181" s="98"/>
      <c r="B181" s="99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>
      <c r="A182" s="98"/>
      <c r="B182" s="99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>
      <c r="A183" s="98"/>
      <c r="B183" s="99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>
      <c r="A184" s="98"/>
      <c r="B184" s="99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>
      <c r="A185" s="98"/>
      <c r="B185" s="99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>
      <c r="A186" s="98"/>
      <c r="B186" s="99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>
      <c r="A187" s="98"/>
      <c r="B187" s="99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>
      <c r="A188" s="98"/>
      <c r="B188" s="99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>
      <c r="A189" s="98"/>
      <c r="B189" s="99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>
      <c r="A190" s="98"/>
      <c r="B190" s="99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>
      <c r="A191" s="98"/>
      <c r="B191" s="99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>
      <c r="A192" s="98"/>
      <c r="B192" s="99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>
      <c r="A193" s="98"/>
      <c r="B193" s="99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>
      <c r="A194" s="98"/>
      <c r="B194" s="99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>
      <c r="A195" s="98"/>
      <c r="B195" s="99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>
      <c r="A196" s="98"/>
      <c r="B196" s="99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>
      <c r="A197" s="98"/>
      <c r="B197" s="99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>
      <c r="A198" s="98"/>
      <c r="B198" s="99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>
      <c r="A199" s="98"/>
      <c r="B199" s="99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>
      <c r="A200" s="98"/>
      <c r="B200" s="99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>
      <c r="A201" s="98"/>
      <c r="B201" s="99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>
      <c r="A202" s="98"/>
      <c r="B202" s="99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>
      <c r="A203" s="98"/>
      <c r="B203" s="99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>
      <c r="A204" s="98"/>
      <c r="B204" s="99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>
      <c r="A205" s="98"/>
      <c r="B205" s="99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>
      <c r="A206" s="98"/>
      <c r="B206" s="99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>
      <c r="A207" s="98"/>
      <c r="B207" s="99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>
      <c r="A208" s="98"/>
      <c r="B208" s="99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>
      <c r="A209" s="98"/>
      <c r="B209" s="99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>
      <c r="A210" s="98"/>
      <c r="B210" s="99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>
      <c r="A211" s="98"/>
      <c r="B211" s="99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>
      <c r="A212" s="98"/>
      <c r="B212" s="99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>
      <c r="A213" s="98"/>
      <c r="B213" s="99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>
      <c r="A214" s="98"/>
      <c r="B214" s="99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>
      <c r="A215" s="98"/>
      <c r="B215" s="99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>
      <c r="A216" s="98"/>
      <c r="B216" s="99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>
      <c r="A217" s="98"/>
      <c r="B217" s="99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>
      <c r="A218" s="98"/>
      <c r="B218" s="99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>
      <c r="A219" s="98"/>
      <c r="B219" s="99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>
      <c r="A220" s="98"/>
      <c r="B220" s="99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>
      <c r="A221" s="98"/>
      <c r="B221" s="99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>
      <c r="A222" s="98"/>
      <c r="B222" s="99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>
      <c r="A223" s="98"/>
      <c r="B223" s="99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>
      <c r="A224" s="98"/>
      <c r="B224" s="99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>
      <c r="A225" s="98"/>
      <c r="B225" s="99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>
      <c r="A226" s="98"/>
      <c r="B226" s="99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>
      <c r="A227" s="98"/>
      <c r="B227" s="99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>
      <c r="A228" s="98"/>
      <c r="B228" s="99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>
      <c r="A229" s="98"/>
      <c r="B229" s="99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>
      <c r="A230" s="98"/>
      <c r="B230" s="99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>
      <c r="A231" s="98"/>
      <c r="B231" s="99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>
      <c r="A232" s="98"/>
      <c r="B232" s="99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>
      <c r="A233" s="98"/>
      <c r="B233" s="99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>
      <c r="A234" s="98"/>
      <c r="B234" s="99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>
      <c r="A235" s="98"/>
      <c r="B235" s="99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>
      <c r="A236" s="98"/>
      <c r="B236" s="99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>
      <c r="A237" s="98"/>
      <c r="B237" s="99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>
      <c r="A238" s="98"/>
      <c r="B238" s="99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>
      <c r="A239" s="98"/>
      <c r="B239" s="99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>
      <c r="A240" s="98"/>
      <c r="B240" s="99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>
      <c r="A241" s="98"/>
      <c r="B241" s="99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>
      <c r="A242" s="98"/>
      <c r="B242" s="99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>
      <c r="A243" s="98"/>
      <c r="B243" s="99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>
      <c r="A244" s="98"/>
      <c r="B244" s="99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>
      <c r="A245" s="98"/>
      <c r="B245" s="99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>
      <c r="A246" s="98"/>
      <c r="B246" s="99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>
      <c r="A247" s="98"/>
      <c r="B247" s="99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>
      <c r="A248" s="98"/>
      <c r="B248" s="99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>
      <c r="A249" s="98"/>
      <c r="B249" s="99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>
      <c r="A250" s="98"/>
      <c r="B250" s="99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>
      <c r="A251" s="98"/>
      <c r="B251" s="99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>
      <c r="A252" s="98"/>
      <c r="B252" s="99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>
      <c r="A253" s="98"/>
      <c r="B253" s="99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>
      <c r="A254" s="98"/>
      <c r="B254" s="99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>
      <c r="A255" s="98"/>
      <c r="B255" s="99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>
      <c r="A256" s="98"/>
      <c r="B256" s="99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>
      <c r="A257" s="98"/>
      <c r="B257" s="99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>
      <c r="A258" s="98"/>
      <c r="B258" s="99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>
      <c r="A259" s="98"/>
      <c r="B259" s="99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>
      <c r="A260" s="98"/>
      <c r="B260" s="99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>
      <c r="A261" s="98"/>
      <c r="B261" s="99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>
      <c r="A262" s="98"/>
      <c r="B262" s="99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>
      <c r="A263" s="98"/>
      <c r="B263" s="99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>
      <c r="A264" s="98"/>
      <c r="B264" s="99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>
      <c r="A265" s="98"/>
      <c r="B265" s="99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>
      <c r="A266" s="98"/>
      <c r="B266" s="99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>
      <c r="A267" s="98"/>
      <c r="B267" s="99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>
      <c r="A268" s="98"/>
      <c r="B268" s="99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>
      <c r="A269" s="98"/>
      <c r="B269" s="99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>
      <c r="A270" s="98"/>
      <c r="B270" s="99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>
      <c r="A271" s="98"/>
      <c r="B271" s="99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>
      <c r="A272" s="98"/>
      <c r="B272" s="99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>
      <c r="A273" s="98"/>
      <c r="B273" s="99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>
      <c r="A274" s="98"/>
      <c r="B274" s="99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>
      <c r="A275" s="98"/>
      <c r="B275" s="99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>
      <c r="A276" s="98"/>
      <c r="B276" s="99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>
      <c r="A277" s="98"/>
      <c r="B277" s="99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>
      <c r="A278" s="98"/>
      <c r="B278" s="99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>
      <c r="A279" s="98"/>
      <c r="B279" s="99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>
      <c r="A280" s="98"/>
      <c r="B280" s="99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>
      <c r="A281" s="98"/>
      <c r="B281" s="99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>
      <c r="A282" s="98"/>
      <c r="B282" s="99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>
      <c r="A283" s="98"/>
      <c r="B283" s="99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>
      <c r="A284" s="98"/>
      <c r="B284" s="99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>
      <c r="A285" s="98"/>
      <c r="B285" s="99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>
      <c r="A286" s="98"/>
      <c r="B286" s="99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>
      <c r="A287" s="98"/>
      <c r="B287" s="99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>
      <c r="A288" s="98"/>
      <c r="B288" s="99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>
      <c r="A289" s="98"/>
      <c r="B289" s="99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>
      <c r="A290" s="98"/>
      <c r="B290" s="99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>
      <c r="A291" s="98"/>
      <c r="B291" s="99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>
      <c r="A292" s="98"/>
      <c r="B292" s="99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>
      <c r="A293" s="98"/>
      <c r="B293" s="99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>
      <c r="A294" s="98"/>
      <c r="B294" s="99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>
      <c r="A295" s="98"/>
      <c r="B295" s="99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>
      <c r="A296" s="98"/>
      <c r="B296" s="99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>
      <c r="A297" s="98"/>
      <c r="B297" s="99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>
      <c r="A298" s="98"/>
      <c r="B298" s="99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>
      <c r="A299" s="98"/>
      <c r="B299" s="99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>
      <c r="A300" s="98"/>
      <c r="B300" s="99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>
      <c r="A301" s="98"/>
      <c r="B301" s="99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>
      <c r="A302" s="98"/>
      <c r="B302" s="99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>
      <c r="A303" s="98"/>
      <c r="B303" s="99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>
      <c r="A304" s="98"/>
      <c r="B304" s="99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>
      <c r="A305" s="98"/>
      <c r="B305" s="99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>
      <c r="A306" s="98"/>
      <c r="B306" s="99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>
      <c r="A307" s="98"/>
      <c r="B307" s="99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>
      <c r="A308" s="98"/>
      <c r="B308" s="99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>
      <c r="A309" s="98"/>
      <c r="B309" s="99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>
      <c r="A310" s="98"/>
      <c r="B310" s="99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>
      <c r="A311" s="98"/>
      <c r="B311" s="99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>
      <c r="A312" s="98"/>
      <c r="B312" s="99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>
      <c r="A313" s="98"/>
      <c r="B313" s="99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>
      <c r="A314" s="98"/>
      <c r="B314" s="99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>
      <c r="A315" s="98"/>
      <c r="B315" s="99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>
      <c r="A316" s="98"/>
      <c r="B316" s="99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>
      <c r="A317" s="98"/>
      <c r="B317" s="99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>
      <c r="A318" s="98"/>
      <c r="B318" s="99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>
      <c r="A319" s="98"/>
      <c r="B319" s="99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>
      <c r="A320" s="98"/>
      <c r="B320" s="99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>
      <c r="A321" s="98"/>
      <c r="B321" s="99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>
      <c r="A322" s="98"/>
      <c r="B322" s="99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>
      <c r="A323" s="98"/>
      <c r="B323" s="99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>
      <c r="A324" s="98"/>
      <c r="B324" s="99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>
      <c r="A325" s="98"/>
      <c r="B325" s="99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>
      <c r="A326" s="98"/>
      <c r="B326" s="99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>
      <c r="A327" s="98"/>
      <c r="B327" s="99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>
      <c r="A328" s="98"/>
      <c r="B328" s="99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>
      <c r="A329" s="98"/>
      <c r="B329" s="99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>
      <c r="A330" s="98"/>
      <c r="B330" s="99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>
      <c r="A331" s="98"/>
      <c r="B331" s="99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>
      <c r="A332" s="98"/>
      <c r="B332" s="99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>
      <c r="A333" s="98"/>
      <c r="B333" s="99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>
      <c r="A334" s="98"/>
      <c r="B334" s="99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>
      <c r="A335" s="98"/>
      <c r="B335" s="99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>
      <c r="A336" s="98"/>
      <c r="B336" s="99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>
      <c r="A337" s="98"/>
      <c r="B337" s="99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>
      <c r="A338" s="98"/>
      <c r="B338" s="99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>
      <c r="A339" s="98"/>
      <c r="B339" s="99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>
      <c r="A340" s="98"/>
      <c r="B340" s="99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>
      <c r="A341" s="98"/>
      <c r="B341" s="99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>
      <c r="A342" s="98"/>
      <c r="B342" s="99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>
      <c r="A343" s="98"/>
      <c r="B343" s="99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>
      <c r="A344" s="98"/>
      <c r="B344" s="99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>
      <c r="A345" s="98"/>
      <c r="B345" s="99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>
      <c r="A346" s="98"/>
      <c r="B346" s="99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>
      <c r="A347" s="98"/>
      <c r="B347" s="99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>
      <c r="A348" s="98"/>
      <c r="B348" s="99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>
      <c r="A349" s="98"/>
      <c r="B349" s="99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>
      <c r="A350" s="98"/>
      <c r="B350" s="99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>
      <c r="A351" s="98"/>
      <c r="B351" s="99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>
      <c r="A352" s="98"/>
      <c r="B352" s="99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>
      <c r="A353" s="98"/>
      <c r="B353" s="99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>
      <c r="A354" s="98"/>
      <c r="B354" s="99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>
      <c r="A355" s="98"/>
      <c r="B355" s="99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>
      <c r="A356" s="98"/>
      <c r="B356" s="99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>
      <c r="A357" s="98"/>
      <c r="B357" s="99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>
      <c r="A358" s="98"/>
      <c r="B358" s="99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>
      <c r="A359" s="98"/>
      <c r="B359" s="99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>
      <c r="A360" s="98"/>
      <c r="B360" s="99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>
      <c r="A361" s="98"/>
      <c r="B361" s="99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>
      <c r="A362" s="98"/>
      <c r="B362" s="99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>
      <c r="A363" s="98"/>
      <c r="B363" s="99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>
      <c r="A364" s="98"/>
      <c r="B364" s="99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>
      <c r="A365" s="98"/>
      <c r="B365" s="99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>
      <c r="A366" s="98"/>
      <c r="B366" s="99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>
      <c r="A367" s="98"/>
      <c r="B367" s="99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>
      <c r="A368" s="98"/>
      <c r="B368" s="99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>
      <c r="A369" s="98"/>
      <c r="B369" s="99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>
      <c r="A370" s="98"/>
      <c r="B370" s="99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>
      <c r="A371" s="98"/>
      <c r="B371" s="99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>
      <c r="A372" s="98"/>
      <c r="B372" s="99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>
      <c r="A373" s="98"/>
      <c r="B373" s="99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>
      <c r="A374" s="98"/>
      <c r="B374" s="99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>
      <c r="A375" s="98"/>
      <c r="B375" s="99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>
      <c r="A376" s="98"/>
      <c r="B376" s="99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>
      <c r="A377" s="98"/>
      <c r="B377" s="99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>
      <c r="A378" s="98"/>
      <c r="B378" s="99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>
      <c r="A379" s="98"/>
      <c r="B379" s="99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>
      <c r="A380" s="98"/>
      <c r="B380" s="99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>
      <c r="A381" s="98"/>
      <c r="B381" s="99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>
      <c r="A382" s="98"/>
      <c r="B382" s="99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>
      <c r="A383" s="98"/>
      <c r="B383" s="99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>
      <c r="A384" s="98"/>
      <c r="B384" s="99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>
      <c r="A385" s="98"/>
      <c r="B385" s="99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>
      <c r="A386" s="98"/>
      <c r="B386" s="99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>
      <c r="A387" s="98"/>
      <c r="B387" s="99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>
      <c r="A388" s="98"/>
      <c r="B388" s="99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>
      <c r="A389" s="98"/>
      <c r="B389" s="99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>
      <c r="A390" s="98"/>
      <c r="B390" s="99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>
      <c r="A391" s="98"/>
      <c r="B391" s="99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>
      <c r="A392" s="98"/>
      <c r="B392" s="99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>
      <c r="A393" s="98"/>
      <c r="B393" s="99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>
      <c r="A394" s="98"/>
      <c r="B394" s="99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>
      <c r="A395" s="98"/>
      <c r="B395" s="99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>
      <c r="A396" s="98"/>
      <c r="B396" s="99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>
      <c r="A397" s="98"/>
      <c r="B397" s="99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>
      <c r="A398" s="98"/>
      <c r="B398" s="99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>
      <c r="A399" s="98"/>
      <c r="B399" s="99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>
      <c r="A400" s="98"/>
      <c r="B400" s="99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>
      <c r="A401" s="98"/>
      <c r="B401" s="99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>
      <c r="A402" s="98"/>
      <c r="B402" s="99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>
      <c r="A403" s="98"/>
      <c r="B403" s="99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>
      <c r="A404" s="98"/>
      <c r="B404" s="99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>
      <c r="A405" s="98"/>
      <c r="B405" s="99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>
      <c r="A406" s="98"/>
      <c r="B406" s="99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>
      <c r="A407" s="98"/>
      <c r="B407" s="99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>
      <c r="A408" s="98"/>
      <c r="B408" s="99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>
      <c r="A409" s="98"/>
      <c r="B409" s="99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>
      <c r="A410" s="98"/>
      <c r="B410" s="99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>
      <c r="A411" s="98"/>
      <c r="B411" s="99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>
      <c r="A412" s="98"/>
      <c r="B412" s="99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>
      <c r="A413" s="98"/>
      <c r="B413" s="99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>
      <c r="A414" s="98"/>
      <c r="B414" s="99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>
      <c r="A415" s="98"/>
      <c r="B415" s="99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>
      <c r="A416" s="98"/>
      <c r="B416" s="99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>
      <c r="A417" s="98"/>
      <c r="B417" s="99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>
      <c r="A418" s="98"/>
      <c r="B418" s="99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>
      <c r="A419" s="98"/>
      <c r="B419" s="99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>
      <c r="A420" s="98"/>
      <c r="B420" s="99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>
      <c r="A421" s="98"/>
      <c r="B421" s="99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>
      <c r="A422" s="98"/>
      <c r="B422" s="99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>
      <c r="A423" s="98"/>
      <c r="B423" s="99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>
      <c r="A424" s="98"/>
      <c r="B424" s="99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>
      <c r="A425" s="98"/>
      <c r="B425" s="99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>
      <c r="A426" s="98"/>
      <c r="B426" s="99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>
      <c r="A427" s="98"/>
      <c r="B427" s="99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>
      <c r="A428" s="98"/>
      <c r="B428" s="99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>
      <c r="A429" s="98"/>
      <c r="B429" s="99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>
      <c r="A430" s="98"/>
      <c r="B430" s="99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>
      <c r="A431" s="98"/>
      <c r="B431" s="99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>
      <c r="A432" s="98"/>
      <c r="B432" s="99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>
      <c r="A433" s="98"/>
      <c r="B433" s="99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>
      <c r="A434" s="98"/>
      <c r="B434" s="99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>
      <c r="A435" s="98"/>
      <c r="B435" s="99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>
      <c r="A436" s="98"/>
      <c r="B436" s="99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>
      <c r="A437" s="98"/>
      <c r="B437" s="99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>
      <c r="A438" s="98"/>
      <c r="B438" s="99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>
      <c r="A439" s="98"/>
      <c r="B439" s="99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>
      <c r="A440" s="98"/>
      <c r="B440" s="99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>
      <c r="A441" s="98"/>
      <c r="B441" s="99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>
      <c r="A442" s="98"/>
      <c r="B442" s="99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>
      <c r="A443" s="98"/>
      <c r="B443" s="99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>
      <c r="A444" s="98"/>
      <c r="B444" s="99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>
      <c r="A445" s="98"/>
      <c r="B445" s="99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>
      <c r="A446" s="98"/>
      <c r="B446" s="99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>
      <c r="A447" s="98"/>
      <c r="B447" s="99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>
      <c r="A448" s="98"/>
      <c r="B448" s="99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>
      <c r="A449" s="98"/>
      <c r="B449" s="99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>
      <c r="A450" s="98"/>
      <c r="B450" s="99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>
      <c r="A451" s="98"/>
      <c r="B451" s="99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>
      <c r="A452" s="98"/>
      <c r="B452" s="99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>
      <c r="A453" s="98"/>
      <c r="B453" s="99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>
      <c r="A454" s="98"/>
      <c r="B454" s="99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>
      <c r="A455" s="98"/>
      <c r="B455" s="99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>
      <c r="A456" s="98"/>
      <c r="B456" s="99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>
      <c r="A457" s="98"/>
      <c r="B457" s="99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>
      <c r="A458" s="98"/>
      <c r="B458" s="99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>
      <c r="A459" s="98"/>
      <c r="B459" s="99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>
      <c r="A460" s="98"/>
      <c r="B460" s="99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>
      <c r="A461" s="98"/>
      <c r="B461" s="99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>
      <c r="A462" s="98"/>
      <c r="B462" s="99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>
      <c r="A463" s="98"/>
      <c r="B463" s="99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>
      <c r="A464" s="98"/>
      <c r="B464" s="99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>
      <c r="A465" s="98"/>
      <c r="B465" s="99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>
      <c r="A466" s="98"/>
      <c r="B466" s="99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>
      <c r="A467" s="98"/>
      <c r="B467" s="99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>
      <c r="A468" s="98"/>
      <c r="B468" s="99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>
      <c r="A469" s="98"/>
      <c r="B469" s="99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>
      <c r="A470" s="98"/>
      <c r="B470" s="99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>
      <c r="A471" s="98"/>
      <c r="B471" s="99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>
      <c r="A472" s="98"/>
      <c r="B472" s="99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>
      <c r="A473" s="98"/>
      <c r="B473" s="99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>
      <c r="A474" s="98"/>
      <c r="B474" s="99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>
      <c r="A475" s="98"/>
      <c r="B475" s="99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>
      <c r="A476" s="98"/>
      <c r="B476" s="99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>
      <c r="A477" s="98"/>
      <c r="B477" s="99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>
      <c r="A478" s="98"/>
      <c r="B478" s="99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>
      <c r="A479" s="98"/>
      <c r="B479" s="99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>
      <c r="A480" s="98"/>
      <c r="B480" s="99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>
      <c r="A481" s="98"/>
      <c r="B481" s="99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>
      <c r="A482" s="98"/>
      <c r="B482" s="99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>
      <c r="A483" s="98"/>
      <c r="B483" s="99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>
      <c r="A484" s="98"/>
      <c r="B484" s="99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>
      <c r="A485" s="98"/>
      <c r="B485" s="99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>
      <c r="A486" s="98"/>
      <c r="B486" s="99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>
      <c r="A487" s="98"/>
      <c r="B487" s="99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>
      <c r="A488" s="98"/>
      <c r="B488" s="99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>
      <c r="A489" s="98"/>
      <c r="B489" s="99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>
      <c r="A490" s="98"/>
      <c r="B490" s="99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>
      <c r="A491" s="98"/>
      <c r="B491" s="99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>
      <c r="A492" s="98"/>
      <c r="B492" s="99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>
      <c r="A493" s="98"/>
      <c r="B493" s="99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>
      <c r="A494" s="98"/>
      <c r="B494" s="99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>
      <c r="A495" s="98"/>
      <c r="B495" s="99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>
      <c r="A496" s="98"/>
      <c r="B496" s="99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>
      <c r="A497" s="98"/>
      <c r="B497" s="99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>
      <c r="A498" s="98"/>
      <c r="B498" s="99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>
      <c r="A499" s="98"/>
      <c r="B499" s="99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>
      <c r="A500" s="98"/>
      <c r="B500" s="99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>
      <c r="A501" s="98"/>
      <c r="B501" s="99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>
      <c r="A502" s="98"/>
      <c r="B502" s="99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>
      <c r="A503" s="98"/>
      <c r="B503" s="99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>
      <c r="A504" s="98"/>
      <c r="B504" s="99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>
      <c r="A505" s="98"/>
      <c r="B505" s="99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>
      <c r="A506" s="98"/>
      <c r="B506" s="99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>
      <c r="A507" s="98"/>
      <c r="B507" s="99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>
      <c r="A508" s="98"/>
      <c r="B508" s="99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>
      <c r="A509" s="98"/>
      <c r="B509" s="99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>
      <c r="A510" s="98"/>
      <c r="B510" s="99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>
      <c r="A511" s="98"/>
      <c r="B511" s="99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>
      <c r="A512" s="98"/>
      <c r="B512" s="99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>
      <c r="A513" s="98"/>
      <c r="B513" s="99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>
      <c r="A514" s="98"/>
      <c r="B514" s="99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>
      <c r="A515" s="98"/>
      <c r="B515" s="99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>
      <c r="A516" s="98"/>
      <c r="B516" s="99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>
      <c r="A517" s="98"/>
      <c r="B517" s="99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>
      <c r="A518" s="98"/>
      <c r="B518" s="99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>
      <c r="A519" s="98"/>
      <c r="B519" s="99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>
      <c r="A520" s="98"/>
      <c r="B520" s="99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>
      <c r="A521" s="98"/>
      <c r="B521" s="99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>
      <c r="A522" s="98"/>
      <c r="B522" s="99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>
      <c r="A523" s="98"/>
      <c r="B523" s="99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>
      <c r="A524" s="98"/>
      <c r="B524" s="99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>
      <c r="A525" s="98"/>
      <c r="B525" s="99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>
      <c r="A526" s="98"/>
      <c r="B526" s="99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>
      <c r="A527" s="98"/>
      <c r="B527" s="99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>
      <c r="A528" s="98"/>
      <c r="B528" s="99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>
      <c r="A529" s="98"/>
      <c r="B529" s="99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>
      <c r="A530" s="98"/>
      <c r="B530" s="99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>
      <c r="A531" s="98"/>
      <c r="B531" s="99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>
      <c r="A532" s="98"/>
      <c r="B532" s="99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>
      <c r="A533" s="98"/>
      <c r="B533" s="99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>
      <c r="A534" s="98"/>
      <c r="B534" s="99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>
      <c r="A535" s="98"/>
      <c r="B535" s="99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>
      <c r="A536" s="98"/>
      <c r="B536" s="99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>
      <c r="A537" s="98"/>
      <c r="B537" s="99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>
      <c r="A538" s="98"/>
      <c r="B538" s="99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>
      <c r="A539" s="98"/>
      <c r="B539" s="99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>
      <c r="A540" s="98"/>
      <c r="B540" s="99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>
      <c r="A541" s="98"/>
      <c r="B541" s="99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>
      <c r="A542" s="98"/>
      <c r="B542" s="99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>
      <c r="A543" s="98"/>
      <c r="B543" s="99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>
      <c r="A544" s="98"/>
      <c r="B544" s="99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>
      <c r="A545" s="98"/>
      <c r="B545" s="99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>
      <c r="A546" s="98"/>
      <c r="B546" s="99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>
      <c r="A547" s="98"/>
      <c r="B547" s="99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>
      <c r="A548" s="98"/>
      <c r="B548" s="99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>
      <c r="A549" s="98"/>
      <c r="B549" s="99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>
      <c r="A550" s="98"/>
      <c r="B550" s="99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>
      <c r="A551" s="98"/>
      <c r="B551" s="99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>
      <c r="A552" s="98"/>
      <c r="B552" s="99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>
      <c r="A553" s="98"/>
      <c r="B553" s="99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>
      <c r="A554" s="98"/>
      <c r="B554" s="99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>
      <c r="A555" s="98"/>
      <c r="B555" s="99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>
      <c r="A556" s="98"/>
      <c r="B556" s="99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>
      <c r="A557" s="98"/>
      <c r="B557" s="99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>
      <c r="A558" s="98"/>
      <c r="B558" s="99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>
      <c r="A559" s="98"/>
      <c r="B559" s="99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>
      <c r="A560" s="98"/>
      <c r="B560" s="99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>
      <c r="A561" s="98"/>
      <c r="B561" s="99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>
      <c r="A562" s="98"/>
      <c r="B562" s="99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>
      <c r="A563" s="98"/>
      <c r="B563" s="99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>
      <c r="A564" s="98"/>
      <c r="B564" s="99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>
      <c r="A565" s="98"/>
      <c r="B565" s="99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>
      <c r="A566" s="98"/>
      <c r="B566" s="99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>
      <c r="A567" s="98"/>
      <c r="B567" s="99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>
      <c r="A568" s="98"/>
      <c r="B568" s="99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>
      <c r="A569" s="98"/>
      <c r="B569" s="99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>
      <c r="A570" s="98"/>
      <c r="B570" s="99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>
      <c r="A571" s="98"/>
      <c r="B571" s="99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>
      <c r="A572" s="98"/>
      <c r="B572" s="99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>
      <c r="A573" s="98"/>
      <c r="B573" s="99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>
      <c r="A574" s="98"/>
      <c r="B574" s="99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>
      <c r="A575" s="98"/>
      <c r="B575" s="99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>
      <c r="A576" s="98"/>
      <c r="B576" s="99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>
      <c r="A577" s="98"/>
      <c r="B577" s="99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>
      <c r="A578" s="98"/>
      <c r="B578" s="99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>
      <c r="A579" s="98"/>
      <c r="B579" s="99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>
      <c r="A580" s="98"/>
      <c r="B580" s="99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>
      <c r="A581" s="98"/>
      <c r="B581" s="99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>
      <c r="A582" s="98"/>
      <c r="B582" s="99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>
      <c r="A583" s="98"/>
      <c r="B583" s="99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>
      <c r="A584" s="98"/>
      <c r="B584" s="99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>
      <c r="A585" s="98"/>
      <c r="B585" s="99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>
      <c r="A586" s="98"/>
      <c r="B586" s="99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>
      <c r="A587" s="98"/>
      <c r="B587" s="99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>
      <c r="A588" s="98"/>
      <c r="B588" s="99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>
      <c r="A589" s="98"/>
      <c r="B589" s="99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>
      <c r="A590" s="98"/>
      <c r="B590" s="99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>
      <c r="A591" s="98"/>
      <c r="B591" s="99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>
      <c r="A592" s="98"/>
      <c r="B592" s="99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>
      <c r="A593" s="98"/>
      <c r="B593" s="99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>
      <c r="A594" s="98"/>
      <c r="B594" s="99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>
      <c r="A595" s="98"/>
      <c r="B595" s="99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>
      <c r="A596" s="98"/>
      <c r="B596" s="99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>
      <c r="A597" s="98"/>
      <c r="B597" s="99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>
      <c r="A598" s="98"/>
      <c r="B598" s="99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>
      <c r="A599" s="98"/>
      <c r="B599" s="99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>
      <c r="A600" s="98"/>
      <c r="B600" s="99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>
      <c r="A601" s="98"/>
      <c r="B601" s="99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>
      <c r="A602" s="98"/>
      <c r="B602" s="99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>
      <c r="A603" s="98"/>
      <c r="B603" s="99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>
      <c r="A604" s="98"/>
      <c r="B604" s="99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>
      <c r="A605" s="98"/>
      <c r="B605" s="99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>
      <c r="A606" s="98"/>
      <c r="B606" s="99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>
      <c r="A607" s="98"/>
      <c r="B607" s="99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>
      <c r="A608" s="98"/>
      <c r="B608" s="99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>
      <c r="A609" s="98"/>
      <c r="B609" s="99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>
      <c r="A610" s="98"/>
      <c r="B610" s="99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>
      <c r="A611" s="98"/>
      <c r="B611" s="99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>
      <c r="A612" s="98"/>
      <c r="B612" s="99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>
      <c r="A613" s="98"/>
      <c r="B613" s="99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>
      <c r="A614" s="98"/>
      <c r="B614" s="99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>
      <c r="A615" s="98"/>
      <c r="B615" s="99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>
      <c r="A616" s="98"/>
      <c r="B616" s="99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>
      <c r="A617" s="98"/>
      <c r="B617" s="99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>
      <c r="A618" s="98"/>
      <c r="B618" s="99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>
      <c r="A619" s="98"/>
      <c r="B619" s="99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>
      <c r="A620" s="98"/>
      <c r="B620" s="99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>
      <c r="A621" s="98"/>
      <c r="B621" s="99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>
      <c r="A622" s="98"/>
      <c r="B622" s="99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>
      <c r="A623" s="98"/>
      <c r="B623" s="99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>
      <c r="A624" s="98"/>
      <c r="B624" s="99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>
      <c r="A625" s="98"/>
      <c r="B625" s="99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>
      <c r="A626" s="98"/>
      <c r="B626" s="99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>
      <c r="A627" s="98"/>
      <c r="B627" s="99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>
      <c r="A628" s="98"/>
      <c r="B628" s="99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>
      <c r="A629" s="98"/>
      <c r="B629" s="99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>
      <c r="A630" s="98"/>
      <c r="B630" s="99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>
      <c r="A631" s="98"/>
      <c r="B631" s="99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>
      <c r="A632" s="98"/>
      <c r="B632" s="99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>
      <c r="A633" s="98"/>
      <c r="B633" s="99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>
      <c r="A634" s="98"/>
      <c r="B634" s="99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>
      <c r="A635" s="98"/>
      <c r="B635" s="99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>
      <c r="A636" s="98"/>
      <c r="B636" s="99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>
      <c r="A637" s="98"/>
      <c r="B637" s="99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>
      <c r="A638" s="98"/>
      <c r="B638" s="99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>
      <c r="A639" s="98"/>
      <c r="B639" s="99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>
      <c r="A640" s="98"/>
      <c r="B640" s="99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>
      <c r="A641" s="98"/>
      <c r="B641" s="99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>
      <c r="A642" s="98"/>
      <c r="B642" s="99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>
      <c r="A643" s="98"/>
      <c r="B643" s="99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>
      <c r="A644" s="98"/>
      <c r="B644" s="99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>
      <c r="A645" s="98"/>
      <c r="B645" s="99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>
      <c r="A646" s="98"/>
      <c r="B646" s="99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>
      <c r="A647" s="98"/>
      <c r="B647" s="99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>
      <c r="A648" s="98"/>
      <c r="B648" s="99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>
      <c r="A649" s="98"/>
      <c r="B649" s="99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>
      <c r="A650" s="98"/>
      <c r="B650" s="99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>
      <c r="A651" s="98"/>
      <c r="B651" s="99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>
      <c r="A652" s="98"/>
      <c r="B652" s="99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>
      <c r="A653" s="98"/>
      <c r="B653" s="99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>
      <c r="A654" s="98"/>
      <c r="B654" s="99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>
      <c r="A655" s="98"/>
      <c r="B655" s="99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>
      <c r="A656" s="98"/>
      <c r="B656" s="99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>
      <c r="A657" s="98"/>
      <c r="B657" s="99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>
      <c r="A658" s="98"/>
      <c r="B658" s="99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>
      <c r="A659" s="98"/>
      <c r="B659" s="99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>
      <c r="A660" s="98"/>
      <c r="B660" s="99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>
      <c r="A661" s="98"/>
      <c r="B661" s="99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>
      <c r="A662" s="98"/>
      <c r="B662" s="99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>
      <c r="A663" s="98"/>
      <c r="B663" s="99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>
      <c r="A664" s="98"/>
      <c r="B664" s="99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>
      <c r="A665" s="98"/>
      <c r="B665" s="99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>
      <c r="A666" s="98"/>
      <c r="B666" s="99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>
      <c r="A667" s="98"/>
      <c r="B667" s="99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>
      <c r="A668" s="98"/>
      <c r="B668" s="99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>
      <c r="A669" s="98"/>
      <c r="B669" s="99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>
      <c r="A670" s="98"/>
      <c r="B670" s="99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>
      <c r="A671" s="98"/>
      <c r="B671" s="99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>
      <c r="A672" s="98"/>
      <c r="B672" s="99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>
      <c r="A673" s="98"/>
      <c r="B673" s="99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>
      <c r="A674" s="98"/>
      <c r="B674" s="99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>
      <c r="A675" s="98"/>
      <c r="B675" s="99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>
      <c r="A676" s="98"/>
      <c r="B676" s="99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>
      <c r="A677" s="98"/>
      <c r="B677" s="99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>
      <c r="A678" s="98"/>
      <c r="B678" s="99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>
      <c r="A679" s="98"/>
      <c r="B679" s="99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>
      <c r="A680" s="98"/>
      <c r="B680" s="99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>
      <c r="A681" s="98"/>
      <c r="B681" s="99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>
      <c r="A682" s="98"/>
      <c r="B682" s="99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>
      <c r="A683" s="98"/>
      <c r="B683" s="99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>
      <c r="A684" s="98"/>
      <c r="B684" s="99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>
      <c r="A685" s="98"/>
      <c r="B685" s="99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>
      <c r="A686" s="98"/>
      <c r="B686" s="99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>
      <c r="A687" s="98"/>
      <c r="B687" s="99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>
      <c r="A688" s="98"/>
      <c r="B688" s="99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>
      <c r="A689" s="98"/>
      <c r="B689" s="99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>
      <c r="A690" s="98"/>
      <c r="B690" s="99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>
      <c r="A691" s="98"/>
      <c r="B691" s="99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>
      <c r="A692" s="98"/>
      <c r="B692" s="99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>
      <c r="A693" s="98"/>
      <c r="B693" s="99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>
      <c r="A694" s="98"/>
      <c r="B694" s="99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>
      <c r="A695" s="98"/>
      <c r="B695" s="99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>
      <c r="A696" s="98"/>
      <c r="B696" s="99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>
      <c r="A697" s="98"/>
      <c r="B697" s="99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>
      <c r="A698" s="98"/>
      <c r="B698" s="99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>
      <c r="A699" s="98"/>
      <c r="B699" s="99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>
      <c r="A700" s="98"/>
      <c r="B700" s="99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>
      <c r="A701" s="98"/>
      <c r="B701" s="99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>
      <c r="A702" s="98"/>
      <c r="B702" s="99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>
      <c r="A703" s="98"/>
      <c r="B703" s="99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>
      <c r="A704" s="98"/>
      <c r="B704" s="99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>
      <c r="A705" s="98"/>
      <c r="B705" s="99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>
      <c r="A706" s="98"/>
      <c r="B706" s="99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>
      <c r="A707" s="98"/>
      <c r="B707" s="99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>
      <c r="A708" s="98"/>
      <c r="B708" s="99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>
      <c r="A709" s="98"/>
      <c r="B709" s="99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>
      <c r="A710" s="98"/>
      <c r="B710" s="99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>
      <c r="A711" s="98"/>
      <c r="B711" s="99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>
      <c r="A712" s="98"/>
      <c r="B712" s="99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>
      <c r="A713" s="98"/>
      <c r="B713" s="99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>
      <c r="A714" s="98"/>
      <c r="B714" s="99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>
      <c r="A715" s="98"/>
      <c r="B715" s="99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>
      <c r="A716" s="98"/>
      <c r="B716" s="99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>
      <c r="A717" s="98"/>
      <c r="B717" s="99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>
      <c r="A718" s="98"/>
      <c r="B718" s="99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>
      <c r="A719" s="98"/>
      <c r="B719" s="99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>
      <c r="A720" s="98"/>
      <c r="B720" s="99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>
      <c r="A721" s="98"/>
      <c r="B721" s="99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>
      <c r="A722" s="98"/>
      <c r="B722" s="99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>
      <c r="A723" s="98"/>
      <c r="B723" s="99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>
      <c r="A724" s="98"/>
      <c r="B724" s="99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>
      <c r="A725" s="98"/>
      <c r="B725" s="99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>
      <c r="A726" s="98"/>
      <c r="B726" s="99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>
      <c r="A727" s="98"/>
      <c r="B727" s="99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>
      <c r="A728" s="98"/>
      <c r="B728" s="99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>
      <c r="A729" s="98"/>
      <c r="B729" s="99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>
      <c r="A730" s="98"/>
      <c r="B730" s="99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>
      <c r="A731" s="98"/>
      <c r="B731" s="99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>
      <c r="A732" s="98"/>
      <c r="B732" s="99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>
      <c r="A733" s="98"/>
      <c r="B733" s="99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>
      <c r="A734" s="98"/>
      <c r="B734" s="99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>
      <c r="A735" s="98"/>
      <c r="B735" s="99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>
      <c r="A736" s="98"/>
      <c r="B736" s="99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>
      <c r="A737" s="98"/>
      <c r="B737" s="99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>
      <c r="A738" s="98"/>
      <c r="B738" s="99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>
      <c r="A739" s="98"/>
      <c r="B739" s="99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>
      <c r="A740" s="98"/>
      <c r="B740" s="99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>
      <c r="A741" s="98"/>
      <c r="B741" s="99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>
      <c r="A742" s="98"/>
      <c r="B742" s="99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>
      <c r="A743" s="98"/>
      <c r="B743" s="99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>
      <c r="A744" s="98"/>
      <c r="B744" s="99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>
      <c r="A745" s="98"/>
      <c r="B745" s="99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>
      <c r="A746" s="98"/>
      <c r="B746" s="99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>
      <c r="A747" s="98"/>
      <c r="B747" s="99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>
      <c r="A748" s="98"/>
      <c r="B748" s="99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>
      <c r="A749" s="98"/>
      <c r="B749" s="99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>
      <c r="A750" s="98"/>
      <c r="B750" s="99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>
      <c r="A751" s="98"/>
      <c r="B751" s="99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>
      <c r="A752" s="98"/>
      <c r="B752" s="99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>
      <c r="A753" s="98"/>
      <c r="B753" s="99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>
      <c r="A754" s="98"/>
      <c r="B754" s="99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>
      <c r="A755" s="98"/>
      <c r="B755" s="99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>
      <c r="A756" s="98"/>
      <c r="B756" s="99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>
      <c r="A757" s="98"/>
      <c r="B757" s="99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>
      <c r="A758" s="98"/>
      <c r="B758" s="99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>
      <c r="A759" s="98"/>
      <c r="B759" s="99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>
      <c r="A760" s="98"/>
      <c r="B760" s="99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>
      <c r="A761" s="98"/>
      <c r="B761" s="99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>
      <c r="A762" s="98"/>
      <c r="B762" s="99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>
      <c r="A763" s="98"/>
      <c r="B763" s="99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>
      <c r="A764" s="98"/>
      <c r="B764" s="99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>
      <c r="A765" s="98"/>
      <c r="B765" s="99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>
      <c r="A766" s="98"/>
      <c r="B766" s="99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>
      <c r="A767" s="98"/>
      <c r="B767" s="99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>
      <c r="A768" s="98"/>
      <c r="B768" s="99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>
      <c r="A769" s="98"/>
      <c r="B769" s="99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>
      <c r="A770" s="98"/>
      <c r="B770" s="99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>
      <c r="A771" s="98"/>
      <c r="B771" s="99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>
      <c r="A772" s="98"/>
      <c r="B772" s="99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>
      <c r="A773" s="98"/>
      <c r="B773" s="99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>
      <c r="A774" s="98"/>
      <c r="B774" s="99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>
      <c r="A775" s="98"/>
      <c r="B775" s="99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>
      <c r="A776" s="98"/>
      <c r="B776" s="99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>
      <c r="A777" s="98"/>
      <c r="B777" s="99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>
      <c r="A778" s="98"/>
      <c r="B778" s="99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>
      <c r="A779" s="98"/>
      <c r="B779" s="99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>
      <c r="A780" s="98"/>
      <c r="B780" s="99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>
      <c r="A781" s="98"/>
      <c r="B781" s="99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>
      <c r="A782" s="98"/>
      <c r="B782" s="99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>
      <c r="A783" s="98"/>
      <c r="B783" s="99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>
      <c r="A784" s="98"/>
      <c r="B784" s="99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>
      <c r="A785" s="98"/>
      <c r="B785" s="99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>
      <c r="A786" s="98"/>
      <c r="B786" s="99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>
      <c r="A787" s="98"/>
      <c r="B787" s="99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>
      <c r="A788" s="98"/>
      <c r="B788" s="99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>
      <c r="A789" s="98"/>
      <c r="B789" s="99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>
      <c r="A790" s="98"/>
      <c r="B790" s="99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>
      <c r="A791" s="98"/>
      <c r="B791" s="99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>
      <c r="A792" s="98"/>
      <c r="B792" s="99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>
      <c r="A793" s="98"/>
      <c r="B793" s="99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>
      <c r="A794" s="98"/>
      <c r="B794" s="99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>
      <c r="A795" s="98"/>
      <c r="B795" s="99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>
      <c r="A796" s="98"/>
      <c r="B796" s="99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>
      <c r="A797" s="98"/>
      <c r="B797" s="99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>
      <c r="A798" s="98"/>
      <c r="B798" s="99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>
      <c r="A799" s="98"/>
      <c r="B799" s="99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>
      <c r="A800" s="98"/>
      <c r="B800" s="99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>
      <c r="A801" s="98"/>
      <c r="B801" s="99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>
      <c r="A802" s="98"/>
      <c r="B802" s="99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>
      <c r="A803" s="98"/>
      <c r="B803" s="99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>
      <c r="A804" s="98"/>
      <c r="B804" s="99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>
      <c r="A805" s="98"/>
      <c r="B805" s="99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>
      <c r="A806" s="98"/>
      <c r="B806" s="99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>
      <c r="A807" s="98"/>
      <c r="B807" s="99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>
      <c r="A808" s="98"/>
      <c r="B808" s="99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>
      <c r="A809" s="98"/>
      <c r="B809" s="99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>
      <c r="A810" s="98"/>
      <c r="B810" s="99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>
      <c r="A811" s="98"/>
      <c r="B811" s="99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>
      <c r="A812" s="98"/>
      <c r="B812" s="99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>
      <c r="A813" s="98"/>
      <c r="B813" s="99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>
      <c r="A814" s="98"/>
      <c r="B814" s="99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>
      <c r="A815" s="98"/>
      <c r="B815" s="99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>
      <c r="A816" s="98"/>
      <c r="B816" s="99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>
      <c r="A817" s="98"/>
      <c r="B817" s="99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>
      <c r="A818" s="98"/>
      <c r="B818" s="99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>
      <c r="A819" s="98"/>
      <c r="B819" s="99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>
      <c r="A820" s="98"/>
      <c r="B820" s="99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>
      <c r="A821" s="98"/>
      <c r="B821" s="99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>
      <c r="A822" s="98"/>
      <c r="B822" s="99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>
      <c r="A823" s="98"/>
      <c r="B823" s="99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>
      <c r="A824" s="98"/>
      <c r="B824" s="99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>
      <c r="A825" s="98"/>
      <c r="B825" s="99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>
      <c r="A826" s="98"/>
      <c r="B826" s="99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>
      <c r="A827" s="98"/>
      <c r="B827" s="99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>
      <c r="A828" s="98"/>
      <c r="B828" s="99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>
      <c r="A829" s="98"/>
      <c r="B829" s="99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>
      <c r="A830" s="98"/>
      <c r="B830" s="99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>
      <c r="A831" s="98"/>
      <c r="B831" s="99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>
      <c r="A832" s="98"/>
      <c r="B832" s="99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>
      <c r="A833" s="98"/>
      <c r="B833" s="99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>
      <c r="A834" s="98"/>
      <c r="B834" s="99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>
      <c r="A835" s="98"/>
      <c r="B835" s="99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>
      <c r="A836" s="98"/>
      <c r="B836" s="99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>
      <c r="A837" s="98"/>
      <c r="B837" s="99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>
      <c r="A838" s="98"/>
      <c r="B838" s="99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>
      <c r="A839" s="98"/>
      <c r="B839" s="99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>
      <c r="A840" s="98"/>
      <c r="B840" s="99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>
      <c r="A841" s="98"/>
      <c r="B841" s="99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>
      <c r="A842" s="98"/>
      <c r="B842" s="99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>
      <c r="A843" s="98"/>
      <c r="B843" s="99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>
      <c r="A844" s="98"/>
      <c r="B844" s="99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>
      <c r="A845" s="98"/>
      <c r="B845" s="99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>
      <c r="A846" s="98"/>
      <c r="B846" s="99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>
      <c r="A847" s="98"/>
      <c r="B847" s="99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>
      <c r="A848" s="98"/>
      <c r="B848" s="99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>
      <c r="A849" s="98"/>
      <c r="B849" s="99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>
      <c r="A850" s="98"/>
      <c r="B850" s="99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>
      <c r="A851" s="98"/>
      <c r="B851" s="99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>
      <c r="A852" s="98"/>
      <c r="B852" s="99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>
      <c r="A853" s="98"/>
      <c r="B853" s="99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>
      <c r="A854" s="98"/>
      <c r="B854" s="99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>
      <c r="A855" s="98"/>
      <c r="B855" s="99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>
      <c r="A856" s="98"/>
      <c r="B856" s="99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>
      <c r="A857" s="98"/>
      <c r="B857" s="99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>
      <c r="A858" s="98"/>
      <c r="B858" s="99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>
      <c r="A859" s="98"/>
      <c r="B859" s="99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>
      <c r="A860" s="98"/>
      <c r="B860" s="99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>
      <c r="A861" s="98"/>
      <c r="B861" s="99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>
      <c r="A862" s="98"/>
      <c r="B862" s="99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>
      <c r="A863" s="98"/>
      <c r="B863" s="99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>
      <c r="A864" s="98"/>
      <c r="B864" s="99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>
      <c r="A865" s="98"/>
      <c r="B865" s="99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>
      <c r="A866" s="98"/>
      <c r="B866" s="99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>
      <c r="A867" s="98"/>
      <c r="B867" s="99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>
      <c r="A868" s="98"/>
      <c r="B868" s="99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>
      <c r="A869" s="98"/>
      <c r="B869" s="99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>
      <c r="A870" s="98"/>
      <c r="B870" s="99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>
      <c r="A871" s="98"/>
      <c r="B871" s="99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>
      <c r="A872" s="98"/>
      <c r="B872" s="99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>
      <c r="A873" s="98"/>
      <c r="B873" s="99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>
      <c r="A874" s="98"/>
      <c r="B874" s="99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>
      <c r="A875" s="98"/>
      <c r="B875" s="99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>
      <c r="A876" s="98"/>
      <c r="B876" s="99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>
      <c r="A877" s="98"/>
      <c r="B877" s="99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>
      <c r="A878" s="98"/>
      <c r="B878" s="99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>
      <c r="A879" s="98"/>
      <c r="B879" s="99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>
      <c r="A880" s="98"/>
      <c r="B880" s="99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>
      <c r="A881" s="98"/>
      <c r="B881" s="99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>
      <c r="A882" s="98"/>
      <c r="B882" s="99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>
      <c r="A883" s="98"/>
      <c r="B883" s="99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>
      <c r="A884" s="98"/>
      <c r="B884" s="99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>
      <c r="A885" s="98"/>
      <c r="B885" s="99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>
      <c r="A886" s="98"/>
      <c r="B886" s="99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>
      <c r="A887" s="98"/>
      <c r="B887" s="99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>
      <c r="A888" s="98"/>
      <c r="B888" s="99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>
      <c r="A889" s="98"/>
      <c r="B889" s="99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>
      <c r="A890" s="98"/>
      <c r="B890" s="99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>
      <c r="A891" s="98"/>
      <c r="B891" s="99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>
      <c r="A892" s="98"/>
      <c r="B892" s="99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>
      <c r="A893" s="98"/>
      <c r="B893" s="99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>
      <c r="A894" s="98"/>
      <c r="B894" s="99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>
      <c r="A895" s="98"/>
      <c r="B895" s="99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>
      <c r="A896" s="98"/>
      <c r="B896" s="99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>
      <c r="A897" s="98"/>
      <c r="B897" s="99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>
      <c r="A898" s="98"/>
      <c r="B898" s="99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>
      <c r="A899" s="98"/>
      <c r="B899" s="99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>
      <c r="A900" s="98"/>
      <c r="B900" s="99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>
      <c r="A901" s="98"/>
      <c r="B901" s="99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>
      <c r="A902" s="98"/>
      <c r="B902" s="99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>
      <c r="A903" s="98"/>
      <c r="B903" s="99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>
      <c r="A904" s="98"/>
      <c r="B904" s="99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>
      <c r="A905" s="98"/>
      <c r="B905" s="99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>
      <c r="A906" s="98"/>
      <c r="B906" s="99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>
      <c r="A907" s="98"/>
      <c r="B907" s="99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>
      <c r="A908" s="98"/>
      <c r="B908" s="99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>
      <c r="A909" s="98"/>
      <c r="B909" s="99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>
      <c r="A910" s="98"/>
      <c r="B910" s="99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>
      <c r="A911" s="98"/>
      <c r="B911" s="99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>
      <c r="A912" s="98"/>
      <c r="B912" s="99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>
      <c r="A913" s="98"/>
      <c r="B913" s="99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>
      <c r="A914" s="98"/>
      <c r="B914" s="99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>
      <c r="A915" s="98"/>
      <c r="B915" s="99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>
      <c r="A916" s="98"/>
      <c r="B916" s="99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>
      <c r="A917" s="98"/>
      <c r="B917" s="99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>
      <c r="A918" s="98"/>
      <c r="B918" s="99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>
      <c r="A919" s="98"/>
      <c r="B919" s="99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>
      <c r="A920" s="98"/>
      <c r="B920" s="99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>
      <c r="A921" s="98"/>
      <c r="B921" s="99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>
      <c r="A922" s="98"/>
      <c r="B922" s="99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>
      <c r="A923" s="98"/>
      <c r="B923" s="99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>
      <c r="A924" s="98"/>
      <c r="B924" s="99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>
      <c r="A925" s="98"/>
      <c r="B925" s="99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>
      <c r="A926" s="98"/>
      <c r="B926" s="99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>
      <c r="A927" s="98"/>
      <c r="B927" s="99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>
      <c r="A928" s="98"/>
      <c r="B928" s="99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>
      <c r="A929" s="98"/>
      <c r="B929" s="99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>
      <c r="A930" s="98"/>
      <c r="B930" s="99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>
      <c r="A931" s="98"/>
      <c r="B931" s="99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>
      <c r="A932" s="98"/>
      <c r="B932" s="99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>
      <c r="A933" s="98"/>
      <c r="B933" s="99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>
      <c r="A934" s="98"/>
      <c r="B934" s="99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>
      <c r="A935" s="98"/>
      <c r="B935" s="99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>
      <c r="A936" s="98"/>
      <c r="B936" s="99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>
      <c r="A937" s="98"/>
      <c r="B937" s="99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>
      <c r="A938" s="98"/>
      <c r="B938" s="99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>
      <c r="A939" s="98"/>
      <c r="B939" s="99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>
      <c r="A940" s="98"/>
      <c r="B940" s="99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>
      <c r="A941" s="98"/>
      <c r="B941" s="99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>
      <c r="A942" s="98"/>
      <c r="B942" s="99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>
      <c r="A943" s="98"/>
      <c r="B943" s="99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>
      <c r="A944" s="98"/>
      <c r="B944" s="99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>
      <c r="A945" s="98"/>
      <c r="B945" s="99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>
      <c r="A946" s="98"/>
      <c r="B946" s="99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>
      <c r="A947" s="98"/>
      <c r="B947" s="99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>
      <c r="A948" s="98"/>
      <c r="B948" s="99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>
      <c r="A949" s="98"/>
      <c r="B949" s="99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>
      <c r="A950" s="98"/>
      <c r="B950" s="99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>
      <c r="A951" s="98"/>
      <c r="B951" s="99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>
      <c r="A952" s="98"/>
      <c r="B952" s="99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>
      <c r="A953" s="98"/>
      <c r="B953" s="99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>
      <c r="A954" s="98"/>
      <c r="B954" s="99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>
      <c r="A955" s="98"/>
      <c r="B955" s="99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>
      <c r="A956" s="98"/>
      <c r="B956" s="99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>
      <c r="A957" s="98"/>
      <c r="B957" s="99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>
      <c r="A958" s="98"/>
      <c r="B958" s="99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>
      <c r="A959" s="98"/>
      <c r="B959" s="99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>
      <c r="A960" s="98"/>
      <c r="B960" s="99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>
      <c r="A961" s="98"/>
      <c r="B961" s="99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>
      <c r="A962" s="98"/>
      <c r="B962" s="99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>
      <c r="A963" s="98"/>
      <c r="B963" s="99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>
      <c r="A964" s="98"/>
      <c r="B964" s="99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>
      <c r="A965" s="98"/>
      <c r="B965" s="99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>
      <c r="A966" s="98"/>
      <c r="B966" s="99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>
      <c r="A967" s="98"/>
      <c r="B967" s="99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>
      <c r="A968" s="98"/>
      <c r="B968" s="99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>
      <c r="A969" s="98"/>
      <c r="B969" s="99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>
      <c r="A970" s="98"/>
      <c r="B970" s="99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>
      <c r="A971" s="98"/>
      <c r="B971" s="99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>
      <c r="A972" s="98"/>
      <c r="B972" s="99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>
      <c r="A973" s="98"/>
      <c r="B973" s="99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>
      <c r="A974" s="98"/>
      <c r="B974" s="99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>
      <c r="A975" s="98"/>
      <c r="B975" s="99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>
      <c r="A976" s="98"/>
      <c r="B976" s="99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>
      <c r="A977" s="98"/>
      <c r="B977" s="99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>
      <c r="A978" s="98"/>
      <c r="B978" s="99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>
      <c r="A979" s="98"/>
      <c r="B979" s="99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>
      <c r="A980" s="98"/>
      <c r="B980" s="99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>
      <c r="A981" s="98"/>
      <c r="B981" s="99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>
      <c r="A982" s="98"/>
      <c r="B982" s="99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>
      <c r="A983" s="98"/>
      <c r="B983" s="99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>
      <c r="A984" s="98"/>
      <c r="B984" s="99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>
      <c r="A985" s="98"/>
      <c r="B985" s="99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>
      <c r="A986" s="98"/>
      <c r="B986" s="99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>
      <c r="A987" s="98"/>
      <c r="B987" s="99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>
      <c r="A988" s="98"/>
      <c r="B988" s="99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>
      <c r="A989" s="98"/>
      <c r="B989" s="99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>
      <c r="A990" s="98"/>
      <c r="B990" s="99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>
      <c r="A991" s="98"/>
      <c r="B991" s="99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>
      <c r="A992" s="98"/>
      <c r="B992" s="99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>
      <c r="A993" s="98"/>
      <c r="B993" s="99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>
      <c r="A994" s="98"/>
      <c r="B994" s="99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>
      <c r="A995" s="98"/>
      <c r="B995" s="99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>
      <c r="A996" s="98"/>
      <c r="B996" s="99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>
      <c r="A997" s="98"/>
      <c r="B997" s="99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>
      <c r="A998" s="98"/>
      <c r="B998" s="99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>
      <c r="A999" s="98"/>
      <c r="B999" s="99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>
      <c r="A1000" s="98"/>
      <c r="B1000" s="99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 ht="48.75" customHeight="1"/>
    <row r="6" ht="48.75" customHeight="1">
      <c r="O6" s="1"/>
    </row>
    <row r="7" ht="48.75" customHeight="1">
      <c r="O7" s="1"/>
    </row>
    <row r="8" ht="48.75" customHeight="1">
      <c r="O8" s="1"/>
    </row>
    <row r="9" ht="48.75" customHeight="1">
      <c r="O9" s="1"/>
    </row>
    <row r="10" ht="48.75" customHeight="1">
      <c r="O10" s="1"/>
    </row>
    <row r="11" ht="48.75" customHeight="1">
      <c r="O11" s="1"/>
    </row>
    <row r="12" ht="48.75" customHeight="1"/>
    <row r="13" ht="48.75" customHeight="1"/>
    <row r="14" ht="48.75" customHeight="1"/>
    <row r="15" ht="48.75" customHeight="1"/>
    <row r="16" ht="48.75" customHeight="1"/>
    <row r="17" ht="48.75" customHeight="1"/>
    <row r="18" ht="48.75" customHeight="1"/>
    <row r="19" ht="48.75" customHeight="1"/>
    <row r="20" ht="48.75" customHeight="1"/>
  </sheetData>
  <drawing r:id="rId1"/>
</worksheet>
</file>