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idaparti/Google Drive/OneDrive/Spring 2017/PHYS 2605/Millikan/"/>
    </mc:Choice>
  </mc:AlternateContent>
  <bookViews>
    <workbookView xWindow="0" yWindow="460" windowWidth="33600" windowHeight="19440" tabRatio="500" activeTab="1"/>
  </bookViews>
  <sheets>
    <sheet name="Calculations" sheetId="1" r:id="rId1"/>
    <sheet name="Make Shit Pretty" sheetId="6" r:id="rId2"/>
    <sheet name="Look at if Lost" sheetId="5" r:id="rId3"/>
    <sheet name="Ass Data" sheetId="4" r:id="rId4"/>
    <sheet name="Raw Data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B11" i="5"/>
  <c r="G2" i="1"/>
  <c r="G4" i="1"/>
  <c r="G5" i="1"/>
  <c r="G6" i="1"/>
  <c r="G7" i="1"/>
  <c r="G8" i="1"/>
  <c r="G9" i="1"/>
  <c r="G10" i="1"/>
  <c r="G11" i="1"/>
  <c r="G3" i="1"/>
  <c r="T14" i="1"/>
  <c r="R14" i="1"/>
  <c r="S2" i="1"/>
  <c r="H14" i="1"/>
  <c r="U2" i="1"/>
  <c r="J14" i="1"/>
  <c r="L14" i="1"/>
  <c r="N14" i="1"/>
  <c r="F14" i="1"/>
  <c r="P14" i="1"/>
  <c r="F27" i="1"/>
  <c r="S3" i="1"/>
  <c r="H15" i="1"/>
  <c r="U3" i="1"/>
  <c r="J15" i="1"/>
  <c r="L15" i="1"/>
  <c r="N15" i="1"/>
  <c r="S4" i="1"/>
  <c r="H16" i="1"/>
  <c r="U4" i="1"/>
  <c r="J16" i="1"/>
  <c r="L16" i="1"/>
  <c r="N16" i="1"/>
  <c r="S5" i="1"/>
  <c r="H17" i="1"/>
  <c r="U5" i="1"/>
  <c r="J17" i="1"/>
  <c r="L17" i="1"/>
  <c r="N17" i="1"/>
  <c r="S6" i="1"/>
  <c r="H18" i="1"/>
  <c r="U6" i="1"/>
  <c r="J18" i="1"/>
  <c r="L18" i="1"/>
  <c r="N18" i="1"/>
  <c r="S7" i="1"/>
  <c r="H19" i="1"/>
  <c r="U7" i="1"/>
  <c r="J19" i="1"/>
  <c r="L19" i="1"/>
  <c r="N19" i="1"/>
  <c r="S8" i="1"/>
  <c r="H20" i="1"/>
  <c r="U8" i="1"/>
  <c r="J20" i="1"/>
  <c r="L20" i="1"/>
  <c r="N20" i="1"/>
  <c r="S9" i="1"/>
  <c r="H21" i="1"/>
  <c r="U9" i="1"/>
  <c r="J21" i="1"/>
  <c r="L21" i="1"/>
  <c r="N21" i="1"/>
  <c r="S10" i="1"/>
  <c r="H22" i="1"/>
  <c r="U10" i="1"/>
  <c r="J22" i="1"/>
  <c r="L22" i="1"/>
  <c r="N22" i="1"/>
  <c r="S11" i="1"/>
  <c r="H23" i="1"/>
  <c r="U11" i="1"/>
  <c r="J23" i="1"/>
  <c r="L23" i="1"/>
  <c r="N23" i="1"/>
  <c r="M14" i="1"/>
  <c r="B8" i="1"/>
  <c r="B6" i="1"/>
  <c r="B21" i="1"/>
  <c r="F3" i="1"/>
  <c r="R3" i="1"/>
  <c r="F4" i="1"/>
  <c r="R4" i="1"/>
  <c r="F5" i="1"/>
  <c r="R5" i="1"/>
  <c r="F6" i="1"/>
  <c r="R6" i="1"/>
  <c r="F7" i="1"/>
  <c r="R7" i="1"/>
  <c r="F8" i="1"/>
  <c r="R8" i="1"/>
  <c r="F9" i="1"/>
  <c r="R9" i="1"/>
  <c r="F10" i="1"/>
  <c r="R10" i="1"/>
  <c r="F11" i="1"/>
  <c r="R11" i="1"/>
  <c r="F2" i="1"/>
  <c r="R2" i="1"/>
  <c r="B11" i="1"/>
  <c r="B9" i="1"/>
  <c r="B7" i="1"/>
  <c r="B5" i="1"/>
  <c r="B12" i="1"/>
  <c r="G15" i="1"/>
  <c r="I15" i="1"/>
  <c r="K15" i="1"/>
  <c r="T3" i="1"/>
  <c r="J3" i="1"/>
  <c r="B22" i="1"/>
  <c r="R15" i="1"/>
  <c r="E15" i="1"/>
  <c r="F15" i="1"/>
  <c r="P15" i="1"/>
  <c r="F28" i="1"/>
  <c r="G16" i="1"/>
  <c r="I16" i="1"/>
  <c r="K16" i="1"/>
  <c r="T4" i="1"/>
  <c r="J4" i="1"/>
  <c r="E16" i="1"/>
  <c r="F16" i="1"/>
  <c r="P16" i="1"/>
  <c r="F29" i="1"/>
  <c r="G17" i="1"/>
  <c r="I17" i="1"/>
  <c r="K17" i="1"/>
  <c r="T5" i="1"/>
  <c r="J5" i="1"/>
  <c r="E17" i="1"/>
  <c r="F17" i="1"/>
  <c r="P17" i="1"/>
  <c r="F30" i="1"/>
  <c r="G18" i="1"/>
  <c r="I18" i="1"/>
  <c r="K18" i="1"/>
  <c r="T6" i="1"/>
  <c r="J6" i="1"/>
  <c r="E18" i="1"/>
  <c r="F18" i="1"/>
  <c r="P18" i="1"/>
  <c r="F31" i="1"/>
  <c r="G19" i="1"/>
  <c r="I19" i="1"/>
  <c r="K19" i="1"/>
  <c r="T7" i="1"/>
  <c r="J7" i="1"/>
  <c r="E19" i="1"/>
  <c r="F19" i="1"/>
  <c r="P19" i="1"/>
  <c r="F32" i="1"/>
  <c r="G20" i="1"/>
  <c r="I20" i="1"/>
  <c r="K20" i="1"/>
  <c r="T8" i="1"/>
  <c r="J8" i="1"/>
  <c r="E20" i="1"/>
  <c r="F20" i="1"/>
  <c r="P20" i="1"/>
  <c r="F33" i="1"/>
  <c r="G21" i="1"/>
  <c r="I21" i="1"/>
  <c r="K21" i="1"/>
  <c r="T9" i="1"/>
  <c r="J9" i="1"/>
  <c r="E21" i="1"/>
  <c r="F21" i="1"/>
  <c r="P21" i="1"/>
  <c r="F34" i="1"/>
  <c r="G22" i="1"/>
  <c r="I22" i="1"/>
  <c r="K22" i="1"/>
  <c r="T10" i="1"/>
  <c r="J10" i="1"/>
  <c r="E22" i="1"/>
  <c r="F22" i="1"/>
  <c r="P22" i="1"/>
  <c r="F35" i="1"/>
  <c r="G23" i="1"/>
  <c r="I23" i="1"/>
  <c r="K23" i="1"/>
  <c r="T11" i="1"/>
  <c r="J11" i="1"/>
  <c r="E23" i="1"/>
  <c r="F23" i="1"/>
  <c r="P23" i="1"/>
  <c r="F36" i="1"/>
  <c r="G14" i="1"/>
  <c r="I14" i="1"/>
  <c r="K14" i="1"/>
  <c r="T2" i="1"/>
  <c r="J2" i="1"/>
  <c r="E14" i="1"/>
  <c r="O15" i="1"/>
  <c r="M15" i="1"/>
  <c r="E28" i="1"/>
  <c r="O16" i="1"/>
  <c r="M16" i="1"/>
  <c r="E29" i="1"/>
  <c r="O17" i="1"/>
  <c r="M17" i="1"/>
  <c r="E30" i="1"/>
  <c r="O18" i="1"/>
  <c r="M18" i="1"/>
  <c r="E31" i="1"/>
  <c r="O19" i="1"/>
  <c r="M19" i="1"/>
  <c r="E32" i="1"/>
  <c r="O20" i="1"/>
  <c r="M20" i="1"/>
  <c r="E33" i="1"/>
  <c r="O21" i="1"/>
  <c r="M21" i="1"/>
  <c r="E34" i="1"/>
  <c r="O22" i="1"/>
  <c r="M22" i="1"/>
  <c r="E35" i="1"/>
  <c r="O23" i="1"/>
  <c r="M23" i="1"/>
  <c r="E36" i="1"/>
  <c r="O14" i="1"/>
  <c r="E27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R23" i="1"/>
  <c r="T23" i="1"/>
  <c r="K11" i="3"/>
  <c r="J11" i="3"/>
  <c r="I11" i="1"/>
  <c r="K11" i="1"/>
  <c r="N11" i="3"/>
  <c r="O11" i="3"/>
  <c r="M11" i="3"/>
  <c r="L11" i="3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I9" i="1"/>
  <c r="K9" i="1"/>
  <c r="I10" i="1"/>
  <c r="K10" i="1"/>
  <c r="N10" i="3"/>
  <c r="O10" i="3"/>
  <c r="N9" i="3"/>
  <c r="O9" i="3"/>
  <c r="M10" i="3"/>
  <c r="M9" i="3"/>
  <c r="K10" i="3"/>
  <c r="L10" i="3"/>
  <c r="K9" i="3"/>
  <c r="L9" i="3"/>
  <c r="J10" i="3"/>
  <c r="J9" i="3"/>
  <c r="I3" i="1"/>
  <c r="K3" i="1"/>
  <c r="N3" i="3"/>
  <c r="O3" i="3"/>
  <c r="M3" i="3"/>
  <c r="K3" i="3"/>
  <c r="L3" i="3"/>
  <c r="J3" i="3"/>
  <c r="E15" i="5"/>
  <c r="B13" i="1"/>
  <c r="B14" i="1"/>
  <c r="B15" i="5"/>
  <c r="G15" i="5"/>
  <c r="I15" i="5"/>
  <c r="F15" i="5"/>
  <c r="H15" i="5"/>
  <c r="C15" i="5"/>
  <c r="E14" i="5"/>
  <c r="B14" i="5"/>
  <c r="G14" i="5"/>
  <c r="I14" i="5"/>
  <c r="F14" i="5"/>
  <c r="H14" i="5"/>
  <c r="C14" i="5"/>
  <c r="E13" i="5"/>
  <c r="B13" i="5"/>
  <c r="G13" i="5"/>
  <c r="I13" i="5"/>
  <c r="F13" i="5"/>
  <c r="H13" i="5"/>
  <c r="C13" i="5"/>
  <c r="E12" i="5"/>
  <c r="B12" i="5"/>
  <c r="G12" i="5"/>
  <c r="I12" i="5"/>
  <c r="F12" i="5"/>
  <c r="H12" i="5"/>
  <c r="C12" i="5"/>
  <c r="E11" i="5"/>
  <c r="G11" i="5"/>
  <c r="I11" i="5"/>
  <c r="F11" i="5"/>
  <c r="H11" i="5"/>
  <c r="C11" i="5"/>
  <c r="H11" i="4"/>
  <c r="I11" i="4"/>
  <c r="G11" i="4"/>
  <c r="H10" i="4"/>
  <c r="I10" i="4"/>
  <c r="G10" i="4"/>
  <c r="J9" i="4"/>
  <c r="K9" i="4"/>
  <c r="O9" i="4"/>
  <c r="H9" i="4"/>
  <c r="I9" i="4"/>
  <c r="G9" i="4"/>
  <c r="J8" i="4"/>
  <c r="K8" i="4"/>
  <c r="O8" i="4"/>
  <c r="H8" i="4"/>
  <c r="I8" i="4"/>
  <c r="G8" i="4"/>
  <c r="J7" i="4"/>
  <c r="K7" i="4"/>
  <c r="O7" i="4"/>
  <c r="J6" i="4"/>
  <c r="K6" i="4"/>
  <c r="O6" i="4"/>
  <c r="I2" i="1"/>
  <c r="K2" i="1"/>
  <c r="I4" i="1"/>
  <c r="K4" i="1"/>
  <c r="I5" i="1"/>
  <c r="K5" i="1"/>
  <c r="I6" i="1"/>
  <c r="K6" i="1"/>
  <c r="I7" i="1"/>
  <c r="K7" i="1"/>
  <c r="I8" i="1"/>
  <c r="K8" i="1"/>
  <c r="N8" i="3"/>
  <c r="O8" i="3"/>
  <c r="M8" i="3"/>
  <c r="L8" i="3"/>
  <c r="K8" i="3"/>
  <c r="J8" i="3"/>
  <c r="N7" i="3"/>
  <c r="O7" i="3"/>
  <c r="M7" i="3"/>
  <c r="K7" i="3"/>
  <c r="L7" i="3"/>
  <c r="J7" i="3"/>
  <c r="N6" i="3"/>
  <c r="O6" i="3"/>
  <c r="M6" i="3"/>
  <c r="K6" i="3"/>
  <c r="L6" i="3"/>
  <c r="J6" i="3"/>
  <c r="N5" i="3"/>
  <c r="O5" i="3"/>
  <c r="M5" i="3"/>
  <c r="K5" i="3"/>
  <c r="L5" i="3"/>
  <c r="J5" i="3"/>
  <c r="N4" i="3"/>
  <c r="O4" i="3"/>
  <c r="M4" i="3"/>
  <c r="K4" i="3"/>
  <c r="L4" i="3"/>
  <c r="J4" i="3"/>
  <c r="J2" i="3"/>
  <c r="N2" i="3"/>
  <c r="O2" i="3"/>
  <c r="M2" i="3"/>
  <c r="K2" i="3"/>
  <c r="L2" i="3"/>
  <c r="B15" i="1"/>
  <c r="B16" i="1"/>
  <c r="B17" i="1"/>
  <c r="B18" i="1"/>
  <c r="B20" i="1"/>
  <c r="B19" i="1"/>
</calcChain>
</file>

<file path=xl/sharedStrings.xml><?xml version="1.0" encoding="utf-8"?>
<sst xmlns="http://schemas.openxmlformats.org/spreadsheetml/2006/main" count="197" uniqueCount="115">
  <si>
    <t>Density</t>
  </si>
  <si>
    <t>Density air</t>
  </si>
  <si>
    <t>Constants</t>
  </si>
  <si>
    <t>kg/m^3</t>
  </si>
  <si>
    <t>g</t>
  </si>
  <si>
    <t>m/s^2</t>
  </si>
  <si>
    <t>radius</t>
  </si>
  <si>
    <t>m</t>
  </si>
  <si>
    <t>Temperature</t>
  </si>
  <si>
    <t>C</t>
  </si>
  <si>
    <t>kg/(m*s)</t>
  </si>
  <si>
    <t>Force Gravity</t>
  </si>
  <si>
    <t>Force Buoyancy</t>
  </si>
  <si>
    <t>N</t>
  </si>
  <si>
    <t>Terminal Velocity</t>
  </si>
  <si>
    <t>m/s</t>
  </si>
  <si>
    <t>T to reach 63%</t>
  </si>
  <si>
    <t>s</t>
  </si>
  <si>
    <t>Calibration markings</t>
  </si>
  <si>
    <t>in</t>
  </si>
  <si>
    <t>in/s</t>
  </si>
  <si>
    <t>ticks/s</t>
  </si>
  <si>
    <t>Max allowed ticks</t>
  </si>
  <si>
    <t>s/tick</t>
  </si>
  <si>
    <t>Drop</t>
  </si>
  <si>
    <t>Potential (V)</t>
  </si>
  <si>
    <t>Eric falling time (s)</t>
  </si>
  <si>
    <t>Adi falling time (s)</t>
  </si>
  <si>
    <t>Eric time down (s)</t>
  </si>
  <si>
    <t xml:space="preserve">Adi time down </t>
  </si>
  <si>
    <t>Eric time up (s)</t>
  </si>
  <si>
    <t>Adi time up</t>
  </si>
  <si>
    <t>Reaction timing</t>
  </si>
  <si>
    <t>Eric</t>
  </si>
  <si>
    <t>Adi</t>
  </si>
  <si>
    <t>Time down</t>
  </si>
  <si>
    <t>Time fall</t>
  </si>
  <si>
    <t>Velocity down</t>
  </si>
  <si>
    <t>Velocity fall</t>
  </si>
  <si>
    <t>Expected Charge</t>
  </si>
  <si>
    <t>Corrected Eta</t>
  </si>
  <si>
    <t>Charge in terms of e</t>
  </si>
  <si>
    <t>Calcuated Radius</t>
  </si>
  <si>
    <t>η</t>
  </si>
  <si>
    <t>Corrected η</t>
  </si>
  <si>
    <t>v_g</t>
  </si>
  <si>
    <t>v_down</t>
  </si>
  <si>
    <t>v_up</t>
  </si>
  <si>
    <t>qE/(6pi*r*eta)</t>
  </si>
  <si>
    <t>time down</t>
  </si>
  <si>
    <t>time up</t>
  </si>
  <si>
    <t>time fall (s)</t>
  </si>
  <si>
    <t>Plate separation</t>
  </si>
  <si>
    <t>Steps for next time:</t>
  </si>
  <si>
    <t>Identify which charge (1-5) you want to find</t>
  </si>
  <si>
    <t>Find potential which results in good time up/time down times</t>
  </si>
  <si>
    <t>Note that those are the predicted ones in columns H &amp; I</t>
  </si>
  <si>
    <t>Pick a particle, get 2 ups, 2 downs, and 2 falls</t>
  </si>
  <si>
    <t>Repeat for 2 at each level</t>
  </si>
  <si>
    <t>Trial</t>
  </si>
  <si>
    <t>Fall Time (s)</t>
  </si>
  <si>
    <t>Down Time (s)</t>
  </si>
  <si>
    <t>Up Time (s)</t>
  </si>
  <si>
    <t>Electric Field (V/m)</t>
  </si>
  <si>
    <t>δE (V/m)</t>
  </si>
  <si>
    <t>Potential (kV)</t>
  </si>
  <si>
    <t>δV (kV)</t>
  </si>
  <si>
    <t>V_g (m/s)</t>
  </si>
  <si>
    <t>V_down (m/s)</t>
  </si>
  <si>
    <t>δr (m)</t>
  </si>
  <si>
    <t>Radius (m)</t>
  </si>
  <si>
    <t>Ticks Fell</t>
  </si>
  <si>
    <t>1 Tick mark distance</t>
  </si>
  <si>
    <t>Distance fell (m)</t>
  </si>
  <si>
    <t>r_corr(m)</t>
  </si>
  <si>
    <t>η_corr(kg/m*s)</t>
  </si>
  <si>
    <t>δd (m)</t>
  </si>
  <si>
    <t>V_up (m/s)</t>
  </si>
  <si>
    <t>Values</t>
  </si>
  <si>
    <t>Units</t>
  </si>
  <si>
    <t>Electron Charge (accepted)</t>
  </si>
  <si>
    <t>Expected times for charges (e)</t>
  </si>
  <si>
    <t>Ticks</t>
  </si>
  <si>
    <t>Time Fell (s)</t>
  </si>
  <si>
    <t>Time Up</t>
  </si>
  <si>
    <t>Time Down</t>
  </si>
  <si>
    <t>Uncertinty Fell</t>
  </si>
  <si>
    <t>Uncertainty Up</t>
  </si>
  <si>
    <t>Uncertainty Down</t>
  </si>
  <si>
    <t>Missing Data</t>
  </si>
  <si>
    <t>δ Fall (s)</t>
  </si>
  <si>
    <t>δ Up (s)</t>
  </si>
  <si>
    <t>δ Down (s)</t>
  </si>
  <si>
    <t>δ V_g (m/s)</t>
  </si>
  <si>
    <t>δ V_up (m/s)</t>
  </si>
  <si>
    <t>δ V_down (m/s)</t>
  </si>
  <si>
    <t>Charge Down (C )</t>
  </si>
  <si>
    <t>q/e Down</t>
  </si>
  <si>
    <t>δ q_down (C )</t>
  </si>
  <si>
    <t>Charge Up(C )</t>
  </si>
  <si>
    <t>δ q_up</t>
  </si>
  <si>
    <t>q/e Up</t>
  </si>
  <si>
    <t>δ q_up/e</t>
  </si>
  <si>
    <t>δ q_down/e</t>
  </si>
  <si>
    <t>Chi-Squared Analysis</t>
  </si>
  <si>
    <t>Average Charge (C )(10^-19)</t>
  </si>
  <si>
    <t>F</t>
  </si>
  <si>
    <t>Temperature Uncertainty</t>
  </si>
  <si>
    <t>η Uncertainty</t>
  </si>
  <si>
    <t>δr_corr (m)</t>
  </si>
  <si>
    <t>δ η_corr(kg/m*s)</t>
  </si>
  <si>
    <t>δ Charge (C )(10^-19)</t>
  </si>
  <si>
    <t>Potential</t>
  </si>
  <si>
    <t>kV</t>
  </si>
  <si>
    <t>V/m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</si>
</sst>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E+00"/>
    <numFmt numFmtId="167" formatCode="0.0E+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2" borderId="0" xfId="89"/>
    <xf numFmtId="0" fontId="6" fillId="2" borderId="0" xfId="89" applyFon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3" borderId="0" xfId="0" applyFill="1"/>
    <xf numFmtId="0" fontId="0" fillId="0" borderId="0" xfId="0" applyFill="1"/>
    <xf numFmtId="0" fontId="4" fillId="3" borderId="0" xfId="0" applyFont="1" applyFill="1"/>
    <xf numFmtId="0" fontId="4" fillId="0" borderId="0" xfId="0" applyFont="1" applyFill="1"/>
    <xf numFmtId="2" fontId="0" fillId="0" borderId="0" xfId="0" applyNumberFormat="1" applyFill="1"/>
    <xf numFmtId="0" fontId="5" fillId="0" borderId="0" xfId="89" applyFill="1"/>
    <xf numFmtId="166" fontId="4" fillId="0" borderId="0" xfId="0" applyNumberFormat="1" applyFont="1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/>
    <xf numFmtId="165" fontId="0" fillId="0" borderId="0" xfId="0" applyNumberFormat="1" applyFill="1"/>
    <xf numFmtId="0" fontId="7" fillId="0" borderId="0" xfId="0" applyFont="1"/>
    <xf numFmtId="2" fontId="4" fillId="0" borderId="0" xfId="0" applyNumberFormat="1" applyFont="1"/>
    <xf numFmtId="2" fontId="0" fillId="0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6" fontId="0" fillId="0" borderId="0" xfId="0" applyNumberFormat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eutral" xfId="89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="94" workbookViewId="0">
      <selection activeCell="C35" sqref="A1:XFD1048576"/>
    </sheetView>
  </sheetViews>
  <sheetFormatPr baseColWidth="10" defaultColWidth="10.5" defaultRowHeight="16" x14ac:dyDescent="0.2"/>
  <cols>
    <col min="1" max="1" width="23" bestFit="1" customWidth="1"/>
    <col min="2" max="2" width="13.1640625" bestFit="1" customWidth="1"/>
    <col min="3" max="3" width="18.5" bestFit="1" customWidth="1"/>
    <col min="4" max="4" width="5.1640625" bestFit="1" customWidth="1"/>
    <col min="5" max="5" width="24.33203125" bestFit="1" customWidth="1"/>
    <col min="6" max="6" width="17.83203125" bestFit="1" customWidth="1"/>
    <col min="7" max="7" width="10" bestFit="1" customWidth="1"/>
    <col min="8" max="8" width="12.5" bestFit="1" customWidth="1"/>
    <col min="9" max="9" width="9" bestFit="1" customWidth="1"/>
    <col min="10" max="10" width="17" bestFit="1" customWidth="1"/>
    <col min="11" max="11" width="14" bestFit="1" customWidth="1"/>
    <col min="12" max="13" width="15.5" bestFit="1" customWidth="1"/>
    <col min="14" max="14" width="13" bestFit="1" customWidth="1"/>
    <col min="15" max="15" width="13.1640625" bestFit="1" customWidth="1"/>
    <col min="16" max="16" width="8.1640625" bestFit="1" customWidth="1"/>
    <col min="17" max="17" width="10" bestFit="1" customWidth="1"/>
    <col min="18" max="18" width="11.1640625" bestFit="1" customWidth="1"/>
    <col min="19" max="19" width="10.6640625" bestFit="1" customWidth="1"/>
    <col min="20" max="20" width="10.33203125" bestFit="1" customWidth="1"/>
    <col min="21" max="21" width="11.83203125" bestFit="1" customWidth="1"/>
  </cols>
  <sheetData>
    <row r="1" spans="1:30" x14ac:dyDescent="0.2">
      <c r="A1" s="1" t="s">
        <v>2</v>
      </c>
      <c r="B1" s="1" t="s">
        <v>78</v>
      </c>
      <c r="C1" s="15" t="s">
        <v>79</v>
      </c>
      <c r="D1" s="10" t="s">
        <v>24</v>
      </c>
      <c r="E1" s="10" t="s">
        <v>71</v>
      </c>
      <c r="F1" s="1" t="s">
        <v>73</v>
      </c>
      <c r="G1" s="1" t="s">
        <v>76</v>
      </c>
      <c r="H1" s="10" t="s">
        <v>65</v>
      </c>
      <c r="I1" s="9" t="s">
        <v>66</v>
      </c>
      <c r="J1" s="1" t="s">
        <v>63</v>
      </c>
      <c r="K1" s="1" t="s">
        <v>64</v>
      </c>
      <c r="L1" s="10" t="s">
        <v>60</v>
      </c>
      <c r="M1" s="10" t="s">
        <v>62</v>
      </c>
      <c r="N1" s="10" t="s">
        <v>61</v>
      </c>
      <c r="O1" s="10" t="s">
        <v>90</v>
      </c>
      <c r="P1" s="10" t="s">
        <v>91</v>
      </c>
      <c r="Q1" s="10" t="s">
        <v>92</v>
      </c>
      <c r="R1" s="1" t="s">
        <v>67</v>
      </c>
      <c r="S1" s="1" t="s">
        <v>93</v>
      </c>
      <c r="T1" s="1" t="s">
        <v>77</v>
      </c>
      <c r="U1" s="1" t="s">
        <v>94</v>
      </c>
    </row>
    <row r="2" spans="1:30" x14ac:dyDescent="0.2">
      <c r="A2" t="s">
        <v>0</v>
      </c>
      <c r="B2">
        <v>1050</v>
      </c>
      <c r="C2" s="12" t="s">
        <v>3</v>
      </c>
      <c r="D2" s="17">
        <v>1</v>
      </c>
      <c r="E2" s="17">
        <v>4</v>
      </c>
      <c r="F2" s="31">
        <f t="shared" ref="F2:F8" si="0">$B$21*E2</f>
        <v>4.3656226425637726E-3</v>
      </c>
      <c r="G2" s="22">
        <f>0.000396875/2</f>
        <v>1.9843749999999999E-4</v>
      </c>
      <c r="H2">
        <v>-1.0029999999999999</v>
      </c>
      <c r="I2">
        <f t="shared" ref="I2:I8" si="1">0.001</f>
        <v>1E-3</v>
      </c>
      <c r="J2" s="2">
        <f t="shared" ref="J2:J11" si="2">H2*1000/B$23</f>
        <v>-52650.918635170594</v>
      </c>
      <c r="K2" s="33">
        <f t="shared" ref="K2:K11" si="3">I2*1000/B$23</f>
        <v>52.493438320209968</v>
      </c>
      <c r="L2" s="3">
        <v>83.335000000000008</v>
      </c>
      <c r="M2" s="3">
        <v>9.6950000000000003</v>
      </c>
      <c r="N2" s="3">
        <v>7.87</v>
      </c>
      <c r="O2" s="3">
        <v>2.3299999999999983</v>
      </c>
      <c r="P2" s="3">
        <v>0.10999999999999943</v>
      </c>
      <c r="Q2" s="3">
        <v>6.0000000000000497E-2</v>
      </c>
      <c r="R2" s="2">
        <f t="shared" ref="R2:R8" si="4">F2/L2</f>
        <v>5.2386423982285623E-5</v>
      </c>
      <c r="S2" s="32">
        <f t="shared" ref="S2:S8" si="5">R2*SQRT((O2/L2)^2+(G2/F2)^2)</f>
        <v>2.7956138058886239E-6</v>
      </c>
      <c r="T2" s="2">
        <f t="shared" ref="T2:T8" si="6">F2/M2</f>
        <v>4.5029630145062118E-4</v>
      </c>
      <c r="U2" s="2">
        <f t="shared" ref="U2:U8" si="7">T2*SQRT((P2/M2)^2+(G2/F2)^2)</f>
        <v>2.1096037584207437E-5</v>
      </c>
    </row>
    <row r="3" spans="1:30" x14ac:dyDescent="0.2">
      <c r="A3" t="s">
        <v>1</v>
      </c>
      <c r="B3">
        <v>1.2250000000000001</v>
      </c>
      <c r="C3" s="12" t="s">
        <v>3</v>
      </c>
      <c r="D3">
        <v>2</v>
      </c>
      <c r="E3">
        <v>4</v>
      </c>
      <c r="F3" s="31">
        <f t="shared" si="0"/>
        <v>4.3656226425637726E-3</v>
      </c>
      <c r="G3" s="22">
        <f>0.000396875/2</f>
        <v>1.9843749999999999E-4</v>
      </c>
      <c r="H3">
        <v>-1.0029999999999999</v>
      </c>
      <c r="I3">
        <f t="shared" si="1"/>
        <v>1E-3</v>
      </c>
      <c r="J3" s="2">
        <f t="shared" si="2"/>
        <v>-52650.918635170594</v>
      </c>
      <c r="K3" s="33">
        <f t="shared" si="3"/>
        <v>52.493438320209968</v>
      </c>
      <c r="L3" s="3">
        <v>61.790000000000006</v>
      </c>
      <c r="M3" s="3">
        <v>11.170000000000002</v>
      </c>
      <c r="N3" s="3">
        <v>8.18</v>
      </c>
      <c r="O3" s="3">
        <v>0.10000000000000142</v>
      </c>
      <c r="P3" s="3">
        <v>8.0000000000000071E-2</v>
      </c>
      <c r="Q3" s="3">
        <v>0.32000000000000028</v>
      </c>
      <c r="R3" s="2">
        <f t="shared" si="4"/>
        <v>7.0652575539145043E-5</v>
      </c>
      <c r="S3" s="32">
        <f t="shared" si="5"/>
        <v>3.213517356528422E-6</v>
      </c>
      <c r="T3" s="2">
        <f t="shared" si="6"/>
        <v>3.9083461437455433E-4</v>
      </c>
      <c r="U3" s="2">
        <f t="shared" si="7"/>
        <v>1.7984392983135294E-5</v>
      </c>
    </row>
    <row r="4" spans="1:30" x14ac:dyDescent="0.2">
      <c r="A4" t="s">
        <v>4</v>
      </c>
      <c r="B4">
        <v>9.81</v>
      </c>
      <c r="C4" s="12" t="s">
        <v>5</v>
      </c>
      <c r="D4" s="17">
        <v>3</v>
      </c>
      <c r="E4" s="17">
        <v>4</v>
      </c>
      <c r="F4" s="31">
        <f t="shared" si="0"/>
        <v>4.3656226425637726E-3</v>
      </c>
      <c r="G4" s="22">
        <f t="shared" ref="G4:G11" si="8">0.000396875/2</f>
        <v>1.9843749999999999E-4</v>
      </c>
      <c r="H4">
        <v>-1.0029999999999999</v>
      </c>
      <c r="I4">
        <f t="shared" si="1"/>
        <v>1E-3</v>
      </c>
      <c r="J4" s="2">
        <f t="shared" si="2"/>
        <v>-52650.918635170594</v>
      </c>
      <c r="K4" s="33">
        <f t="shared" si="3"/>
        <v>52.493438320209968</v>
      </c>
      <c r="L4" s="3">
        <v>64.72</v>
      </c>
      <c r="M4" s="3">
        <v>11.315</v>
      </c>
      <c r="N4" s="3">
        <v>8.18</v>
      </c>
      <c r="O4" s="3">
        <v>5.3199999999999932</v>
      </c>
      <c r="P4" s="3">
        <v>7.0000000000000284E-2</v>
      </c>
      <c r="Q4" s="3">
        <v>0.30000000000000071</v>
      </c>
      <c r="R4" s="2">
        <f t="shared" si="4"/>
        <v>6.7453996331331463E-5</v>
      </c>
      <c r="S4" s="32">
        <f t="shared" si="5"/>
        <v>6.3360090551284664E-6</v>
      </c>
      <c r="T4" s="2">
        <f t="shared" si="6"/>
        <v>3.8582612837505725E-4</v>
      </c>
      <c r="U4" s="2">
        <f t="shared" si="7"/>
        <v>1.7699247227840896E-5</v>
      </c>
    </row>
    <row r="5" spans="1:30" x14ac:dyDescent="0.2">
      <c r="A5" t="s">
        <v>6</v>
      </c>
      <c r="B5" s="2">
        <f>10^-6</f>
        <v>9.9999999999999995E-7</v>
      </c>
      <c r="C5" s="12" t="s">
        <v>7</v>
      </c>
      <c r="D5" s="17">
        <v>4</v>
      </c>
      <c r="E5" s="17">
        <v>4</v>
      </c>
      <c r="F5" s="31">
        <f t="shared" si="0"/>
        <v>4.3656226425637726E-3</v>
      </c>
      <c r="G5" s="22">
        <f t="shared" si="8"/>
        <v>1.9843749999999999E-4</v>
      </c>
      <c r="H5">
        <v>-1.0029999999999999</v>
      </c>
      <c r="I5">
        <f t="shared" si="1"/>
        <v>1E-3</v>
      </c>
      <c r="J5" s="2">
        <f t="shared" si="2"/>
        <v>-52650.918635170594</v>
      </c>
      <c r="K5" s="33">
        <f t="shared" si="3"/>
        <v>52.493438320209968</v>
      </c>
      <c r="L5" s="3">
        <v>116.96000000000001</v>
      </c>
      <c r="M5" s="3">
        <v>20.825000000000003</v>
      </c>
      <c r="N5" s="3">
        <v>14.15</v>
      </c>
      <c r="O5" s="3">
        <v>9.8800000000000097</v>
      </c>
      <c r="P5" s="3">
        <v>1.2300000000000004</v>
      </c>
      <c r="Q5" s="3">
        <v>1.9800000000000004</v>
      </c>
      <c r="R5" s="2">
        <f t="shared" si="4"/>
        <v>3.7325774987720353E-5</v>
      </c>
      <c r="S5" s="32">
        <f t="shared" si="5"/>
        <v>3.580524540938108E-6</v>
      </c>
      <c r="T5" s="2">
        <f t="shared" si="6"/>
        <v>2.0963374033919674E-4</v>
      </c>
      <c r="U5" s="2">
        <f t="shared" si="7"/>
        <v>1.5623874525699832E-5</v>
      </c>
    </row>
    <row r="6" spans="1:30" x14ac:dyDescent="0.2">
      <c r="A6" t="s">
        <v>43</v>
      </c>
      <c r="B6" s="2">
        <f>1.824*(1+ 0.005*(B8-20))*10^-5</f>
        <v>1.8452800000000004E-5</v>
      </c>
      <c r="C6" s="12" t="s">
        <v>10</v>
      </c>
      <c r="D6" s="17">
        <v>5</v>
      </c>
      <c r="E6" s="17">
        <v>1</v>
      </c>
      <c r="F6" s="31">
        <f t="shared" si="0"/>
        <v>1.0914056606409431E-3</v>
      </c>
      <c r="G6" s="22">
        <f t="shared" si="8"/>
        <v>1.9843749999999999E-4</v>
      </c>
      <c r="H6">
        <v>-1.0029999999999999</v>
      </c>
      <c r="I6">
        <f t="shared" si="1"/>
        <v>1E-3</v>
      </c>
      <c r="J6" s="2">
        <f t="shared" si="2"/>
        <v>-52650.918635170594</v>
      </c>
      <c r="K6" s="33">
        <f t="shared" si="3"/>
        <v>52.493438320209968</v>
      </c>
      <c r="L6" s="3">
        <v>19.565000000000001</v>
      </c>
      <c r="M6" s="3">
        <v>29.475000000000001</v>
      </c>
      <c r="N6" s="3">
        <v>6.7949999999999999</v>
      </c>
      <c r="O6" s="3">
        <v>4.3900000000000006</v>
      </c>
      <c r="P6" s="3">
        <v>1.4700000000000024</v>
      </c>
      <c r="Q6" s="3">
        <v>0.47000000000000064</v>
      </c>
      <c r="R6" s="2">
        <f t="shared" si="4"/>
        <v>5.5783575805823823E-5</v>
      </c>
      <c r="S6" s="32">
        <f t="shared" si="5"/>
        <v>1.6110195566099485E-5</v>
      </c>
      <c r="T6" s="2">
        <f t="shared" si="6"/>
        <v>3.7028181870769908E-5</v>
      </c>
      <c r="U6" s="32">
        <f t="shared" si="7"/>
        <v>6.9810821731004899E-6</v>
      </c>
    </row>
    <row r="7" spans="1:30" x14ac:dyDescent="0.2">
      <c r="A7" t="s">
        <v>108</v>
      </c>
      <c r="B7" s="2">
        <f>B9*1.824*0.005*10^-5</f>
        <v>2.3357333333333341E-8</v>
      </c>
      <c r="C7" s="12" t="s">
        <v>10</v>
      </c>
      <c r="D7" s="17">
        <v>6</v>
      </c>
      <c r="E7" s="17">
        <v>1</v>
      </c>
      <c r="F7" s="31">
        <f t="shared" si="0"/>
        <v>1.0914056606409431E-3</v>
      </c>
      <c r="G7" s="22">
        <f t="shared" si="8"/>
        <v>1.9843749999999999E-4</v>
      </c>
      <c r="H7">
        <v>-1.0029999999999999</v>
      </c>
      <c r="I7">
        <f t="shared" si="1"/>
        <v>1E-3</v>
      </c>
      <c r="J7" s="2">
        <f t="shared" si="2"/>
        <v>-52650.918635170594</v>
      </c>
      <c r="K7" s="33">
        <f t="shared" si="3"/>
        <v>52.493438320209968</v>
      </c>
      <c r="L7" s="3">
        <v>27.189999999999998</v>
      </c>
      <c r="M7" s="3">
        <v>39.03</v>
      </c>
      <c r="N7" s="3">
        <v>9.4649999999999999</v>
      </c>
      <c r="O7" s="3">
        <v>0.48000000000000043</v>
      </c>
      <c r="P7" s="3">
        <v>1.5</v>
      </c>
      <c r="Q7" s="3">
        <v>5.0000000000000711E-2</v>
      </c>
      <c r="R7" s="2">
        <f t="shared" si="4"/>
        <v>4.0139965452039105E-5</v>
      </c>
      <c r="S7" s="32">
        <f t="shared" si="5"/>
        <v>7.3324999735391978E-6</v>
      </c>
      <c r="T7" s="2">
        <f t="shared" si="6"/>
        <v>2.7963250336688268E-5</v>
      </c>
      <c r="U7" s="32">
        <f t="shared" si="7"/>
        <v>5.1965699207956973E-6</v>
      </c>
    </row>
    <row r="8" spans="1:30" x14ac:dyDescent="0.2">
      <c r="A8" t="s">
        <v>8</v>
      </c>
      <c r="B8" s="3">
        <f>(B10-32)*5/9</f>
        <v>22.333333333333332</v>
      </c>
      <c r="C8" s="12" t="s">
        <v>9</v>
      </c>
      <c r="D8" s="17">
        <v>7</v>
      </c>
      <c r="E8" s="17">
        <v>1</v>
      </c>
      <c r="F8" s="31">
        <f t="shared" si="0"/>
        <v>1.0914056606409431E-3</v>
      </c>
      <c r="G8" s="22">
        <f t="shared" si="8"/>
        <v>1.9843749999999999E-4</v>
      </c>
      <c r="H8">
        <v>-1.0029999999999999</v>
      </c>
      <c r="I8">
        <f t="shared" si="1"/>
        <v>1E-3</v>
      </c>
      <c r="J8" s="2">
        <f t="shared" si="2"/>
        <v>-52650.918635170594</v>
      </c>
      <c r="K8" s="33">
        <f t="shared" si="3"/>
        <v>52.493438320209968</v>
      </c>
      <c r="L8" s="3">
        <v>43</v>
      </c>
      <c r="M8" s="3">
        <v>49.894999999999996</v>
      </c>
      <c r="N8" s="3">
        <v>15.155000000000001</v>
      </c>
      <c r="O8" s="3">
        <v>1.0799999999999983</v>
      </c>
      <c r="P8" s="3">
        <v>0.6699999999999946</v>
      </c>
      <c r="Q8" s="3">
        <v>0.29000000000000092</v>
      </c>
      <c r="R8" s="2">
        <f t="shared" si="4"/>
        <v>2.5381526991649842E-5</v>
      </c>
      <c r="S8" s="32">
        <f t="shared" si="5"/>
        <v>4.6586487341946292E-6</v>
      </c>
      <c r="T8" s="2">
        <f t="shared" si="6"/>
        <v>2.1874048715120619E-5</v>
      </c>
      <c r="U8" s="32">
        <f t="shared" si="7"/>
        <v>3.9879338521597351E-6</v>
      </c>
    </row>
    <row r="9" spans="1:30" x14ac:dyDescent="0.2">
      <c r="A9" t="s">
        <v>107</v>
      </c>
      <c r="B9" s="3">
        <f>B11*5/9</f>
        <v>0.25611111111111118</v>
      </c>
      <c r="C9" s="12" t="s">
        <v>9</v>
      </c>
      <c r="D9">
        <v>8</v>
      </c>
      <c r="E9">
        <v>1</v>
      </c>
      <c r="F9" s="31">
        <f t="shared" ref="F9:F11" si="9">$B$21*E9</f>
        <v>1.0914056606409431E-3</v>
      </c>
      <c r="G9" s="22">
        <f t="shared" si="8"/>
        <v>1.9843749999999999E-4</v>
      </c>
      <c r="H9">
        <v>-1.0029999999999999</v>
      </c>
      <c r="I9">
        <f t="shared" ref="I9:I11" si="10">0.001</f>
        <v>1E-3</v>
      </c>
      <c r="J9" s="2">
        <f t="shared" si="2"/>
        <v>-52650.918635170594</v>
      </c>
      <c r="K9" s="33">
        <f t="shared" si="3"/>
        <v>52.493438320209968</v>
      </c>
      <c r="L9" s="3">
        <v>42.204999999999998</v>
      </c>
      <c r="M9" s="3">
        <v>18.225000000000001</v>
      </c>
      <c r="N9" s="3">
        <v>9.15</v>
      </c>
      <c r="O9" s="3">
        <v>0.49000000000000199</v>
      </c>
      <c r="P9" s="3">
        <v>0.80999999999999872</v>
      </c>
      <c r="Q9" s="3">
        <v>0.16000000000000014</v>
      </c>
      <c r="R9" s="2">
        <f t="shared" ref="R9:R10" si="11">F9/L9</f>
        <v>2.5859629442979344E-5</v>
      </c>
      <c r="S9" s="32">
        <f t="shared" ref="S9:S10" si="12">R9*SQRT((O9/L9)^2+(G9/F9)^2)</f>
        <v>4.7113291911210044E-6</v>
      </c>
      <c r="T9" s="2">
        <f t="shared" ref="T9:T10" si="13">F9/M9</f>
        <v>5.9885084260134047E-5</v>
      </c>
      <c r="U9" s="2">
        <f t="shared" ref="U9:U10" si="14">T9*SQRT((P9/M9)^2+(G9/F9)^2)</f>
        <v>1.1208785075437656E-5</v>
      </c>
    </row>
    <row r="10" spans="1:30" x14ac:dyDescent="0.2">
      <c r="A10" t="s">
        <v>8</v>
      </c>
      <c r="B10" s="6">
        <v>72.2</v>
      </c>
      <c r="C10" s="12" t="s">
        <v>106</v>
      </c>
      <c r="D10">
        <v>9</v>
      </c>
      <c r="E10">
        <v>1</v>
      </c>
      <c r="F10" s="31">
        <f t="shared" si="9"/>
        <v>1.0914056606409431E-3</v>
      </c>
      <c r="G10" s="22">
        <f t="shared" si="8"/>
        <v>1.9843749999999999E-4</v>
      </c>
      <c r="H10">
        <v>-1.0029999999999999</v>
      </c>
      <c r="I10">
        <f t="shared" si="10"/>
        <v>1E-3</v>
      </c>
      <c r="J10" s="2">
        <f t="shared" si="2"/>
        <v>-52650.918635170594</v>
      </c>
      <c r="K10" s="33">
        <f t="shared" si="3"/>
        <v>52.493438320209968</v>
      </c>
      <c r="L10" s="3">
        <v>38.195</v>
      </c>
      <c r="M10" s="3">
        <v>59.54</v>
      </c>
      <c r="N10" s="3">
        <v>14.425000000000001</v>
      </c>
      <c r="O10" s="3">
        <v>1.9099999999999966</v>
      </c>
      <c r="P10" s="3">
        <v>1.2800000000000011</v>
      </c>
      <c r="Q10" s="3">
        <v>0.36999999999999922</v>
      </c>
      <c r="R10" s="2">
        <f t="shared" si="11"/>
        <v>2.8574568939414665E-5</v>
      </c>
      <c r="S10" s="32">
        <f t="shared" si="12"/>
        <v>5.3882986322321682E-6</v>
      </c>
      <c r="T10" s="2">
        <f t="shared" si="13"/>
        <v>1.8330629167634247E-5</v>
      </c>
      <c r="U10" s="32">
        <f t="shared" si="14"/>
        <v>3.3560602514547473E-6</v>
      </c>
    </row>
    <row r="11" spans="1:30" x14ac:dyDescent="0.2">
      <c r="A11" t="s">
        <v>107</v>
      </c>
      <c r="B11" s="3">
        <f>0.5% * B10 + 0.1</f>
        <v>0.46100000000000008</v>
      </c>
      <c r="C11" s="12" t="s">
        <v>106</v>
      </c>
      <c r="D11">
        <v>10</v>
      </c>
      <c r="E11">
        <v>1</v>
      </c>
      <c r="F11" s="31">
        <f t="shared" si="9"/>
        <v>1.0914056606409431E-3</v>
      </c>
      <c r="G11" s="22">
        <f t="shared" si="8"/>
        <v>1.9843749999999999E-4</v>
      </c>
      <c r="H11">
        <v>-1.0029999999999999</v>
      </c>
      <c r="I11">
        <f t="shared" si="10"/>
        <v>1E-3</v>
      </c>
      <c r="J11" s="2">
        <f t="shared" si="2"/>
        <v>-52650.918635170594</v>
      </c>
      <c r="K11" s="33">
        <f t="shared" si="3"/>
        <v>52.493438320209968</v>
      </c>
      <c r="L11" s="3">
        <v>27.365000000000002</v>
      </c>
      <c r="M11" s="3">
        <v>39.305</v>
      </c>
      <c r="N11" s="3">
        <v>9.5150000000000006</v>
      </c>
      <c r="O11" s="3">
        <v>1.3300000000000018</v>
      </c>
      <c r="P11" s="3">
        <v>0.45000000000000284</v>
      </c>
      <c r="Q11" s="3">
        <v>0.50999999999999979</v>
      </c>
      <c r="R11" s="2">
        <f t="shared" ref="R11" si="15">F11/L11</f>
        <v>3.9883269162833661E-5</v>
      </c>
      <c r="S11" s="32">
        <f t="shared" ref="S11" si="16">R11*SQRT((O11/L11)^2+(G11/F11)^2)</f>
        <v>7.5061185263435783E-6</v>
      </c>
      <c r="T11" s="2">
        <f t="shared" ref="T11" si="17">F11/M11</f>
        <v>2.7767603629078823E-5</v>
      </c>
      <c r="U11" s="32">
        <f t="shared" ref="U11" si="18">T11*SQRT((P11/M11)^2+(G11/F11)^2)</f>
        <v>5.0586572504849087E-6</v>
      </c>
    </row>
    <row r="12" spans="1:30" x14ac:dyDescent="0.2">
      <c r="A12" t="s">
        <v>44</v>
      </c>
      <c r="B12" s="2">
        <f>B6/(1+8.1*10^-8/B5/1)</f>
        <v>1.7070120259019432E-5</v>
      </c>
      <c r="C12" s="12" t="s">
        <v>10</v>
      </c>
    </row>
    <row r="13" spans="1:30" x14ac:dyDescent="0.2">
      <c r="A13" t="s">
        <v>11</v>
      </c>
      <c r="B13" s="2">
        <f>4/3*PI()*B5^3*B2*B4</f>
        <v>4.3146633504402211E-14</v>
      </c>
      <c r="C13" s="12" t="s">
        <v>13</v>
      </c>
      <c r="D13" s="10" t="s">
        <v>24</v>
      </c>
      <c r="E13" s="1" t="s">
        <v>68</v>
      </c>
      <c r="F13" s="1" t="s">
        <v>95</v>
      </c>
      <c r="G13" s="1" t="s">
        <v>70</v>
      </c>
      <c r="H13" s="1" t="s">
        <v>69</v>
      </c>
      <c r="I13" s="1" t="s">
        <v>74</v>
      </c>
      <c r="J13" s="1" t="s">
        <v>109</v>
      </c>
      <c r="K13" s="1" t="s">
        <v>75</v>
      </c>
      <c r="L13" s="1" t="s">
        <v>110</v>
      </c>
      <c r="M13" s="1" t="s">
        <v>96</v>
      </c>
      <c r="N13" s="1" t="s">
        <v>98</v>
      </c>
      <c r="O13" s="1" t="s">
        <v>99</v>
      </c>
      <c r="P13" s="1" t="s">
        <v>100</v>
      </c>
      <c r="Q13" s="1" t="s">
        <v>97</v>
      </c>
      <c r="R13" s="1" t="s">
        <v>103</v>
      </c>
      <c r="S13" s="1" t="s">
        <v>101</v>
      </c>
      <c r="T13" s="1" t="s">
        <v>102</v>
      </c>
    </row>
    <row r="14" spans="1:30" x14ac:dyDescent="0.2">
      <c r="A14" t="s">
        <v>12</v>
      </c>
      <c r="B14" s="2">
        <f>4/3*PI()*B5^3*B3*B4</f>
        <v>5.033773908846926E-17</v>
      </c>
      <c r="C14" s="12" t="s">
        <v>13</v>
      </c>
      <c r="D14" s="17">
        <v>1</v>
      </c>
      <c r="E14" s="2">
        <f t="shared" ref="E14:E23" si="19">F2/N2</f>
        <v>5.5471698126604478E-4</v>
      </c>
      <c r="F14" s="32">
        <f t="shared" ref="F14:F23" si="20">E14*SQRT((Q2/N2)^2+(G2/F2)^2)</f>
        <v>2.5566625868804864E-5</v>
      </c>
      <c r="G14" s="2">
        <f t="shared" ref="G14:G23" si="21">SQRT(9*$B$6*R2/(2*(B$2-B$3)*$B$4))</f>
        <v>6.5023614040938167E-7</v>
      </c>
      <c r="H14" s="32">
        <f t="shared" ref="H14:H23" si="22">SQRT(9*$B$6/(2*(B$2-B$3)*$B$4))/2 * (S2/SQRT(R2))</f>
        <v>1.7350002090531034E-8</v>
      </c>
      <c r="I14" s="2">
        <f t="shared" ref="I14:I20" si="23">G14-8.1*10^-8/2</f>
        <v>6.097361404093817E-7</v>
      </c>
      <c r="J14" s="32">
        <f>H14</f>
        <v>1.7350002090531034E-8</v>
      </c>
      <c r="K14" s="2">
        <f t="shared" ref="K14:K23" si="24">B$6/(1+8.1*10^-8/I14)</f>
        <v>1.6288910328447359E-5</v>
      </c>
      <c r="L14" s="33">
        <f>SQRT(($B$7/(1+8.1*10^-8/I14))^2+(J14*$B$6*8.1*10^-8/(8.1*10^-8 +I14)^2)^2)</f>
        <v>5.8132167358188056E-8</v>
      </c>
      <c r="M14" s="2">
        <f t="shared" ref="M14:M23" si="25">6*PI()*K14*I14*(E14-R2)/J2</f>
        <v>-1.7861533295159901E-18</v>
      </c>
      <c r="N14" s="33">
        <f>SQRT((H14*K14*(R2+T2)/J2)^2+(S2*K14*I14*T2/J2)^2+(U2*K14*I14*R2/J2)^2+(I14*K14*(R2+U2)/J2^2)^2+(L14*I14*(R2+T2)/J2)^2)*(6*PI())</f>
        <v>5.1258970452090164E-20</v>
      </c>
      <c r="O14" s="2">
        <f t="shared" ref="O14:O23" si="26">6*PI()*K14*I14*(R2+T2)/J2</f>
        <v>-1.7874055454185047E-18</v>
      </c>
      <c r="P14" s="33">
        <f t="shared" ref="P14:P23" si="27">SQRT((H14*(R2+E14)/J2)^2+(S2*I14*E14/J2)^2+(F14*I14*R2/J2)^2+(I14*(R2-F14)/J2^2)^2)*(6*PI()*K14)</f>
        <v>6.14255998264576E-20</v>
      </c>
      <c r="Q14" s="6">
        <f t="shared" ref="Q14:Q20" si="28">M14/($B$22)</f>
        <v>11.14829231196739</v>
      </c>
      <c r="R14" s="6">
        <f t="shared" ref="R14:R22" si="29">-N14/$B$22</f>
        <v>0.31993333201985036</v>
      </c>
      <c r="S14" s="6">
        <f>O14/($B$22)</f>
        <v>11.156108028954414</v>
      </c>
      <c r="T14" s="6">
        <f>-P14/$B$22</f>
        <v>0.38338844207112194</v>
      </c>
      <c r="Y14" s="2"/>
      <c r="Z14" s="2"/>
      <c r="AA14" s="2"/>
      <c r="AB14" s="3"/>
      <c r="AC14" s="11"/>
      <c r="AD14" s="3"/>
    </row>
    <row r="15" spans="1:30" x14ac:dyDescent="0.2">
      <c r="A15" t="s">
        <v>14</v>
      </c>
      <c r="B15" s="2">
        <f>(B13-B14)/(6*PI()*B6*B5)</f>
        <v>1.2390149462412203E-4</v>
      </c>
      <c r="C15" s="12" t="s">
        <v>15</v>
      </c>
      <c r="D15">
        <v>2</v>
      </c>
      <c r="E15" s="2">
        <f t="shared" si="19"/>
        <v>5.3369469957992332E-4</v>
      </c>
      <c r="F15" s="32">
        <f t="shared" si="20"/>
        <v>3.2006009887342408E-5</v>
      </c>
      <c r="G15" s="2">
        <f t="shared" si="21"/>
        <v>7.551369585215131E-7</v>
      </c>
      <c r="H15" s="32">
        <f t="shared" si="22"/>
        <v>1.7173087493607949E-8</v>
      </c>
      <c r="I15" s="2">
        <f t="shared" ref="I15" si="30">G15-8.1*10^-8/2</f>
        <v>7.1463695852151313E-7</v>
      </c>
      <c r="J15" s="32">
        <f t="shared" ref="J15:J23" si="31">H15</f>
        <v>1.7173087493607949E-8</v>
      </c>
      <c r="K15" s="2">
        <f t="shared" si="24"/>
        <v>1.6574208534393035E-5</v>
      </c>
      <c r="L15" s="33">
        <f t="shared" ref="L15:L23" si="32">SQRT(($B$7/(1+8.1*10^-8/I15))^2+(J15*$B$6*8.1*10^-8/(8.1*10^-8 +I15)^2)^2)</f>
        <v>4.5653579091610188E-8</v>
      </c>
      <c r="M15" s="2">
        <f t="shared" si="25"/>
        <v>-1.963513732920793E-18</v>
      </c>
      <c r="N15" s="33">
        <f t="shared" ref="N15:N23" si="33">SQRT((H15*K15*(R3+T3)/J3)^2+(S3*K15*I15*T3/J3)^2+(U3*K15*I15*R3/J3)^2+(I15*K15*(R3+U3)/J3^2)^2+(L15*I15*(R3+T3)/J3)^2)*(6*PI())</f>
        <v>4.7333705302422511E-20</v>
      </c>
      <c r="O15" s="2">
        <f t="shared" si="26"/>
        <v>-1.9569200898075849E-18</v>
      </c>
      <c r="P15" s="33">
        <f t="shared" si="27"/>
        <v>6.1583295929213195E-20</v>
      </c>
      <c r="Q15" s="6">
        <f t="shared" si="28"/>
        <v>12.25528888894155</v>
      </c>
      <c r="R15" s="6">
        <f t="shared" si="29"/>
        <v>0.29543375375445502</v>
      </c>
      <c r="S15" s="6">
        <f t="shared" ref="S15" si="34">O15/($B$22)</f>
        <v>12.214134605257096</v>
      </c>
      <c r="T15" s="6">
        <f t="shared" ref="T15:T22" si="35">-P15/$B$22</f>
        <v>0.38437270373607868</v>
      </c>
      <c r="U15" s="2"/>
      <c r="V15" s="2"/>
      <c r="W15" s="2"/>
      <c r="Y15" s="2"/>
      <c r="Z15" s="2"/>
      <c r="AA15" s="2"/>
      <c r="AB15" s="3"/>
      <c r="AC15" s="11"/>
      <c r="AD15" s="3"/>
    </row>
    <row r="16" spans="1:30" x14ac:dyDescent="0.2">
      <c r="A16" t="s">
        <v>14</v>
      </c>
      <c r="B16" s="2">
        <f>B15*39.3701</f>
        <v>4.8780142335011472E-3</v>
      </c>
      <c r="C16" s="12" t="s">
        <v>20</v>
      </c>
      <c r="D16" s="17">
        <v>3</v>
      </c>
      <c r="E16" s="2">
        <f t="shared" si="19"/>
        <v>5.3369469957992332E-4</v>
      </c>
      <c r="F16" s="32">
        <f t="shared" si="20"/>
        <v>3.1170512412665245E-5</v>
      </c>
      <c r="G16" s="2">
        <f t="shared" si="21"/>
        <v>7.3784573233574367E-7</v>
      </c>
      <c r="H16" s="32">
        <f t="shared" si="22"/>
        <v>3.4653226610946507E-8</v>
      </c>
      <c r="I16" s="2">
        <f t="shared" si="23"/>
        <v>6.973457323357437E-7</v>
      </c>
      <c r="J16" s="32">
        <f t="shared" si="31"/>
        <v>3.4653226610946507E-8</v>
      </c>
      <c r="K16" s="2">
        <f t="shared" si="24"/>
        <v>1.6532474959462283E-5</v>
      </c>
      <c r="L16" s="33">
        <f t="shared" si="32"/>
        <v>8.8019836547858956E-8</v>
      </c>
      <c r="M16" s="2">
        <f t="shared" si="25"/>
        <v>-1.9243823997532075E-18</v>
      </c>
      <c r="N16" s="33">
        <f t="shared" si="33"/>
        <v>9.3502190019425517E-20</v>
      </c>
      <c r="O16" s="2">
        <f t="shared" si="26"/>
        <v>-1.8708883374299169E-18</v>
      </c>
      <c r="P16" s="33">
        <f t="shared" si="27"/>
        <v>1.2329873915381292E-19</v>
      </c>
      <c r="Q16" s="6">
        <f t="shared" si="28"/>
        <v>12.011050315746134</v>
      </c>
      <c r="R16" s="6">
        <f t="shared" si="29"/>
        <v>0.58359477258771575</v>
      </c>
      <c r="S16" s="6">
        <f t="shared" ref="S16:S20" si="36">O16/($B$22)</f>
        <v>11.677166637408034</v>
      </c>
      <c r="T16" s="6">
        <f t="shared" si="35"/>
        <v>0.769570206022685</v>
      </c>
      <c r="U16" s="2"/>
      <c r="V16" s="2"/>
      <c r="W16" s="2"/>
      <c r="Y16" s="2"/>
      <c r="Z16" s="2"/>
      <c r="AA16" s="2"/>
      <c r="AB16" s="3"/>
      <c r="AC16" s="11"/>
      <c r="AD16" s="3"/>
    </row>
    <row r="17" spans="1:30" x14ac:dyDescent="0.2">
      <c r="A17" t="s">
        <v>14</v>
      </c>
      <c r="B17" s="3">
        <f>B16*64/11*4</f>
        <v>0.11352469488875397</v>
      </c>
      <c r="C17" s="12" t="s">
        <v>21</v>
      </c>
      <c r="D17" s="17">
        <v>4</v>
      </c>
      <c r="E17" s="2">
        <f t="shared" si="19"/>
        <v>3.0852456837906518E-4</v>
      </c>
      <c r="F17" s="32">
        <f t="shared" si="20"/>
        <v>4.5392274054867025E-5</v>
      </c>
      <c r="G17" s="2">
        <f t="shared" si="21"/>
        <v>5.4886576660972498E-7</v>
      </c>
      <c r="H17" s="32">
        <f t="shared" si="22"/>
        <v>2.6325338826500724E-8</v>
      </c>
      <c r="I17" s="2">
        <f t="shared" si="23"/>
        <v>5.0836576660972501E-7</v>
      </c>
      <c r="J17" s="32">
        <f t="shared" si="31"/>
        <v>2.6325338826500724E-8</v>
      </c>
      <c r="K17" s="2">
        <f t="shared" si="24"/>
        <v>1.5916723280447732E-5</v>
      </c>
      <c r="L17" s="33">
        <f t="shared" si="32"/>
        <v>1.1505721282485826E-7</v>
      </c>
      <c r="M17" s="2">
        <f t="shared" si="25"/>
        <v>-7.8562064286887887E-19</v>
      </c>
      <c r="N17" s="33">
        <f t="shared" si="33"/>
        <v>3.740582412515684E-20</v>
      </c>
      <c r="O17" s="2">
        <f t="shared" si="26"/>
        <v>-7.1540323158351958E-19</v>
      </c>
      <c r="P17" s="33">
        <f t="shared" si="27"/>
        <v>5.1881320285816376E-20</v>
      </c>
      <c r="Q17" s="6">
        <f t="shared" si="28"/>
        <v>4.9034584143967779</v>
      </c>
      <c r="R17" s="6">
        <f t="shared" si="29"/>
        <v>0.23346879275492635</v>
      </c>
      <c r="S17" s="6">
        <f t="shared" si="36"/>
        <v>4.4651958008444756</v>
      </c>
      <c r="T17" s="6">
        <f t="shared" si="35"/>
        <v>0.32381773418848397</v>
      </c>
      <c r="U17" s="2"/>
      <c r="V17" s="2"/>
      <c r="W17" s="2"/>
      <c r="Y17" s="2"/>
      <c r="Z17" s="2"/>
      <c r="AA17" s="2"/>
      <c r="AB17" s="3"/>
      <c r="AC17" s="11"/>
      <c r="AD17" s="3"/>
    </row>
    <row r="18" spans="1:30" x14ac:dyDescent="0.2">
      <c r="A18" t="s">
        <v>22</v>
      </c>
      <c r="B18" s="3">
        <f>B17^-1</f>
        <v>8.8086561340678173</v>
      </c>
      <c r="C18" s="12" t="s">
        <v>23</v>
      </c>
      <c r="D18" s="17">
        <v>5</v>
      </c>
      <c r="E18" s="2">
        <f t="shared" si="19"/>
        <v>1.6061893460499532E-4</v>
      </c>
      <c r="F18" s="32">
        <f t="shared" si="20"/>
        <v>3.1245303856189237E-5</v>
      </c>
      <c r="G18" s="2">
        <f t="shared" si="21"/>
        <v>6.7098823008320139E-7</v>
      </c>
      <c r="H18" s="32">
        <f t="shared" si="22"/>
        <v>9.6890092227314611E-8</v>
      </c>
      <c r="I18" s="2">
        <f t="shared" si="23"/>
        <v>6.3048823008320141E-7</v>
      </c>
      <c r="J18" s="32">
        <f t="shared" si="31"/>
        <v>9.6890092227314611E-8</v>
      </c>
      <c r="K18" s="2">
        <f t="shared" si="24"/>
        <v>1.6352024840549775E-5</v>
      </c>
      <c r="L18" s="33">
        <f t="shared" si="32"/>
        <v>2.8683023887461483E-7</v>
      </c>
      <c r="M18" s="2">
        <f t="shared" si="25"/>
        <v>-3.8694699451949287E-19</v>
      </c>
      <c r="N18" s="33">
        <f t="shared" si="33"/>
        <v>5.2985856360480034E-20</v>
      </c>
      <c r="O18" s="2">
        <f t="shared" si="26"/>
        <v>-3.4256791888151803E-19</v>
      </c>
      <c r="P18" s="33">
        <f t="shared" si="27"/>
        <v>1.2274628989210805E-19</v>
      </c>
      <c r="Q18" s="6">
        <f t="shared" si="28"/>
        <v>2.4151331987324398</v>
      </c>
      <c r="R18" s="6">
        <f t="shared" si="29"/>
        <v>0.33071170618180679</v>
      </c>
      <c r="S18" s="6">
        <f t="shared" si="36"/>
        <v>2.1381407930014484</v>
      </c>
      <c r="T18" s="6">
        <f t="shared" si="35"/>
        <v>0.76612208891244482</v>
      </c>
      <c r="U18" s="2"/>
      <c r="V18" s="2"/>
      <c r="W18" s="2"/>
      <c r="X18" s="2"/>
      <c r="Y18" s="2"/>
      <c r="Z18" s="2"/>
      <c r="AA18" s="3"/>
      <c r="AB18" s="11"/>
      <c r="AC18" s="3"/>
    </row>
    <row r="19" spans="1:30" x14ac:dyDescent="0.2">
      <c r="A19" t="s">
        <v>16</v>
      </c>
      <c r="B19" s="2">
        <f>B15/B4</f>
        <v>1.2630121776159228E-5</v>
      </c>
      <c r="C19" s="12" t="s">
        <v>17</v>
      </c>
      <c r="D19" s="17">
        <v>6</v>
      </c>
      <c r="E19" s="2">
        <f t="shared" si="19"/>
        <v>1.1530963134082865E-4</v>
      </c>
      <c r="F19" s="32">
        <f t="shared" si="20"/>
        <v>2.0974246024494545E-5</v>
      </c>
      <c r="G19" s="2">
        <f t="shared" si="21"/>
        <v>5.6918077744536212E-7</v>
      </c>
      <c r="H19" s="32">
        <f t="shared" si="22"/>
        <v>5.1987065615986028E-8</v>
      </c>
      <c r="I19" s="2">
        <f t="shared" si="23"/>
        <v>5.2868077744536215E-7</v>
      </c>
      <c r="J19" s="32">
        <f t="shared" si="31"/>
        <v>5.1987065615986028E-8</v>
      </c>
      <c r="K19" s="2">
        <f t="shared" si="24"/>
        <v>1.6001227217497528E-5</v>
      </c>
      <c r="L19" s="33">
        <f t="shared" si="32"/>
        <v>2.1002286101679574E-7</v>
      </c>
      <c r="M19" s="2">
        <f t="shared" si="25"/>
        <v>-2.2765888380127648E-19</v>
      </c>
      <c r="N19" s="33">
        <f t="shared" si="33"/>
        <v>2.0461908535462327E-20</v>
      </c>
      <c r="O19" s="2">
        <f t="shared" si="26"/>
        <v>-2.0625742986109753E-19</v>
      </c>
      <c r="P19" s="33">
        <f t="shared" si="27"/>
        <v>4.6294923229548854E-20</v>
      </c>
      <c r="Q19" s="6">
        <f t="shared" si="28"/>
        <v>1.4209350015435656</v>
      </c>
      <c r="R19" s="6">
        <f t="shared" si="29"/>
        <v>0.12771318892084649</v>
      </c>
      <c r="S19" s="6">
        <f t="shared" si="36"/>
        <v>1.2873576314020705</v>
      </c>
      <c r="T19" s="6">
        <f t="shared" si="35"/>
        <v>0.2889501859635728</v>
      </c>
      <c r="U19" s="1"/>
      <c r="V19" s="2"/>
    </row>
    <row r="20" spans="1:30" x14ac:dyDescent="0.2">
      <c r="A20" t="s">
        <v>18</v>
      </c>
      <c r="B20">
        <f>1/64</f>
        <v>1.5625E-2</v>
      </c>
      <c r="C20" s="12" t="s">
        <v>19</v>
      </c>
      <c r="D20" s="17">
        <v>7</v>
      </c>
      <c r="E20" s="32">
        <f t="shared" si="19"/>
        <v>7.2016209874031209E-5</v>
      </c>
      <c r="F20" s="32">
        <f t="shared" si="20"/>
        <v>1.3166181870889267E-5</v>
      </c>
      <c r="G20" s="2">
        <f t="shared" si="21"/>
        <v>4.526063060035015E-7</v>
      </c>
      <c r="H20" s="32">
        <f t="shared" si="22"/>
        <v>4.1536779785656638E-8</v>
      </c>
      <c r="I20" s="2">
        <f t="shared" si="23"/>
        <v>4.1210630600350147E-7</v>
      </c>
      <c r="J20" s="32">
        <f t="shared" si="31"/>
        <v>4.1536779785656638E-8</v>
      </c>
      <c r="K20" s="2">
        <f t="shared" si="24"/>
        <v>1.5421654825414897E-5</v>
      </c>
      <c r="L20" s="33">
        <f t="shared" si="32"/>
        <v>2.5607344221812087E-7</v>
      </c>
      <c r="M20" s="2">
        <f t="shared" si="25"/>
        <v>-1.0610709788155205E-19</v>
      </c>
      <c r="N20" s="33">
        <f t="shared" si="33"/>
        <v>1.0983151879778003E-20</v>
      </c>
      <c r="O20" s="2">
        <f t="shared" si="26"/>
        <v>-1.0751980472588865E-19</v>
      </c>
      <c r="P20" s="33">
        <f t="shared" si="27"/>
        <v>2.2336125379423776E-20</v>
      </c>
      <c r="Q20" s="6">
        <f t="shared" si="28"/>
        <v>0.66226842007937958</v>
      </c>
      <c r="R20" s="6">
        <f t="shared" si="29"/>
        <v>6.8551442722825415E-2</v>
      </c>
      <c r="S20" s="6">
        <f t="shared" si="36"/>
        <v>0.6710858427449069</v>
      </c>
      <c r="T20" s="6">
        <f t="shared" si="35"/>
        <v>0.139411130462157</v>
      </c>
    </row>
    <row r="21" spans="1:30" x14ac:dyDescent="0.2">
      <c r="A21" t="s">
        <v>72</v>
      </c>
      <c r="B21" s="5">
        <f>11/64/39.3701/4</f>
        <v>1.0914056606409431E-3</v>
      </c>
      <c r="C21" s="12" t="s">
        <v>7</v>
      </c>
      <c r="D21">
        <v>8</v>
      </c>
      <c r="E21" s="2">
        <f t="shared" si="19"/>
        <v>1.1927930717387356E-4</v>
      </c>
      <c r="F21" s="32">
        <f t="shared" si="20"/>
        <v>2.1787226315136106E-5</v>
      </c>
      <c r="G21" s="2">
        <f t="shared" si="21"/>
        <v>4.5684920765235709E-7</v>
      </c>
      <c r="H21" s="32">
        <f t="shared" si="22"/>
        <v>4.1616354416428033E-8</v>
      </c>
      <c r="I21" s="2">
        <f t="shared" ref="I21:I22" si="37">G21-8.1*10^-8/2</f>
        <v>4.1634920765235706E-7</v>
      </c>
      <c r="J21" s="32">
        <f t="shared" si="31"/>
        <v>4.1616354416428033E-8</v>
      </c>
      <c r="K21" s="2">
        <f t="shared" si="24"/>
        <v>1.5447513619721366E-5</v>
      </c>
      <c r="L21" s="33">
        <f t="shared" si="32"/>
        <v>2.5223036463995131E-7</v>
      </c>
      <c r="M21" s="2">
        <f t="shared" si="25"/>
        <v>-2.1510468235860162E-19</v>
      </c>
      <c r="N21" s="33">
        <f t="shared" si="33"/>
        <v>1.9996027545531321E-20</v>
      </c>
      <c r="O21" s="2">
        <f t="shared" si="26"/>
        <v>-1.9743259507025589E-19</v>
      </c>
      <c r="P21" s="33">
        <f t="shared" si="27"/>
        <v>3.3404250190374826E-20</v>
      </c>
      <c r="Q21" s="6">
        <f t="shared" ref="Q21:Q22" si="38">M21/($B$22)</f>
        <v>1.3425778386318084</v>
      </c>
      <c r="R21" s="6">
        <f t="shared" si="29"/>
        <v>0.12480538846916465</v>
      </c>
      <c r="S21" s="6">
        <f t="shared" ref="S21:S22" si="39">O21/($B$22)</f>
        <v>1.2322773444931177</v>
      </c>
      <c r="T21" s="6">
        <f t="shared" si="35"/>
        <v>0.20849293251061687</v>
      </c>
    </row>
    <row r="22" spans="1:30" x14ac:dyDescent="0.2">
      <c r="A22" t="s">
        <v>80</v>
      </c>
      <c r="B22">
        <f>-1.60217662* 10^-19</f>
        <v>-1.6021766200000001E-19</v>
      </c>
      <c r="C22" s="12" t="s">
        <v>9</v>
      </c>
      <c r="D22">
        <v>9</v>
      </c>
      <c r="E22" s="2">
        <f t="shared" si="19"/>
        <v>7.566070437718843E-5</v>
      </c>
      <c r="F22" s="32">
        <f t="shared" si="20"/>
        <v>1.3892715647692152E-5</v>
      </c>
      <c r="G22" s="2">
        <f t="shared" si="21"/>
        <v>4.8023252577048743E-7</v>
      </c>
      <c r="H22" s="32">
        <f t="shared" si="22"/>
        <v>4.527865787317671E-8</v>
      </c>
      <c r="I22" s="2">
        <f t="shared" si="37"/>
        <v>4.3973252577048746E-7</v>
      </c>
      <c r="J22" s="32">
        <f t="shared" si="31"/>
        <v>4.527865787317671E-8</v>
      </c>
      <c r="K22" s="2">
        <f t="shared" si="24"/>
        <v>1.5582464989164175E-5</v>
      </c>
      <c r="L22" s="33">
        <f t="shared" si="32"/>
        <v>2.5035912037255766E-7</v>
      </c>
      <c r="M22" s="2">
        <f t="shared" si="25"/>
        <v>-1.155082402996088E-19</v>
      </c>
      <c r="N22" s="33">
        <f t="shared" si="33"/>
        <v>1.1991386274723387E-20</v>
      </c>
      <c r="O22" s="2">
        <f t="shared" si="26"/>
        <v>-1.1506437816307488E-19</v>
      </c>
      <c r="P22" s="33">
        <f t="shared" si="27"/>
        <v>2.6329316514461272E-20</v>
      </c>
      <c r="Q22" s="6">
        <f t="shared" si="38"/>
        <v>0.72094573630470771</v>
      </c>
      <c r="R22" s="6">
        <f t="shared" si="29"/>
        <v>7.4844346903048586E-2</v>
      </c>
      <c r="S22" s="6">
        <f t="shared" si="39"/>
        <v>0.71817536672751392</v>
      </c>
      <c r="T22" s="6">
        <f t="shared" si="35"/>
        <v>0.1643346693853345</v>
      </c>
      <c r="U22" s="2"/>
    </row>
    <row r="23" spans="1:30" x14ac:dyDescent="0.2">
      <c r="A23" s="13" t="s">
        <v>52</v>
      </c>
      <c r="B23" s="13">
        <v>1.9050000000000001E-2</v>
      </c>
      <c r="C23" s="14" t="s">
        <v>7</v>
      </c>
      <c r="D23">
        <v>10</v>
      </c>
      <c r="E23" s="2">
        <f t="shared" si="19"/>
        <v>1.1470369528543806E-4</v>
      </c>
      <c r="F23" s="32">
        <f t="shared" si="20"/>
        <v>2.1742569356865934E-5</v>
      </c>
      <c r="G23" s="2">
        <f t="shared" si="21"/>
        <v>5.6735789430719937E-7</v>
      </c>
      <c r="H23" s="32">
        <f t="shared" si="22"/>
        <v>5.3388998581579401E-8</v>
      </c>
      <c r="I23" s="2">
        <f t="shared" ref="I23" si="40">G23-8.1*10^-8/2</f>
        <v>5.268578943071994E-7</v>
      </c>
      <c r="J23" s="32">
        <f t="shared" si="31"/>
        <v>5.3388998581579401E-8</v>
      </c>
      <c r="K23" s="2">
        <f t="shared" si="24"/>
        <v>1.5993875284210068E-5</v>
      </c>
      <c r="L23" s="33">
        <f t="shared" si="32"/>
        <v>2.1691754438083993E-7</v>
      </c>
      <c r="M23" s="2">
        <f t="shared" si="25"/>
        <v>-2.2571610341548518E-19</v>
      </c>
      <c r="N23" s="33">
        <f t="shared" si="33"/>
        <v>2.0865527200797353E-20</v>
      </c>
      <c r="O23" s="2">
        <f t="shared" si="26"/>
        <v>-2.0408720172517013E-19</v>
      </c>
      <c r="P23" s="33">
        <f t="shared" si="27"/>
        <v>4.7257802262130419E-20</v>
      </c>
      <c r="Q23" s="6">
        <f t="shared" ref="Q23" si="41">M23/($B$22)</f>
        <v>1.4088091200300075</v>
      </c>
      <c r="R23" s="6">
        <f t="shared" ref="R23" si="42">-N23/$B$22</f>
        <v>0.13023237850516975</v>
      </c>
      <c r="S23" s="6">
        <f>O23/($B$22)</f>
        <v>1.2738121326796674</v>
      </c>
      <c r="T23" s="6">
        <f t="shared" ref="T23" si="43">-P23/$B$22</f>
        <v>0.29496000423555313</v>
      </c>
      <c r="U23" s="2"/>
    </row>
    <row r="24" spans="1:30" x14ac:dyDescent="0.2">
      <c r="D24" s="17"/>
      <c r="E24" s="2"/>
      <c r="F24" s="2"/>
      <c r="G24" s="2"/>
      <c r="H24" s="2"/>
      <c r="I24" s="2"/>
      <c r="J24" s="2"/>
      <c r="K24" s="2"/>
      <c r="L24" s="2"/>
      <c r="M24" s="11"/>
      <c r="N24" s="2"/>
      <c r="O24" s="3"/>
      <c r="P24" s="3"/>
      <c r="Q24" s="3"/>
      <c r="R24" s="3"/>
      <c r="S24" s="2"/>
    </row>
    <row r="25" spans="1:30" x14ac:dyDescent="0.2">
      <c r="S25" s="2"/>
    </row>
    <row r="26" spans="1:30" x14ac:dyDescent="0.2">
      <c r="D26" s="10" t="s">
        <v>24</v>
      </c>
      <c r="E26" s="1" t="s">
        <v>105</v>
      </c>
      <c r="F26" s="1" t="s">
        <v>111</v>
      </c>
      <c r="G26" s="1"/>
      <c r="H26" s="1"/>
      <c r="I26" s="1"/>
      <c r="T26" s="2"/>
    </row>
    <row r="27" spans="1:30" x14ac:dyDescent="0.2">
      <c r="D27" s="17">
        <v>1</v>
      </c>
      <c r="E27" s="20">
        <f>AVERAGE(O14,M14)*10^19</f>
        <v>-17.867794374672474</v>
      </c>
      <c r="F27" s="3">
        <f t="shared" ref="F27:F36" si="44">SQRT((N14/2)^2+(P14/2)^2)*10^19</f>
        <v>0.40001832351307237</v>
      </c>
      <c r="G27" s="3"/>
      <c r="H27" s="7"/>
      <c r="I27" s="3"/>
      <c r="L27" s="1"/>
      <c r="T27" s="2"/>
    </row>
    <row r="28" spans="1:30" x14ac:dyDescent="0.2">
      <c r="D28">
        <v>2</v>
      </c>
      <c r="E28" s="20">
        <f t="shared" ref="E28:E36" si="45">AVERAGE(O15,M15)*10^19</f>
        <v>-19.602169113641889</v>
      </c>
      <c r="F28" s="3">
        <f t="shared" si="44"/>
        <v>0.38836136507000885</v>
      </c>
      <c r="G28" s="3"/>
      <c r="H28" s="7"/>
      <c r="I28" s="3"/>
      <c r="T28" s="2"/>
    </row>
    <row r="29" spans="1:30" x14ac:dyDescent="0.2">
      <c r="C29" s="1" t="s">
        <v>104</v>
      </c>
      <c r="D29" s="17">
        <v>3</v>
      </c>
      <c r="E29" s="20">
        <f t="shared" si="45"/>
        <v>-18.976353685915623</v>
      </c>
      <c r="F29" s="3">
        <f t="shared" si="44"/>
        <v>0.77371245652614318</v>
      </c>
      <c r="G29" s="3"/>
      <c r="H29" s="7"/>
      <c r="I29" s="3"/>
      <c r="L29" s="28"/>
    </row>
    <row r="30" spans="1:30" x14ac:dyDescent="0.2">
      <c r="D30" s="17">
        <v>4</v>
      </c>
      <c r="E30" s="20">
        <f t="shared" si="45"/>
        <v>-7.5051193722619924</v>
      </c>
      <c r="F30" s="3">
        <f t="shared" si="44"/>
        <v>0.31979943218686407</v>
      </c>
      <c r="G30" s="3"/>
      <c r="H30" s="7"/>
      <c r="I30" s="3"/>
      <c r="L30" s="29"/>
    </row>
    <row r="31" spans="1:30" x14ac:dyDescent="0.2">
      <c r="D31" s="17">
        <v>5</v>
      </c>
      <c r="E31" s="20">
        <f t="shared" si="45"/>
        <v>-3.6475745670050546</v>
      </c>
      <c r="F31" s="3">
        <f t="shared" si="44"/>
        <v>0.66847125324375112</v>
      </c>
      <c r="G31" s="3"/>
      <c r="H31" s="7"/>
      <c r="I31" s="3"/>
    </row>
    <row r="32" spans="1:30" x14ac:dyDescent="0.2">
      <c r="D32" s="17">
        <v>6</v>
      </c>
      <c r="E32" s="20">
        <f t="shared" si="45"/>
        <v>-2.16958156831187</v>
      </c>
      <c r="F32" s="3">
        <f t="shared" si="44"/>
        <v>0.25307655056047013</v>
      </c>
      <c r="G32" s="3"/>
      <c r="H32" s="7"/>
      <c r="I32" s="3"/>
    </row>
    <row r="33" spans="4:9" x14ac:dyDescent="0.2">
      <c r="D33" s="17">
        <v>7</v>
      </c>
      <c r="E33" s="20">
        <f t="shared" si="45"/>
        <v>-1.0681345130372035</v>
      </c>
      <c r="F33" s="3">
        <f t="shared" si="44"/>
        <v>0.1244520110504055</v>
      </c>
      <c r="G33" s="3"/>
      <c r="H33" s="7"/>
      <c r="I33" s="3"/>
    </row>
    <row r="34" spans="4:9" x14ac:dyDescent="0.2">
      <c r="D34">
        <v>8</v>
      </c>
      <c r="E34" s="20">
        <f t="shared" si="45"/>
        <v>-2.0626863871442875</v>
      </c>
      <c r="F34" s="3">
        <f t="shared" si="44"/>
        <v>0.19465899981652554</v>
      </c>
      <c r="G34" s="3"/>
      <c r="H34" s="7"/>
      <c r="I34" s="3"/>
    </row>
    <row r="35" spans="4:9" x14ac:dyDescent="0.2">
      <c r="D35">
        <v>9</v>
      </c>
      <c r="E35" s="20">
        <f t="shared" si="45"/>
        <v>-1.1528630923134184</v>
      </c>
      <c r="F35" s="3">
        <f t="shared" si="44"/>
        <v>0.14465702998025257</v>
      </c>
      <c r="G35" s="3"/>
      <c r="H35" s="7"/>
      <c r="I35" s="3"/>
    </row>
    <row r="36" spans="4:9" x14ac:dyDescent="0.2">
      <c r="D36">
        <v>10</v>
      </c>
      <c r="E36" s="20">
        <f t="shared" si="45"/>
        <v>-2.1490165257032765</v>
      </c>
      <c r="F36" s="3">
        <f t="shared" si="44"/>
        <v>0.25829586233686719</v>
      </c>
      <c r="G36" s="3"/>
      <c r="H36" s="7"/>
      <c r="I36" s="3"/>
    </row>
    <row r="41" spans="4:9" x14ac:dyDescent="0.2">
      <c r="G41" s="2">
        <f>2/9*B5^2 * (B2-B3)/B6</f>
        <v>1.2630121776159229E-5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workbookViewId="0">
      <selection activeCell="F25" sqref="F25:O35"/>
    </sheetView>
  </sheetViews>
  <sheetFormatPr baseColWidth="10" defaultRowHeight="16" x14ac:dyDescent="0.2"/>
  <cols>
    <col min="1" max="1" width="23" bestFit="1" customWidth="1"/>
    <col min="2" max="2" width="12.33203125" bestFit="1" customWidth="1"/>
    <col min="3" max="3" width="8.33203125" bestFit="1" customWidth="1"/>
    <col min="4" max="4" width="2" bestFit="1" customWidth="1"/>
    <col min="5" max="5" width="5.1640625" bestFit="1" customWidth="1"/>
    <col min="6" max="6" width="8.33203125" bestFit="1" customWidth="1"/>
    <col min="7" max="7" width="14.33203125" bestFit="1" customWidth="1"/>
    <col min="8" max="8" width="10.33203125" bestFit="1" customWidth="1"/>
    <col min="9" max="9" width="13.6640625" bestFit="1" customWidth="1"/>
    <col min="10" max="10" width="15.1640625" bestFit="1" customWidth="1"/>
    <col min="11" max="11" width="16.5" bestFit="1" customWidth="1"/>
    <col min="12" max="12" width="12.33203125" bestFit="1" customWidth="1"/>
    <col min="13" max="13" width="12.6640625" bestFit="1" customWidth="1"/>
    <col min="14" max="14" width="14.1640625" bestFit="1" customWidth="1"/>
    <col min="15" max="15" width="12.83203125" bestFit="1" customWidth="1"/>
    <col min="16" max="16" width="6.6640625" bestFit="1" customWidth="1"/>
  </cols>
  <sheetData>
    <row r="1" spans="1:31" x14ac:dyDescent="0.2">
      <c r="A1" t="s">
        <v>2</v>
      </c>
      <c r="B1" t="s">
        <v>78</v>
      </c>
      <c r="C1" t="s">
        <v>79</v>
      </c>
      <c r="E1" t="s">
        <v>24</v>
      </c>
      <c r="F1" t="s">
        <v>71</v>
      </c>
      <c r="G1" t="s">
        <v>73</v>
      </c>
      <c r="H1" t="s">
        <v>60</v>
      </c>
      <c r="I1" t="s">
        <v>62</v>
      </c>
      <c r="J1" t="s">
        <v>61</v>
      </c>
      <c r="K1" t="s">
        <v>90</v>
      </c>
      <c r="L1" t="s">
        <v>91</v>
      </c>
      <c r="M1" t="s">
        <v>92</v>
      </c>
    </row>
    <row r="2" spans="1:31" x14ac:dyDescent="0.2">
      <c r="A2" t="s">
        <v>0</v>
      </c>
      <c r="B2">
        <v>1050</v>
      </c>
      <c r="C2" t="s">
        <v>3</v>
      </c>
      <c r="E2">
        <v>1</v>
      </c>
      <c r="F2">
        <v>4</v>
      </c>
      <c r="G2" s="32">
        <v>4.3656226425637726E-3</v>
      </c>
      <c r="H2" s="3">
        <v>83.335000000000008</v>
      </c>
      <c r="I2" s="3">
        <v>9.6950000000000003</v>
      </c>
      <c r="J2" s="3">
        <v>7.87</v>
      </c>
      <c r="K2" s="3">
        <v>2.3299999999999983</v>
      </c>
      <c r="L2" s="3">
        <v>0.10999999999999943</v>
      </c>
      <c r="M2" s="3">
        <v>6.0000000000000497E-2</v>
      </c>
      <c r="N2" s="3"/>
      <c r="O2" s="3"/>
    </row>
    <row r="3" spans="1:31" x14ac:dyDescent="0.2">
      <c r="A3" t="s">
        <v>1</v>
      </c>
      <c r="B3">
        <v>1.2250000000000001</v>
      </c>
      <c r="C3" t="s">
        <v>3</v>
      </c>
      <c r="E3">
        <v>2</v>
      </c>
      <c r="F3">
        <v>4</v>
      </c>
      <c r="G3" s="32">
        <v>4.3656226425637726E-3</v>
      </c>
      <c r="H3" s="3">
        <v>61.790000000000006</v>
      </c>
      <c r="I3" s="3">
        <v>11.170000000000002</v>
      </c>
      <c r="J3" s="3">
        <v>8.18</v>
      </c>
      <c r="K3" s="3">
        <v>0.10000000000000142</v>
      </c>
      <c r="L3" s="3">
        <v>8.0000000000000071E-2</v>
      </c>
      <c r="M3" s="3">
        <v>0.32000000000000028</v>
      </c>
      <c r="N3" s="3"/>
      <c r="O3" s="3"/>
    </row>
    <row r="4" spans="1:31" x14ac:dyDescent="0.2">
      <c r="A4" t="s">
        <v>43</v>
      </c>
      <c r="B4" s="2">
        <v>1.8452800000000004E-5</v>
      </c>
      <c r="C4" t="s">
        <v>10</v>
      </c>
      <c r="E4">
        <v>3</v>
      </c>
      <c r="F4">
        <v>4</v>
      </c>
      <c r="G4" s="32">
        <v>4.3656226425637726E-3</v>
      </c>
      <c r="H4" s="3">
        <v>64.72</v>
      </c>
      <c r="I4" s="3">
        <v>11.315</v>
      </c>
      <c r="J4" s="3">
        <v>8.18</v>
      </c>
      <c r="K4" s="3">
        <v>5.3199999999999932</v>
      </c>
      <c r="L4" s="3">
        <v>7.0000000000000284E-2</v>
      </c>
      <c r="M4" s="3">
        <v>0.30000000000000071</v>
      </c>
      <c r="N4" s="3"/>
      <c r="O4" s="3"/>
    </row>
    <row r="5" spans="1:31" x14ac:dyDescent="0.2">
      <c r="A5" t="s">
        <v>108</v>
      </c>
      <c r="B5" s="2">
        <v>2.3357333333333341E-8</v>
      </c>
      <c r="C5" t="s">
        <v>10</v>
      </c>
      <c r="E5">
        <v>4</v>
      </c>
      <c r="F5">
        <v>4</v>
      </c>
      <c r="G5" s="32">
        <v>4.3656226425637726E-3</v>
      </c>
      <c r="H5" s="3">
        <v>116.96000000000001</v>
      </c>
      <c r="I5" s="3">
        <v>20.825000000000003</v>
      </c>
      <c r="J5" s="3">
        <v>14.15</v>
      </c>
      <c r="K5" s="3">
        <v>9.8800000000000097</v>
      </c>
      <c r="L5" s="3">
        <v>1.2300000000000004</v>
      </c>
      <c r="M5" s="3">
        <v>1.9800000000000004</v>
      </c>
      <c r="N5" s="3"/>
      <c r="O5" s="3"/>
    </row>
    <row r="6" spans="1:31" x14ac:dyDescent="0.2">
      <c r="A6" t="s">
        <v>8</v>
      </c>
      <c r="B6" s="3">
        <v>22.333333333333332</v>
      </c>
      <c r="C6" t="s">
        <v>9</v>
      </c>
      <c r="E6">
        <v>5</v>
      </c>
      <c r="F6">
        <v>1</v>
      </c>
      <c r="G6" s="32">
        <v>1.0914056606409431E-3</v>
      </c>
      <c r="H6" s="3">
        <v>19.565000000000001</v>
      </c>
      <c r="I6" s="3">
        <v>29.475000000000001</v>
      </c>
      <c r="J6" s="3">
        <v>6.7949999999999999</v>
      </c>
      <c r="K6" s="3">
        <v>4.3900000000000006</v>
      </c>
      <c r="L6" s="3">
        <v>1.4700000000000024</v>
      </c>
      <c r="M6" s="3">
        <v>0.47000000000000064</v>
      </c>
      <c r="N6" s="3"/>
      <c r="O6" s="3"/>
    </row>
    <row r="7" spans="1:31" x14ac:dyDescent="0.2">
      <c r="A7" t="s">
        <v>107</v>
      </c>
      <c r="B7" s="3">
        <v>0.25611111111111118</v>
      </c>
      <c r="C7" t="s">
        <v>9</v>
      </c>
      <c r="E7">
        <v>6</v>
      </c>
      <c r="F7">
        <v>1</v>
      </c>
      <c r="G7" s="32">
        <v>1.0914056606409431E-3</v>
      </c>
      <c r="H7" s="3">
        <v>27.189999999999998</v>
      </c>
      <c r="I7" s="3">
        <v>39.03</v>
      </c>
      <c r="J7" s="3">
        <v>9.4649999999999999</v>
      </c>
      <c r="K7" s="3">
        <v>0.48000000000000043</v>
      </c>
      <c r="L7" s="3">
        <v>1.5</v>
      </c>
      <c r="M7" s="3">
        <v>5.0000000000000711E-2</v>
      </c>
      <c r="N7" s="3"/>
      <c r="O7" s="3"/>
    </row>
    <row r="8" spans="1:31" x14ac:dyDescent="0.2">
      <c r="A8" t="s">
        <v>18</v>
      </c>
      <c r="B8">
        <v>1.5625E-2</v>
      </c>
      <c r="C8" t="s">
        <v>19</v>
      </c>
      <c r="E8">
        <v>7</v>
      </c>
      <c r="F8">
        <v>1</v>
      </c>
      <c r="G8" s="32">
        <v>1.0914056606409431E-3</v>
      </c>
      <c r="H8" s="3">
        <v>43</v>
      </c>
      <c r="I8" s="3">
        <v>49.894999999999996</v>
      </c>
      <c r="J8" s="3">
        <v>15.155000000000001</v>
      </c>
      <c r="K8" s="3">
        <v>1.0799999999999983</v>
      </c>
      <c r="L8" s="3">
        <v>0.6699999999999946</v>
      </c>
      <c r="M8" s="3">
        <v>0.29000000000000092</v>
      </c>
      <c r="N8" s="3"/>
      <c r="O8" s="3"/>
    </row>
    <row r="9" spans="1:31" x14ac:dyDescent="0.2">
      <c r="A9" t="s">
        <v>72</v>
      </c>
      <c r="B9" s="5">
        <v>1.0914056606409431E-3</v>
      </c>
      <c r="C9" t="s">
        <v>7</v>
      </c>
      <c r="E9">
        <v>8</v>
      </c>
      <c r="F9">
        <v>1</v>
      </c>
      <c r="G9" s="32">
        <v>1.0914056606409431E-3</v>
      </c>
      <c r="H9" s="3">
        <v>42.204999999999998</v>
      </c>
      <c r="I9" s="3">
        <v>18.225000000000001</v>
      </c>
      <c r="J9" s="3">
        <v>9.15</v>
      </c>
      <c r="K9" s="3">
        <v>0.49000000000000199</v>
      </c>
      <c r="L9" s="3">
        <v>0.80999999999999872</v>
      </c>
      <c r="M9" s="3">
        <v>0.16000000000000014</v>
      </c>
      <c r="N9" s="3"/>
      <c r="O9" s="3"/>
    </row>
    <row r="10" spans="1:31" x14ac:dyDescent="0.2">
      <c r="A10" t="s">
        <v>80</v>
      </c>
      <c r="B10">
        <v>-1.6021766200000001E-19</v>
      </c>
      <c r="C10" t="s">
        <v>9</v>
      </c>
      <c r="E10">
        <v>9</v>
      </c>
      <c r="F10">
        <v>1</v>
      </c>
      <c r="G10" s="32">
        <v>1.0914056606409431E-3</v>
      </c>
      <c r="H10" s="3">
        <v>38.195</v>
      </c>
      <c r="I10" s="3">
        <v>59.54</v>
      </c>
      <c r="J10" s="3">
        <v>14.425000000000001</v>
      </c>
      <c r="K10" s="3">
        <v>1.9099999999999966</v>
      </c>
      <c r="L10" s="3">
        <v>1.2800000000000011</v>
      </c>
      <c r="M10" s="3">
        <v>0.36999999999999922</v>
      </c>
      <c r="N10" s="3"/>
      <c r="O10" s="3"/>
    </row>
    <row r="11" spans="1:31" x14ac:dyDescent="0.2">
      <c r="A11" t="s">
        <v>52</v>
      </c>
      <c r="B11">
        <v>1.9050000000000001E-2</v>
      </c>
      <c r="C11" t="s">
        <v>7</v>
      </c>
      <c r="E11">
        <v>10</v>
      </c>
      <c r="F11">
        <v>1</v>
      </c>
      <c r="G11" s="32">
        <v>1.0914056606409431E-3</v>
      </c>
      <c r="H11" s="3">
        <v>27.365000000000002</v>
      </c>
      <c r="I11" s="3">
        <v>39.305</v>
      </c>
      <c r="J11" s="3">
        <v>9.5150000000000006</v>
      </c>
      <c r="K11" s="3">
        <v>1.3300000000000018</v>
      </c>
      <c r="L11" s="3">
        <v>0.45000000000000284</v>
      </c>
      <c r="M11" s="3">
        <v>0.50999999999999979</v>
      </c>
      <c r="N11" s="3"/>
      <c r="O11" s="3"/>
    </row>
    <row r="12" spans="1:31" x14ac:dyDescent="0.2">
      <c r="A12" t="s">
        <v>112</v>
      </c>
      <c r="B12">
        <v>-1.0029999999999999</v>
      </c>
      <c r="C12" t="s">
        <v>113</v>
      </c>
    </row>
    <row r="13" spans="1:31" x14ac:dyDescent="0.2">
      <c r="A13" t="s">
        <v>66</v>
      </c>
      <c r="B13">
        <v>1E-3</v>
      </c>
      <c r="C13" t="s">
        <v>113</v>
      </c>
      <c r="E13" t="s">
        <v>24</v>
      </c>
      <c r="F13" t="s">
        <v>67</v>
      </c>
      <c r="G13" t="s">
        <v>93</v>
      </c>
      <c r="H13" t="s">
        <v>77</v>
      </c>
      <c r="I13" t="s">
        <v>94</v>
      </c>
      <c r="J13" t="s">
        <v>68</v>
      </c>
      <c r="K13" t="s">
        <v>95</v>
      </c>
      <c r="L13" t="s">
        <v>70</v>
      </c>
      <c r="M13" t="s">
        <v>69</v>
      </c>
    </row>
    <row r="14" spans="1:31" x14ac:dyDescent="0.2">
      <c r="A14" t="s">
        <v>63</v>
      </c>
      <c r="B14" s="2">
        <v>-52650.918635170594</v>
      </c>
      <c r="C14" t="s">
        <v>114</v>
      </c>
      <c r="E14">
        <v>1</v>
      </c>
      <c r="F14" s="2">
        <v>5.2386423982285623E-5</v>
      </c>
      <c r="G14" s="32">
        <v>2.7956138058886239E-6</v>
      </c>
      <c r="H14" s="2">
        <v>4.5029630145062118E-4</v>
      </c>
      <c r="I14" s="2">
        <v>2.1096037584207437E-5</v>
      </c>
      <c r="J14" s="2">
        <v>5.5471698126604478E-4</v>
      </c>
      <c r="K14" s="32">
        <v>2.5566625868804864E-5</v>
      </c>
      <c r="L14" s="2">
        <v>6.5023614040938167E-7</v>
      </c>
      <c r="M14" s="32">
        <v>1.7350002090531034E-8</v>
      </c>
      <c r="N14" s="32"/>
      <c r="O14" s="2"/>
      <c r="Z14" s="2"/>
      <c r="AA14" s="2"/>
      <c r="AB14" s="2"/>
      <c r="AC14" s="3"/>
      <c r="AE14" s="3"/>
    </row>
    <row r="15" spans="1:31" x14ac:dyDescent="0.2">
      <c r="A15" t="s">
        <v>64</v>
      </c>
      <c r="B15" s="33">
        <v>52.493438320209968</v>
      </c>
      <c r="C15" t="s">
        <v>114</v>
      </c>
      <c r="E15">
        <v>2</v>
      </c>
      <c r="F15" s="2">
        <v>7.0652575539145043E-5</v>
      </c>
      <c r="G15" s="32">
        <v>3.213517356528422E-6</v>
      </c>
      <c r="H15" s="2">
        <v>3.9083461437455433E-4</v>
      </c>
      <c r="I15" s="2">
        <v>1.7984392983135294E-5</v>
      </c>
      <c r="J15" s="2">
        <v>5.3369469957992332E-4</v>
      </c>
      <c r="K15" s="32">
        <v>3.2006009887342408E-5</v>
      </c>
      <c r="L15" s="2">
        <v>7.551369585215131E-7</v>
      </c>
      <c r="M15" s="32">
        <v>1.7173087493607949E-8</v>
      </c>
      <c r="N15" s="32"/>
      <c r="O15" s="2"/>
      <c r="V15" s="2"/>
      <c r="W15" s="2"/>
      <c r="X15" s="2"/>
      <c r="Z15" s="2"/>
      <c r="AA15" s="2"/>
      <c r="AB15" s="2"/>
      <c r="AC15" s="3"/>
      <c r="AE15" s="3"/>
    </row>
    <row r="16" spans="1:31" x14ac:dyDescent="0.2">
      <c r="A16" t="s">
        <v>76</v>
      </c>
      <c r="B16" s="33">
        <v>1.9843749999999999E-4</v>
      </c>
      <c r="C16" t="s">
        <v>7</v>
      </c>
      <c r="E16">
        <v>3</v>
      </c>
      <c r="F16" s="2">
        <v>6.7453996331331463E-5</v>
      </c>
      <c r="G16" s="32">
        <v>6.3360090551284664E-6</v>
      </c>
      <c r="H16" s="2">
        <v>3.8582612837505725E-4</v>
      </c>
      <c r="I16" s="2">
        <v>1.7699247227840896E-5</v>
      </c>
      <c r="J16" s="2">
        <v>5.3369469957992332E-4</v>
      </c>
      <c r="K16" s="32">
        <v>3.1170512412665245E-5</v>
      </c>
      <c r="L16" s="2">
        <v>7.3784573233574367E-7</v>
      </c>
      <c r="M16" s="32">
        <v>3.4653226610946507E-8</v>
      </c>
      <c r="N16" s="32"/>
      <c r="O16" s="2"/>
      <c r="V16" s="2"/>
      <c r="W16" s="2"/>
      <c r="X16" s="2"/>
      <c r="Z16" s="2"/>
      <c r="AA16" s="2"/>
      <c r="AB16" s="2"/>
      <c r="AC16" s="3"/>
      <c r="AE16" s="3"/>
    </row>
    <row r="17" spans="5:31" x14ac:dyDescent="0.2">
      <c r="E17">
        <v>4</v>
      </c>
      <c r="F17" s="2">
        <v>3.7325774987720353E-5</v>
      </c>
      <c r="G17" s="32">
        <v>3.580524540938108E-6</v>
      </c>
      <c r="H17" s="2">
        <v>2.0963374033919674E-4</v>
      </c>
      <c r="I17" s="2">
        <v>1.5623874525699832E-5</v>
      </c>
      <c r="J17" s="2">
        <v>3.0852456837906518E-4</v>
      </c>
      <c r="K17" s="32">
        <v>4.5392274054867025E-5</v>
      </c>
      <c r="L17" s="2">
        <v>5.4886576660972498E-7</v>
      </c>
      <c r="M17" s="32">
        <v>2.6325338826500724E-8</v>
      </c>
      <c r="N17" s="32"/>
      <c r="O17" s="2"/>
      <c r="V17" s="2"/>
      <c r="W17" s="2"/>
      <c r="X17" s="2"/>
      <c r="Z17" s="2"/>
      <c r="AA17" s="2"/>
      <c r="AB17" s="2"/>
      <c r="AC17" s="3"/>
      <c r="AE17" s="3"/>
    </row>
    <row r="18" spans="5:31" x14ac:dyDescent="0.2">
      <c r="E18">
        <v>5</v>
      </c>
      <c r="F18" s="2">
        <v>5.5783575805823823E-5</v>
      </c>
      <c r="G18" s="32">
        <v>1.6110195566099485E-5</v>
      </c>
      <c r="H18" s="2">
        <v>3.7028181870769908E-5</v>
      </c>
      <c r="I18" s="32">
        <v>6.9810821731004899E-6</v>
      </c>
      <c r="J18" s="2">
        <v>1.6061893460499532E-4</v>
      </c>
      <c r="K18" s="32">
        <v>3.1245303856189237E-5</v>
      </c>
      <c r="L18" s="2">
        <v>6.7098823008320139E-7</v>
      </c>
      <c r="M18" s="32">
        <v>9.6890092227314611E-8</v>
      </c>
      <c r="N18" s="32"/>
      <c r="O18" s="2"/>
      <c r="V18" s="2"/>
      <c r="W18" s="2"/>
      <c r="X18" s="2"/>
      <c r="Y18" s="2"/>
      <c r="Z18" s="2"/>
      <c r="AA18" s="2"/>
      <c r="AB18" s="3"/>
      <c r="AD18" s="3"/>
    </row>
    <row r="19" spans="5:31" x14ac:dyDescent="0.2">
      <c r="E19">
        <v>6</v>
      </c>
      <c r="F19" s="2">
        <v>4.0139965452039105E-5</v>
      </c>
      <c r="G19" s="32">
        <v>7.3324999735391978E-6</v>
      </c>
      <c r="H19" s="2">
        <v>2.7963250336688268E-5</v>
      </c>
      <c r="I19" s="32">
        <v>5.1965699207956973E-6</v>
      </c>
      <c r="J19" s="2">
        <v>1.1530963134082865E-4</v>
      </c>
      <c r="K19" s="32">
        <v>2.0974246024494545E-5</v>
      </c>
      <c r="L19" s="2">
        <v>5.6918077744536212E-7</v>
      </c>
      <c r="M19" s="32">
        <v>5.1987065615986028E-8</v>
      </c>
      <c r="N19" s="32"/>
      <c r="O19" s="2"/>
      <c r="W19" s="2"/>
    </row>
    <row r="20" spans="5:31" x14ac:dyDescent="0.2">
      <c r="E20">
        <v>7</v>
      </c>
      <c r="F20" s="2">
        <v>2.5381526991649842E-5</v>
      </c>
      <c r="G20" s="32">
        <v>4.6586487341946292E-6</v>
      </c>
      <c r="H20" s="2">
        <v>2.1874048715120619E-5</v>
      </c>
      <c r="I20" s="32">
        <v>3.9879338521597351E-6</v>
      </c>
      <c r="J20" s="32">
        <v>7.2016209874031209E-5</v>
      </c>
      <c r="K20" s="32">
        <v>1.3166181870889267E-5</v>
      </c>
      <c r="L20" s="2">
        <v>4.526063060035015E-7</v>
      </c>
      <c r="M20" s="32">
        <v>4.1536779785656638E-8</v>
      </c>
      <c r="N20" s="32"/>
      <c r="O20" s="2"/>
    </row>
    <row r="21" spans="5:31" x14ac:dyDescent="0.2">
      <c r="E21">
        <v>8</v>
      </c>
      <c r="F21" s="2">
        <v>2.5859629442979344E-5</v>
      </c>
      <c r="G21" s="32">
        <v>4.7113291911210044E-6</v>
      </c>
      <c r="H21" s="2">
        <v>5.9885084260134047E-5</v>
      </c>
      <c r="I21" s="2">
        <v>1.1208785075437656E-5</v>
      </c>
      <c r="J21" s="2">
        <v>1.1927930717387356E-4</v>
      </c>
      <c r="K21" s="32">
        <v>2.1787226315136106E-5</v>
      </c>
      <c r="L21" s="2">
        <v>4.5684920765235709E-7</v>
      </c>
      <c r="M21" s="32">
        <v>4.1616354416428033E-8</v>
      </c>
      <c r="N21" s="32"/>
      <c r="O21" s="2"/>
    </row>
    <row r="22" spans="5:31" x14ac:dyDescent="0.2">
      <c r="E22">
        <v>9</v>
      </c>
      <c r="F22" s="2">
        <v>2.8574568939414665E-5</v>
      </c>
      <c r="G22" s="32">
        <v>5.3882986322321682E-6</v>
      </c>
      <c r="H22" s="2">
        <v>1.8330629167634247E-5</v>
      </c>
      <c r="I22" s="32">
        <v>3.3560602514547473E-6</v>
      </c>
      <c r="J22" s="2">
        <v>7.566070437718843E-5</v>
      </c>
      <c r="K22" s="32">
        <v>1.3892715647692152E-5</v>
      </c>
      <c r="L22" s="2">
        <v>4.8023252577048743E-7</v>
      </c>
      <c r="M22" s="32">
        <v>4.527865787317671E-8</v>
      </c>
      <c r="N22" s="32"/>
      <c r="O22" s="2"/>
      <c r="V22" s="2"/>
    </row>
    <row r="23" spans="5:31" x14ac:dyDescent="0.2">
      <c r="E23">
        <v>10</v>
      </c>
      <c r="F23" s="2">
        <v>3.9883269162833661E-5</v>
      </c>
      <c r="G23" s="32">
        <v>7.5061185263435783E-6</v>
      </c>
      <c r="H23" s="2">
        <v>2.7767603629078823E-5</v>
      </c>
      <c r="I23" s="32">
        <v>5.0586572504849087E-6</v>
      </c>
      <c r="J23" s="2">
        <v>1.1470369528543806E-4</v>
      </c>
      <c r="K23" s="32">
        <v>2.1742569356865934E-5</v>
      </c>
      <c r="L23" s="2">
        <v>5.6735789430719937E-7</v>
      </c>
      <c r="M23" s="32">
        <v>5.3388998581579401E-8</v>
      </c>
      <c r="N23" s="32"/>
      <c r="O23" s="2"/>
      <c r="V23" s="2"/>
    </row>
    <row r="24" spans="5:31" x14ac:dyDescent="0.2">
      <c r="F24" s="2"/>
      <c r="G24" s="2"/>
      <c r="H24" s="2"/>
      <c r="I24" s="2"/>
      <c r="J24" s="2"/>
      <c r="K24" s="2"/>
      <c r="L24" s="2"/>
      <c r="M24" s="2"/>
      <c r="O24" s="2"/>
      <c r="P24" s="3"/>
      <c r="Q24" s="3"/>
      <c r="R24" s="3"/>
      <c r="S24" s="3"/>
      <c r="T24" s="2"/>
    </row>
    <row r="25" spans="5:31" x14ac:dyDescent="0.2">
      <c r="E25" t="s">
        <v>24</v>
      </c>
      <c r="F25" t="s">
        <v>74</v>
      </c>
      <c r="G25" t="s">
        <v>109</v>
      </c>
      <c r="H25" t="s">
        <v>75</v>
      </c>
      <c r="I25" t="s">
        <v>110</v>
      </c>
      <c r="J25" t="s">
        <v>96</v>
      </c>
      <c r="K25" t="s">
        <v>98</v>
      </c>
      <c r="L25" t="s">
        <v>99</v>
      </c>
      <c r="M25" t="s">
        <v>100</v>
      </c>
      <c r="N25" t="s">
        <v>97</v>
      </c>
      <c r="O25" t="s">
        <v>101</v>
      </c>
      <c r="T25" s="2"/>
    </row>
    <row r="26" spans="5:31" x14ac:dyDescent="0.2">
      <c r="E26">
        <v>1</v>
      </c>
      <c r="F26" s="2">
        <v>6.097361404093817E-7</v>
      </c>
      <c r="G26" s="32">
        <v>1.7350002090531034E-8</v>
      </c>
      <c r="H26" s="2">
        <v>1.6288910328447359E-5</v>
      </c>
      <c r="I26" s="33">
        <v>5.8132167358188056E-8</v>
      </c>
      <c r="J26" s="2">
        <v>-1.7861533295159901E-18</v>
      </c>
      <c r="K26" s="33">
        <v>5.1258970452090164E-20</v>
      </c>
      <c r="L26" s="2">
        <v>-1.7874055454185047E-18</v>
      </c>
      <c r="M26" s="33">
        <v>6.14255998264576E-20</v>
      </c>
      <c r="N26" s="6">
        <v>11.14829231196739</v>
      </c>
      <c r="O26" s="6">
        <v>11.156108028954414</v>
      </c>
      <c r="U26" s="2"/>
    </row>
    <row r="27" spans="5:31" x14ac:dyDescent="0.2">
      <c r="E27">
        <v>2</v>
      </c>
      <c r="F27" s="2">
        <v>7.1463695852151313E-7</v>
      </c>
      <c r="G27" s="32">
        <v>1.7173087493607949E-8</v>
      </c>
      <c r="H27" s="2">
        <v>1.6574208534393035E-5</v>
      </c>
      <c r="I27" s="33">
        <v>4.5653579091610188E-8</v>
      </c>
      <c r="J27" s="2">
        <v>-1.963513732920793E-18</v>
      </c>
      <c r="K27" s="33">
        <v>4.7333705302422511E-20</v>
      </c>
      <c r="L27" s="2">
        <v>-1.9569200898075849E-18</v>
      </c>
      <c r="M27" s="33">
        <v>6.1583295929213195E-20</v>
      </c>
      <c r="N27" s="6">
        <v>12.25528888894155</v>
      </c>
      <c r="O27" s="6">
        <v>12.214134605257096</v>
      </c>
      <c r="U27" s="2"/>
    </row>
    <row r="28" spans="5:31" x14ac:dyDescent="0.2">
      <c r="E28">
        <v>3</v>
      </c>
      <c r="F28" s="2">
        <v>6.973457323357437E-7</v>
      </c>
      <c r="G28" s="32">
        <v>3.4653226610946507E-8</v>
      </c>
      <c r="H28" s="2">
        <v>1.6532474959462283E-5</v>
      </c>
      <c r="I28" s="33">
        <v>8.8019836547858956E-8</v>
      </c>
      <c r="J28" s="2">
        <v>-1.9243823997532075E-18</v>
      </c>
      <c r="K28" s="33">
        <v>9.3502190019425517E-20</v>
      </c>
      <c r="L28" s="2">
        <v>-1.8708883374299169E-18</v>
      </c>
      <c r="M28" s="33">
        <v>1.2329873915381292E-19</v>
      </c>
      <c r="N28" s="6">
        <v>12.011050315746134</v>
      </c>
      <c r="O28" s="6">
        <v>11.677166637408034</v>
      </c>
      <c r="U28" s="2"/>
    </row>
    <row r="29" spans="5:31" x14ac:dyDescent="0.2">
      <c r="E29">
        <v>4</v>
      </c>
      <c r="F29" s="2">
        <v>5.0836576660972501E-7</v>
      </c>
      <c r="G29" s="32">
        <v>2.6325338826500724E-8</v>
      </c>
      <c r="H29" s="2">
        <v>1.5916723280447732E-5</v>
      </c>
      <c r="I29" s="33">
        <v>1.1505721282485826E-7</v>
      </c>
      <c r="J29" s="2">
        <v>-7.8562064286887887E-19</v>
      </c>
      <c r="K29" s="33">
        <v>3.740582412515684E-20</v>
      </c>
      <c r="L29" s="2">
        <v>-7.1540323158351958E-19</v>
      </c>
      <c r="M29" s="33">
        <v>5.1881320285816376E-20</v>
      </c>
      <c r="N29" s="6">
        <v>4.9034584143967779</v>
      </c>
      <c r="O29" s="6">
        <v>4.4651958008444756</v>
      </c>
    </row>
    <row r="30" spans="5:31" x14ac:dyDescent="0.2">
      <c r="E30">
        <v>5</v>
      </c>
      <c r="F30" s="2">
        <v>6.3048823008320141E-7</v>
      </c>
      <c r="G30" s="32">
        <v>9.6890092227314611E-8</v>
      </c>
      <c r="H30" s="2">
        <v>1.6352024840549775E-5</v>
      </c>
      <c r="I30" s="33">
        <v>2.8683023887461483E-7</v>
      </c>
      <c r="J30" s="2">
        <v>-3.8694699451949287E-19</v>
      </c>
      <c r="K30" s="33">
        <v>5.2985856360480034E-20</v>
      </c>
      <c r="L30" s="2">
        <v>-3.4256791888151803E-19</v>
      </c>
      <c r="M30" s="33">
        <v>1.2274628989210805E-19</v>
      </c>
      <c r="N30" s="6">
        <v>2.4151331987324398</v>
      </c>
      <c r="O30" s="6">
        <v>2.1381407930014484</v>
      </c>
    </row>
    <row r="31" spans="5:31" x14ac:dyDescent="0.2">
      <c r="E31">
        <v>6</v>
      </c>
      <c r="F31" s="2">
        <v>5.2868077744536215E-7</v>
      </c>
      <c r="G31" s="32">
        <v>5.1987065615986028E-8</v>
      </c>
      <c r="H31" s="2">
        <v>1.6001227217497528E-5</v>
      </c>
      <c r="I31" s="33">
        <v>2.1002286101679574E-7</v>
      </c>
      <c r="J31" s="2">
        <v>-2.2765888380127648E-19</v>
      </c>
      <c r="K31" s="33">
        <v>2.0461908535462327E-20</v>
      </c>
      <c r="L31" s="2">
        <v>-2.0625742986109753E-19</v>
      </c>
      <c r="M31" s="33">
        <v>4.6294923229548854E-20</v>
      </c>
      <c r="N31" s="6">
        <v>1.4209350015435656</v>
      </c>
      <c r="O31" s="6">
        <v>1.2873576314020705</v>
      </c>
    </row>
    <row r="32" spans="5:31" x14ac:dyDescent="0.2">
      <c r="E32">
        <v>7</v>
      </c>
      <c r="F32" s="2">
        <v>4.1210630600350147E-7</v>
      </c>
      <c r="G32" s="32">
        <v>4.1536779785656638E-8</v>
      </c>
      <c r="H32" s="2">
        <v>1.5421654825414897E-5</v>
      </c>
      <c r="I32" s="33">
        <v>2.5607344221812087E-7</v>
      </c>
      <c r="J32" s="2">
        <v>-1.0610709788155205E-19</v>
      </c>
      <c r="K32" s="33">
        <v>1.0983151879778003E-20</v>
      </c>
      <c r="L32" s="2">
        <v>-1.0751980472588865E-19</v>
      </c>
      <c r="M32" s="33">
        <v>2.2336125379423776E-20</v>
      </c>
      <c r="N32" s="6">
        <v>0.66226842007937958</v>
      </c>
      <c r="O32" s="6">
        <v>0.6710858427449069</v>
      </c>
    </row>
    <row r="33" spans="5:18" x14ac:dyDescent="0.2">
      <c r="E33">
        <v>8</v>
      </c>
      <c r="F33" s="2">
        <v>4.1634920765235706E-7</v>
      </c>
      <c r="G33" s="32">
        <v>4.1616354416428033E-8</v>
      </c>
      <c r="H33" s="2">
        <v>1.5447513619721366E-5</v>
      </c>
      <c r="I33" s="33">
        <v>2.5223036463995131E-7</v>
      </c>
      <c r="J33" s="2">
        <v>-2.1510468235860162E-19</v>
      </c>
      <c r="K33" s="33">
        <v>1.9996027545531321E-20</v>
      </c>
      <c r="L33" s="2">
        <v>-1.9743259507025589E-19</v>
      </c>
      <c r="M33" s="33">
        <v>3.3404250190374826E-20</v>
      </c>
      <c r="N33" s="6">
        <v>1.3425778386318084</v>
      </c>
      <c r="O33" s="6">
        <v>1.2322773444931177</v>
      </c>
    </row>
    <row r="34" spans="5:18" x14ac:dyDescent="0.2">
      <c r="E34">
        <v>9</v>
      </c>
      <c r="F34" s="2">
        <v>4.3973252577048746E-7</v>
      </c>
      <c r="G34" s="32">
        <v>4.527865787317671E-8</v>
      </c>
      <c r="H34" s="2">
        <v>1.5582464989164175E-5</v>
      </c>
      <c r="I34" s="33">
        <v>2.5035912037255766E-7</v>
      </c>
      <c r="J34" s="2">
        <v>-1.155082402996088E-19</v>
      </c>
      <c r="K34" s="33">
        <v>1.1991386274723387E-20</v>
      </c>
      <c r="L34" s="2">
        <v>-1.1506437816307488E-19</v>
      </c>
      <c r="M34" s="33">
        <v>2.6329316514461272E-20</v>
      </c>
      <c r="N34" s="6">
        <v>0.72094573630470771</v>
      </c>
      <c r="O34" s="6">
        <v>0.71817536672751392</v>
      </c>
      <c r="R34" s="6"/>
    </row>
    <row r="35" spans="5:18" x14ac:dyDescent="0.2">
      <c r="E35">
        <v>10</v>
      </c>
      <c r="F35" s="2">
        <v>5.268578943071994E-7</v>
      </c>
      <c r="G35" s="32">
        <v>5.3388998581579401E-8</v>
      </c>
      <c r="H35" s="2">
        <v>1.5993875284210068E-5</v>
      </c>
      <c r="I35" s="33">
        <v>2.1691754438083993E-7</v>
      </c>
      <c r="J35" s="2">
        <v>-2.2571610341548518E-19</v>
      </c>
      <c r="K35" s="33">
        <v>2.0865527200797353E-20</v>
      </c>
      <c r="L35" s="2">
        <v>-2.0408720172517013E-19</v>
      </c>
      <c r="M35" s="33">
        <v>4.7257802262130419E-20</v>
      </c>
      <c r="N35" s="6">
        <v>1.4088091200300075</v>
      </c>
      <c r="O35" s="6">
        <v>1.2738121326796674</v>
      </c>
      <c r="R35" s="6"/>
    </row>
    <row r="36" spans="5:18" x14ac:dyDescent="0.2">
      <c r="R36" s="6"/>
    </row>
    <row r="37" spans="5:18" x14ac:dyDescent="0.2">
      <c r="R37" s="6"/>
    </row>
    <row r="38" spans="5:18" x14ac:dyDescent="0.2">
      <c r="R38" s="6"/>
    </row>
    <row r="39" spans="5:18" x14ac:dyDescent="0.2">
      <c r="R39" s="6"/>
    </row>
    <row r="40" spans="5:18" x14ac:dyDescent="0.2">
      <c r="R40" s="6"/>
    </row>
    <row r="41" spans="5:18" x14ac:dyDescent="0.2">
      <c r="R41" s="6"/>
    </row>
    <row r="42" spans="5:18" x14ac:dyDescent="0.2">
      <c r="R42" s="6"/>
    </row>
    <row r="43" spans="5:18" x14ac:dyDescent="0.2">
      <c r="R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5"/>
  <sheetViews>
    <sheetView workbookViewId="0">
      <selection activeCell="B11" sqref="B11"/>
    </sheetView>
  </sheetViews>
  <sheetFormatPr baseColWidth="10" defaultRowHeight="16" x14ac:dyDescent="0.2"/>
  <sheetData>
    <row r="10" spans="1:9" x14ac:dyDescent="0.2">
      <c r="A10" t="s">
        <v>81</v>
      </c>
      <c r="B10" t="s">
        <v>45</v>
      </c>
      <c r="C10" t="s">
        <v>51</v>
      </c>
      <c r="D10" t="s">
        <v>25</v>
      </c>
      <c r="E10" t="s">
        <v>48</v>
      </c>
      <c r="F10" t="s">
        <v>46</v>
      </c>
      <c r="G10" t="s">
        <v>47</v>
      </c>
      <c r="H10" t="s">
        <v>49</v>
      </c>
      <c r="I10" t="s">
        <v>50</v>
      </c>
    </row>
    <row r="11" spans="1:9" x14ac:dyDescent="0.2">
      <c r="A11">
        <v>1</v>
      </c>
      <c r="B11" s="2">
        <f>(Calculations!B$13-Calculations!B$14)/(6*PI()*Calculations!B$6*Calculations!B$5)/2</f>
        <v>6.1950747312061017E-5</v>
      </c>
      <c r="C11" s="3">
        <f>Calculations!B$21*4/B11</f>
        <v>70.469249072542539</v>
      </c>
      <c r="D11" s="7">
        <v>-1</v>
      </c>
      <c r="E11" s="2">
        <f>A11*Calculations!B$22*D11*1000/0.01905/(6*PI()*Calculations!B$5*Calculations!B$12)</f>
        <v>2.6138322141589516E-5</v>
      </c>
      <c r="F11" s="2">
        <f>E11+B11</f>
        <v>8.808906945365053E-5</v>
      </c>
      <c r="G11" s="2">
        <f>E11-B11</f>
        <v>-3.5812425170471504E-5</v>
      </c>
      <c r="H11" s="3">
        <f>Calculations!$B$21*4/F11</f>
        <v>49.559186737246833</v>
      </c>
      <c r="I11" s="3">
        <f>Calculations!$B$21*4/G11</f>
        <v>-121.9024576465536</v>
      </c>
    </row>
    <row r="12" spans="1:9" x14ac:dyDescent="0.2">
      <c r="A12">
        <v>2</v>
      </c>
      <c r="B12" s="2">
        <f>(Calculations!B$13-Calculations!B$14)/(6*PI()*Calculations!B$6*Calculations!B$5)/2</f>
        <v>6.1950747312061017E-5</v>
      </c>
      <c r="C12" s="3">
        <f>Calculations!B$21*4/B12</f>
        <v>70.469249072542539</v>
      </c>
      <c r="D12" s="7">
        <v>-1</v>
      </c>
      <c r="E12" s="2">
        <f>A12*Calculations!B$22*D12*1000/0.01905/(6*PI()*Calculations!B$5*Calculations!B$12)</f>
        <v>5.2276644283179032E-5</v>
      </c>
      <c r="F12" s="2">
        <f>E12+B12</f>
        <v>1.1422739159524004E-4</v>
      </c>
      <c r="G12" s="2">
        <f>E12-B12</f>
        <v>-9.6741030288819847E-6</v>
      </c>
      <c r="H12" s="3">
        <f>Calculations!$B$21*4/F12</f>
        <v>38.218702025808071</v>
      </c>
      <c r="I12" s="3">
        <f>Calculations!$B$21*4/G12</f>
        <v>-451.26898375283258</v>
      </c>
    </row>
    <row r="13" spans="1:9" x14ac:dyDescent="0.2">
      <c r="A13">
        <v>3</v>
      </c>
      <c r="B13" s="2">
        <f>(Calculations!B$13-Calculations!B$14)/(6*PI()*Calculations!B$6*Calculations!B$5)/2</f>
        <v>6.1950747312061017E-5</v>
      </c>
      <c r="C13" s="3">
        <f>Calculations!B$21*4/B13</f>
        <v>70.469249072542539</v>
      </c>
      <c r="D13" s="7">
        <v>-1</v>
      </c>
      <c r="E13" s="2">
        <f>A13*Calculations!B$22*D13*1000/0.01905/(6*PI()*Calculations!B$5*Calculations!B$12)</f>
        <v>7.8414966424768552E-5</v>
      </c>
      <c r="F13" s="2">
        <f>E13+B13</f>
        <v>1.4036571373682956E-4</v>
      </c>
      <c r="G13" s="2">
        <f>E13-B13</f>
        <v>1.6464219112707535E-5</v>
      </c>
      <c r="H13" s="3">
        <f>Calculations!$B$21*4/F13</f>
        <v>31.101773548124722</v>
      </c>
      <c r="I13" s="3">
        <f>Calculations!$B$21*4/G13</f>
        <v>265.15819624838844</v>
      </c>
    </row>
    <row r="14" spans="1:9" x14ac:dyDescent="0.2">
      <c r="A14">
        <v>4</v>
      </c>
      <c r="B14" s="2">
        <f>(Calculations!B$13-Calculations!B$14)/(6*PI()*Calculations!B$6*Calculations!B$5)/2</f>
        <v>6.1950747312061017E-5</v>
      </c>
      <c r="C14" s="3">
        <f>Calculations!B$21*4/B14</f>
        <v>70.469249072542539</v>
      </c>
      <c r="D14" s="7">
        <v>-1</v>
      </c>
      <c r="E14" s="2">
        <f>A14*Calculations!B$22*D14*1000/0.01905/(6*PI()*Calculations!B$5*Calculations!B$12)</f>
        <v>1.0455328856635806E-4</v>
      </c>
      <c r="F14" s="2">
        <f>E14+B14</f>
        <v>1.665040358784191E-4</v>
      </c>
      <c r="G14" s="2">
        <f>E14-B14</f>
        <v>4.2602541254297048E-5</v>
      </c>
      <c r="H14" s="3">
        <f>Calculations!$B$21*4/F14</f>
        <v>26.219320267717361</v>
      </c>
      <c r="I14" s="3">
        <f>Calculations!$B$21*4/G14</f>
        <v>102.47329182794793</v>
      </c>
    </row>
    <row r="15" spans="1:9" x14ac:dyDescent="0.2">
      <c r="A15">
        <v>5</v>
      </c>
      <c r="B15" s="2">
        <f>(Calculations!B$13-Calculations!B$14)/(6*PI()*Calculations!B$6*Calculations!B$5)/2</f>
        <v>6.1950747312061017E-5</v>
      </c>
      <c r="C15" s="3">
        <f>Calculations!B$21*4/B15</f>
        <v>70.469249072542539</v>
      </c>
      <c r="D15" s="7">
        <v>-1</v>
      </c>
      <c r="E15" s="2">
        <f>A15*Calculations!B$22*D15*1000/0.01905/(6*PI()*Calculations!B$5*Calculations!B$12)</f>
        <v>1.3069161070794759E-4</v>
      </c>
      <c r="F15" s="2">
        <f>E15+B15</f>
        <v>1.9264235802000861E-4</v>
      </c>
      <c r="G15" s="2">
        <f>E15-B15</f>
        <v>6.8740863395886574E-5</v>
      </c>
      <c r="H15" s="3">
        <f>Calculations!$B$21*4/F15</f>
        <v>22.661800278162819</v>
      </c>
      <c r="I15" s="3">
        <f>Calculations!$B$21*4/G15</f>
        <v>63.508405726905806</v>
      </c>
    </row>
    <row r="19" spans="5:5" x14ac:dyDescent="0.2">
      <c r="E19" s="1" t="s">
        <v>53</v>
      </c>
    </row>
    <row r="20" spans="5:5" x14ac:dyDescent="0.2">
      <c r="E20" t="s">
        <v>54</v>
      </c>
    </row>
    <row r="21" spans="5:5" x14ac:dyDescent="0.2">
      <c r="E21" t="s">
        <v>55</v>
      </c>
    </row>
    <row r="22" spans="5:5" x14ac:dyDescent="0.2">
      <c r="E22" t="s">
        <v>56</v>
      </c>
    </row>
    <row r="23" spans="5:5" x14ac:dyDescent="0.2">
      <c r="E23" t="s">
        <v>57</v>
      </c>
    </row>
    <row r="24" spans="5:5" x14ac:dyDescent="0.2">
      <c r="E24" t="s">
        <v>58</v>
      </c>
    </row>
    <row r="25" spans="5:5" x14ac:dyDescent="0.2">
      <c r="E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Q17"/>
    </sheetView>
  </sheetViews>
  <sheetFormatPr baseColWidth="10" defaultRowHeight="16" x14ac:dyDescent="0.2"/>
  <sheetData>
    <row r="1" spans="1:15" x14ac:dyDescent="0.2">
      <c r="A1" t="s">
        <v>25</v>
      </c>
      <c r="B1" s="4" t="s">
        <v>24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/>
    </row>
    <row r="2" spans="1:15" x14ac:dyDescent="0.2">
      <c r="A2">
        <v>-1.006</v>
      </c>
      <c r="B2">
        <v>1</v>
      </c>
      <c r="E2">
        <v>7.92</v>
      </c>
      <c r="F2">
        <v>8.1999999999999993</v>
      </c>
      <c r="G2">
        <v>59.5</v>
      </c>
      <c r="H2">
        <v>58.7</v>
      </c>
    </row>
    <row r="3" spans="1:15" x14ac:dyDescent="0.2">
      <c r="A3">
        <v>-1.006</v>
      </c>
      <c r="B3">
        <v>1</v>
      </c>
      <c r="E3">
        <v>8.5</v>
      </c>
      <c r="F3">
        <v>8.0299999999999994</v>
      </c>
      <c r="G3">
        <v>60.69</v>
      </c>
      <c r="H3">
        <v>61.06</v>
      </c>
    </row>
    <row r="4" spans="1:15" x14ac:dyDescent="0.2">
      <c r="A4">
        <v>-1.0029999999999999</v>
      </c>
      <c r="B4">
        <v>2</v>
      </c>
      <c r="E4">
        <v>13.87</v>
      </c>
      <c r="F4">
        <v>13.47</v>
      </c>
      <c r="G4">
        <v>46.75</v>
      </c>
      <c r="H4">
        <v>46.79</v>
      </c>
    </row>
    <row r="5" spans="1:15" x14ac:dyDescent="0.2">
      <c r="A5">
        <v>-1.0029999999999999</v>
      </c>
      <c r="B5">
        <v>2</v>
      </c>
      <c r="E5">
        <v>13.95</v>
      </c>
      <c r="F5">
        <v>13.64</v>
      </c>
      <c r="G5">
        <v>46.13</v>
      </c>
      <c r="H5">
        <v>46.66</v>
      </c>
      <c r="J5" s="4" t="s">
        <v>40</v>
      </c>
      <c r="K5" s="4" t="s">
        <v>39</v>
      </c>
      <c r="L5" s="4"/>
      <c r="M5" s="4"/>
      <c r="N5" s="4"/>
      <c r="O5" s="4" t="s">
        <v>41</v>
      </c>
    </row>
    <row r="6" spans="1:15" x14ac:dyDescent="0.2">
      <c r="J6" s="2">
        <f>Calculations!B$6/(1+8.1*10^-8/I8)</f>
        <v>1.7418392155497235E-5</v>
      </c>
      <c r="K6" s="2">
        <f>6*PI()*I8*J6*(G8-H8)/(A2*1000/0.01905)</f>
        <v>-5.4639742514612337E-19</v>
      </c>
      <c r="L6" s="2"/>
      <c r="M6" s="2"/>
      <c r="N6" s="2"/>
      <c r="O6" s="6">
        <f>K6/Calculations!$B$22</f>
        <v>3.4103445171114988</v>
      </c>
    </row>
    <row r="7" spans="1:15" x14ac:dyDescent="0.2">
      <c r="E7" s="4" t="s">
        <v>35</v>
      </c>
      <c r="F7" s="4" t="s">
        <v>36</v>
      </c>
      <c r="G7" s="4" t="s">
        <v>37</v>
      </c>
      <c r="H7" s="4" t="s">
        <v>38</v>
      </c>
      <c r="I7" s="4" t="s">
        <v>42</v>
      </c>
      <c r="J7" s="2">
        <f>Calculations!B$6/(1+8.1*10^-8/I9)</f>
        <v>1.7408681689983955E-5</v>
      </c>
      <c r="K7" s="2">
        <f>6*PI()*I9*J7*(G9-H9)/(A3*1000/0.01905)</f>
        <v>-4.7387512387459011E-19</v>
      </c>
      <c r="L7" s="2"/>
      <c r="M7" s="2"/>
      <c r="N7" s="2"/>
      <c r="O7" s="6">
        <f>K7/Calculations!$B$22</f>
        <v>2.9576959116691524</v>
      </c>
    </row>
    <row r="8" spans="1:15" x14ac:dyDescent="0.2">
      <c r="A8" s="8" t="s">
        <v>32</v>
      </c>
      <c r="B8" s="8" t="s">
        <v>33</v>
      </c>
      <c r="C8" s="8" t="s">
        <v>34</v>
      </c>
      <c r="E8">
        <v>7.92</v>
      </c>
      <c r="F8">
        <v>59.5</v>
      </c>
      <c r="G8" s="2">
        <f>Calculations!$B$21/E8</f>
        <v>1.378037450304221E-4</v>
      </c>
      <c r="H8" s="2">
        <f>Calculations!$B$21*4/F8</f>
        <v>7.337180911871887E-5</v>
      </c>
      <c r="I8" s="2">
        <f>SQRT((9*Calculations!B$6*PI()*H8)/(2*(Calculations!$B$2-Calculations!$B$3)*Calculations!$B$4))</f>
        <v>1.363958879559233E-6</v>
      </c>
      <c r="J8" s="2">
        <f>Calculations!B$6/(1+8.1*10^-8/I10)</f>
        <v>1.7530019385316716E-5</v>
      </c>
      <c r="K8" s="2">
        <f>6*PI()*I10*J8*(G10-H10)/(A4*1000/0.01905)</f>
        <v>1.4190212153887209E-19</v>
      </c>
      <c r="L8" s="2"/>
      <c r="M8" s="2"/>
      <c r="N8" s="2"/>
      <c r="O8" s="6">
        <f>K8/Calculations!$B$22</f>
        <v>-0.88568338700930538</v>
      </c>
    </row>
    <row r="9" spans="1:15" x14ac:dyDescent="0.2">
      <c r="A9" s="8"/>
      <c r="B9" s="8">
        <v>0.13</v>
      </c>
      <c r="C9" s="8">
        <v>0.16</v>
      </c>
      <c r="E9">
        <v>8.5</v>
      </c>
      <c r="F9">
        <v>60.69</v>
      </c>
      <c r="G9" s="2">
        <f>Calculations!$B$21/E9</f>
        <v>1.2840066595775802E-4</v>
      </c>
      <c r="H9" s="2">
        <f>Calculations!$B$21*4/F9</f>
        <v>7.1933146194822419E-5</v>
      </c>
      <c r="I9" s="2">
        <f>SQRT((9*Calculations!B$6*PI()*H9)/(2*(Calculations!$B$2-Calculations!$B$3)*Calculations!$B$4))</f>
        <v>1.3505205333167921E-6</v>
      </c>
      <c r="J9" s="2">
        <f>Calculations!B$6/(1+8.1*10^-8/I11)</f>
        <v>1.7535853706064555E-5</v>
      </c>
      <c r="K9" s="2">
        <f>6*PI()*I11*J9*(G11-H11)/(A5*1000/0.01905)</f>
        <v>1.5949428667884635E-19</v>
      </c>
      <c r="L9" s="2"/>
      <c r="M9" s="2"/>
      <c r="N9" s="2"/>
      <c r="O9" s="6">
        <f>K9/Calculations!$B$22</f>
        <v>-0.99548504632932633</v>
      </c>
    </row>
    <row r="10" spans="1:15" x14ac:dyDescent="0.2">
      <c r="A10" s="8"/>
      <c r="B10" s="8">
        <v>0.04</v>
      </c>
      <c r="C10" s="8">
        <v>0.05</v>
      </c>
      <c r="E10">
        <v>13.87</v>
      </c>
      <c r="F10">
        <v>46.75</v>
      </c>
      <c r="G10" s="2">
        <f>Calculations!$B$21/E10</f>
        <v>7.8688223550176149E-5</v>
      </c>
      <c r="H10" s="2">
        <f>Calculations!$B$21*4/F10</f>
        <v>9.3382302514733107E-5</v>
      </c>
      <c r="I10" s="2">
        <f>SQRT((9*Calculations!B$6*PI()*H10)/(2*(Calculations!$B$2-Calculations!$B$3)*Calculations!$B$4))</f>
        <v>1.5387531419892209E-6</v>
      </c>
    </row>
    <row r="11" spans="1:15" x14ac:dyDescent="0.2">
      <c r="A11" s="8"/>
      <c r="B11" s="8">
        <v>7.0000000000000007E-2</v>
      </c>
      <c r="C11" s="8">
        <v>0.09</v>
      </c>
      <c r="E11">
        <v>13.95</v>
      </c>
      <c r="F11">
        <v>46.13</v>
      </c>
      <c r="G11" s="2">
        <f>Calculations!$B$21/E11</f>
        <v>7.8236964920497726E-5</v>
      </c>
      <c r="H11" s="2">
        <f>Calculations!$B$21*4/F11</f>
        <v>9.4637386571943912E-5</v>
      </c>
      <c r="I11" s="2">
        <f>SQRT((9*Calculations!B$6*PI()*H11)/(2*(Calculations!$B$2-Calculations!$B$3)*Calculations!$B$4))</f>
        <v>1.5490592628876721E-6</v>
      </c>
    </row>
    <row r="12" spans="1:15" x14ac:dyDescent="0.2">
      <c r="A12" s="8"/>
      <c r="B12" s="8">
        <v>0.11</v>
      </c>
      <c r="C12" s="8">
        <v>0.18</v>
      </c>
    </row>
    <row r="13" spans="1:15" x14ac:dyDescent="0.2">
      <c r="A13" s="8"/>
      <c r="B13" s="8">
        <v>7.0000000000000007E-2</v>
      </c>
      <c r="C13" s="8">
        <v>0.17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15" sqref="H15"/>
    </sheetView>
  </sheetViews>
  <sheetFormatPr baseColWidth="10" defaultRowHeight="16" x14ac:dyDescent="0.2"/>
  <cols>
    <col min="1" max="1" width="11.5" bestFit="1" customWidth="1"/>
    <col min="9" max="9" width="5" bestFit="1" customWidth="1"/>
    <col min="13" max="13" width="13" bestFit="1" customWidth="1"/>
    <col min="14" max="14" width="13.5" bestFit="1" customWidth="1"/>
    <col min="15" max="15" width="15.83203125" bestFit="1" customWidth="1"/>
  </cols>
  <sheetData>
    <row r="1" spans="1:16" x14ac:dyDescent="0.2">
      <c r="A1" t="s">
        <v>24</v>
      </c>
      <c r="B1" t="s">
        <v>59</v>
      </c>
      <c r="C1" t="s">
        <v>82</v>
      </c>
      <c r="D1" t="s">
        <v>83</v>
      </c>
      <c r="E1" t="s">
        <v>84</v>
      </c>
      <c r="F1" t="s">
        <v>85</v>
      </c>
      <c r="H1" s="17" t="s">
        <v>24</v>
      </c>
      <c r="I1" s="17" t="s">
        <v>82</v>
      </c>
      <c r="J1" s="19" t="s">
        <v>83</v>
      </c>
      <c r="K1" s="19" t="s">
        <v>84</v>
      </c>
      <c r="L1" s="19" t="s">
        <v>85</v>
      </c>
      <c r="M1" s="19" t="s">
        <v>86</v>
      </c>
      <c r="N1" s="19" t="s">
        <v>87</v>
      </c>
      <c r="O1" s="19" t="s">
        <v>88</v>
      </c>
    </row>
    <row r="2" spans="1:16" x14ac:dyDescent="0.2">
      <c r="A2">
        <v>1</v>
      </c>
      <c r="B2">
        <v>1</v>
      </c>
      <c r="C2">
        <v>4</v>
      </c>
      <c r="D2">
        <v>84.5</v>
      </c>
      <c r="E2">
        <v>9.75</v>
      </c>
      <c r="F2">
        <v>7.9</v>
      </c>
      <c r="H2" s="17">
        <v>1</v>
      </c>
      <c r="I2" s="17">
        <v>4</v>
      </c>
      <c r="J2" s="27">
        <f>AVERAGE(D2:D3)</f>
        <v>83.335000000000008</v>
      </c>
      <c r="K2" s="27">
        <f t="shared" ref="K2:L2" si="0">AVERAGE(E2:E3)</f>
        <v>9.6950000000000003</v>
      </c>
      <c r="L2" s="27">
        <f t="shared" si="0"/>
        <v>7.87</v>
      </c>
      <c r="M2" s="27">
        <f>ABS(D2-D3)</f>
        <v>2.3299999999999983</v>
      </c>
      <c r="N2" s="27">
        <f t="shared" ref="N2:O2" si="1">ABS(E2-E3)</f>
        <v>0.10999999999999943</v>
      </c>
      <c r="O2" s="27">
        <f t="shared" si="1"/>
        <v>6.0000000000000497E-2</v>
      </c>
      <c r="P2" s="6"/>
    </row>
    <row r="3" spans="1:16" x14ac:dyDescent="0.2">
      <c r="A3">
        <v>1</v>
      </c>
      <c r="B3">
        <v>2</v>
      </c>
      <c r="C3">
        <v>4</v>
      </c>
      <c r="D3">
        <v>82.17</v>
      </c>
      <c r="E3">
        <v>9.64</v>
      </c>
      <c r="F3">
        <v>7.84</v>
      </c>
      <c r="H3">
        <v>2</v>
      </c>
      <c r="I3">
        <v>4</v>
      </c>
      <c r="J3" s="6">
        <f>AVERAGE(D4:D5)</f>
        <v>61.790000000000006</v>
      </c>
      <c r="K3" s="6">
        <f t="shared" ref="K3:L3" si="2">AVERAGE(E4:E5)</f>
        <v>11.170000000000002</v>
      </c>
      <c r="L3" s="6">
        <f t="shared" si="2"/>
        <v>8.18</v>
      </c>
      <c r="M3" s="6">
        <f>ABS(D4-D5)</f>
        <v>0.10000000000000142</v>
      </c>
      <c r="N3" s="6">
        <f t="shared" ref="N3:O3" si="3">ABS(E4-E5)</f>
        <v>8.0000000000000071E-2</v>
      </c>
      <c r="O3" s="6">
        <f t="shared" si="3"/>
        <v>0.32000000000000028</v>
      </c>
      <c r="P3" s="6"/>
    </row>
    <row r="4" spans="1:16" x14ac:dyDescent="0.2">
      <c r="A4" s="17">
        <v>2</v>
      </c>
      <c r="B4" s="17">
        <v>1</v>
      </c>
      <c r="C4" s="17">
        <v>4</v>
      </c>
      <c r="D4" s="17">
        <v>61.84</v>
      </c>
      <c r="E4" s="17">
        <v>11.13</v>
      </c>
      <c r="F4" s="17">
        <v>8.02</v>
      </c>
      <c r="H4" s="17">
        <v>3</v>
      </c>
      <c r="I4" s="17">
        <v>4</v>
      </c>
      <c r="J4" s="27">
        <f>AVERAGE(D6:D7)</f>
        <v>64.72</v>
      </c>
      <c r="K4" s="27">
        <f>AVERAGE(E6:E7)</f>
        <v>11.315</v>
      </c>
      <c r="L4" s="27">
        <f>AVERAGE(F6:F7)</f>
        <v>8.18</v>
      </c>
      <c r="M4" s="27">
        <f>ABS(D6-D7)</f>
        <v>5.3199999999999932</v>
      </c>
      <c r="N4" s="27">
        <f>ABS(E6-E7)</f>
        <v>7.0000000000000284E-2</v>
      </c>
      <c r="O4" s="27">
        <f>ABS(F6-F7)</f>
        <v>0.30000000000000071</v>
      </c>
      <c r="P4" s="6"/>
    </row>
    <row r="5" spans="1:16" x14ac:dyDescent="0.2">
      <c r="A5" s="17">
        <v>2</v>
      </c>
      <c r="B5" s="17">
        <v>2</v>
      </c>
      <c r="C5" s="17">
        <v>4</v>
      </c>
      <c r="D5" s="17">
        <v>61.74</v>
      </c>
      <c r="E5" s="17">
        <v>11.21</v>
      </c>
      <c r="F5" s="17">
        <v>8.34</v>
      </c>
      <c r="H5" s="17">
        <v>6</v>
      </c>
      <c r="I5" s="17">
        <v>4</v>
      </c>
      <c r="J5" s="27">
        <f>AVERAGE(D12:D13)</f>
        <v>116.96000000000001</v>
      </c>
      <c r="K5" s="27">
        <f>AVERAGE(E12:E13)</f>
        <v>20.825000000000003</v>
      </c>
      <c r="L5" s="27">
        <f>AVERAGE(F12:F13)</f>
        <v>14.15</v>
      </c>
      <c r="M5" s="27">
        <f>ABS(D12-D13)</f>
        <v>9.8800000000000097</v>
      </c>
      <c r="N5" s="27">
        <f>ABS(E12-E13)</f>
        <v>1.2300000000000004</v>
      </c>
      <c r="O5" s="27">
        <f>ABS(F12-F13)</f>
        <v>1.9800000000000004</v>
      </c>
      <c r="P5" s="6"/>
    </row>
    <row r="6" spans="1:16" x14ac:dyDescent="0.2">
      <c r="A6" s="17">
        <v>3</v>
      </c>
      <c r="B6" s="17">
        <v>1</v>
      </c>
      <c r="C6" s="17">
        <v>4</v>
      </c>
      <c r="D6" s="17">
        <v>67.38</v>
      </c>
      <c r="E6" s="17">
        <v>11.28</v>
      </c>
      <c r="F6" s="17">
        <v>8.33</v>
      </c>
      <c r="H6" s="25">
        <v>10</v>
      </c>
      <c r="I6" s="17">
        <v>1</v>
      </c>
      <c r="J6" s="27">
        <f>AVERAGE(D20:D21)</f>
        <v>19.565000000000001</v>
      </c>
      <c r="K6" s="27">
        <f>AVERAGE(E20:E21)</f>
        <v>29.475000000000001</v>
      </c>
      <c r="L6" s="27">
        <f>AVERAGE(F20:F21)</f>
        <v>6.7949999999999999</v>
      </c>
      <c r="M6" s="27">
        <f>ABS(D20-D21)</f>
        <v>4.3900000000000006</v>
      </c>
      <c r="N6" s="27">
        <f>ABS(E20-E21)</f>
        <v>1.4700000000000024</v>
      </c>
      <c r="O6" s="27">
        <f>ABS(F20-F21)</f>
        <v>0.47000000000000064</v>
      </c>
      <c r="P6" s="6"/>
    </row>
    <row r="7" spans="1:16" x14ac:dyDescent="0.2">
      <c r="A7" s="17">
        <v>3</v>
      </c>
      <c r="B7" s="17">
        <v>2</v>
      </c>
      <c r="C7" s="17">
        <v>4</v>
      </c>
      <c r="D7" s="17">
        <v>62.06</v>
      </c>
      <c r="E7" s="17">
        <v>11.35</v>
      </c>
      <c r="F7" s="17">
        <v>8.0299999999999994</v>
      </c>
      <c r="H7" s="25">
        <v>11</v>
      </c>
      <c r="I7" s="17">
        <v>1</v>
      </c>
      <c r="J7" s="27">
        <f>AVERAGE(D22:D23)</f>
        <v>27.189999999999998</v>
      </c>
      <c r="K7" s="27">
        <f>AVERAGE(E22:E23)</f>
        <v>39.03</v>
      </c>
      <c r="L7" s="27">
        <f>AVERAGE(F22:F23)</f>
        <v>9.4649999999999999</v>
      </c>
      <c r="M7" s="27">
        <f>ABS(D22-D23)</f>
        <v>0.48000000000000043</v>
      </c>
      <c r="N7" s="27">
        <f>ABS(E22-E23)</f>
        <v>1.5</v>
      </c>
      <c r="O7" s="27">
        <f>ABS(F22-F23)</f>
        <v>5.0000000000000711E-2</v>
      </c>
      <c r="P7" s="6"/>
    </row>
    <row r="8" spans="1:16" x14ac:dyDescent="0.2">
      <c r="A8" s="16">
        <v>4</v>
      </c>
      <c r="B8" s="16">
        <v>1</v>
      </c>
      <c r="C8" s="16">
        <v>4</v>
      </c>
      <c r="D8" s="16">
        <v>155.83000000000001</v>
      </c>
      <c r="E8" s="16">
        <v>26.88</v>
      </c>
      <c r="F8" s="16">
        <v>20.77</v>
      </c>
      <c r="H8" s="25">
        <v>14</v>
      </c>
      <c r="I8" s="17">
        <v>1</v>
      </c>
      <c r="J8" s="27">
        <f>AVERAGE(D28:D29)</f>
        <v>43</v>
      </c>
      <c r="K8" s="27">
        <f>AVERAGE(E28:E29)</f>
        <v>49.894999999999996</v>
      </c>
      <c r="L8" s="27">
        <f>AVERAGE(F28:F29)</f>
        <v>15.155000000000001</v>
      </c>
      <c r="M8" s="27">
        <f>ABS(D28-D29)</f>
        <v>1.0799999999999983</v>
      </c>
      <c r="N8" s="27">
        <f>ABS(E28-E29)</f>
        <v>0.6699999999999946</v>
      </c>
      <c r="O8" s="27">
        <f>ABS(F28-F29)</f>
        <v>0.29000000000000092</v>
      </c>
      <c r="P8" s="6"/>
    </row>
    <row r="9" spans="1:16" x14ac:dyDescent="0.2">
      <c r="A9" s="16">
        <v>4</v>
      </c>
      <c r="B9" s="16">
        <v>2</v>
      </c>
      <c r="C9" s="16">
        <v>4</v>
      </c>
      <c r="D9" s="16"/>
      <c r="E9" s="16">
        <v>27.34</v>
      </c>
      <c r="F9" s="16">
        <v>20.43</v>
      </c>
      <c r="H9" s="25">
        <v>15</v>
      </c>
      <c r="I9" s="17">
        <v>1</v>
      </c>
      <c r="J9" s="27">
        <f>AVERAGE(D30:D31)</f>
        <v>42.204999999999998</v>
      </c>
      <c r="K9" s="27">
        <f t="shared" ref="K9:L9" si="4">AVERAGE(E30:E31)</f>
        <v>18.225000000000001</v>
      </c>
      <c r="L9" s="27">
        <f t="shared" si="4"/>
        <v>9.15</v>
      </c>
      <c r="M9" s="6">
        <f>ABS(D30-D31)</f>
        <v>0.49000000000000199</v>
      </c>
      <c r="N9" s="6">
        <f t="shared" ref="N9:O9" si="5">ABS(E30-E31)</f>
        <v>0.80999999999999872</v>
      </c>
      <c r="O9" s="6">
        <f t="shared" si="5"/>
        <v>0.16000000000000014</v>
      </c>
      <c r="P9" s="6"/>
    </row>
    <row r="10" spans="1:16" x14ac:dyDescent="0.2">
      <c r="A10" s="16">
        <v>5</v>
      </c>
      <c r="B10" s="16">
        <v>1</v>
      </c>
      <c r="C10" s="16">
        <v>4</v>
      </c>
      <c r="D10" s="16">
        <v>112.15</v>
      </c>
      <c r="E10" s="16">
        <v>160.46</v>
      </c>
      <c r="F10" s="16">
        <v>37.200000000000003</v>
      </c>
      <c r="H10" s="25">
        <v>16</v>
      </c>
      <c r="I10" s="17">
        <v>1</v>
      </c>
      <c r="J10" s="27">
        <f>AVERAGE(D32:D33)</f>
        <v>38.195</v>
      </c>
      <c r="K10" s="27">
        <f t="shared" ref="K10:L10" si="6">AVERAGE(E32:E33)</f>
        <v>59.54</v>
      </c>
      <c r="L10" s="27">
        <f t="shared" si="6"/>
        <v>14.425000000000001</v>
      </c>
      <c r="M10" s="6">
        <f>ABS(D32-D33)</f>
        <v>1.9099999999999966</v>
      </c>
      <c r="N10" s="6">
        <f t="shared" ref="N10:O10" si="7">ABS(E32-E33)</f>
        <v>1.2800000000000011</v>
      </c>
      <c r="O10" s="6">
        <f t="shared" si="7"/>
        <v>0.36999999999999922</v>
      </c>
      <c r="P10" s="6"/>
    </row>
    <row r="11" spans="1:16" x14ac:dyDescent="0.2">
      <c r="A11" s="16">
        <v>5</v>
      </c>
      <c r="B11" s="16">
        <v>2</v>
      </c>
      <c r="C11" s="16">
        <v>4</v>
      </c>
      <c r="D11" s="16"/>
      <c r="E11" s="16"/>
      <c r="F11" s="16"/>
      <c r="H11" s="25">
        <v>17</v>
      </c>
      <c r="I11" s="17">
        <v>1</v>
      </c>
      <c r="J11" s="27">
        <f>AVERAGE(D34:D35)</f>
        <v>27.365000000000002</v>
      </c>
      <c r="K11" s="27">
        <f>AVERAGE(E34:E35)</f>
        <v>39.305</v>
      </c>
      <c r="L11" s="27">
        <f t="shared" ref="L11" si="8">AVERAGE(F34:F35)</f>
        <v>9.5150000000000006</v>
      </c>
      <c r="M11" s="6">
        <f>ABS(D34-D35)</f>
        <v>1.3300000000000018</v>
      </c>
      <c r="N11" s="6">
        <f t="shared" ref="N11:O11" si="9">ABS(E34-E35)</f>
        <v>0.45000000000000284</v>
      </c>
      <c r="O11" s="6">
        <f t="shared" si="9"/>
        <v>0.50999999999999979</v>
      </c>
      <c r="P11" s="6"/>
    </row>
    <row r="12" spans="1:16" x14ac:dyDescent="0.2">
      <c r="A12">
        <v>6</v>
      </c>
      <c r="B12">
        <v>1</v>
      </c>
      <c r="C12">
        <v>4</v>
      </c>
      <c r="D12">
        <v>121.9</v>
      </c>
      <c r="E12">
        <v>20.21</v>
      </c>
      <c r="F12">
        <v>13.16</v>
      </c>
      <c r="H12" s="25"/>
    </row>
    <row r="13" spans="1:16" x14ac:dyDescent="0.2">
      <c r="A13">
        <v>6</v>
      </c>
      <c r="B13">
        <v>2</v>
      </c>
      <c r="C13">
        <v>4</v>
      </c>
      <c r="D13">
        <v>112.02</v>
      </c>
      <c r="E13">
        <v>21.44</v>
      </c>
      <c r="F13">
        <v>15.14</v>
      </c>
      <c r="H13" s="25"/>
    </row>
    <row r="14" spans="1:16" x14ac:dyDescent="0.2">
      <c r="A14" s="16">
        <v>7</v>
      </c>
      <c r="B14" s="16">
        <v>1</v>
      </c>
      <c r="C14" s="16">
        <v>1</v>
      </c>
      <c r="D14" s="16">
        <v>39.58</v>
      </c>
      <c r="E14" s="16">
        <v>16.7</v>
      </c>
      <c r="F14" s="16"/>
      <c r="H14" s="24"/>
    </row>
    <row r="15" spans="1:16" x14ac:dyDescent="0.2">
      <c r="A15" s="16">
        <v>7</v>
      </c>
      <c r="B15" s="16">
        <v>2</v>
      </c>
      <c r="C15" s="16">
        <v>1</v>
      </c>
      <c r="D15" s="16"/>
      <c r="E15" s="16">
        <v>15.95</v>
      </c>
      <c r="F15" s="16">
        <v>9.1</v>
      </c>
      <c r="H15" s="16" t="s">
        <v>89</v>
      </c>
    </row>
    <row r="16" spans="1:16" x14ac:dyDescent="0.2">
      <c r="A16" s="16">
        <v>8</v>
      </c>
      <c r="B16" s="16">
        <v>1</v>
      </c>
      <c r="C16" s="16">
        <v>1</v>
      </c>
      <c r="D16" s="16">
        <v>49.61</v>
      </c>
      <c r="E16" s="16">
        <v>40.56</v>
      </c>
      <c r="F16" s="16"/>
      <c r="H16" s="24"/>
      <c r="L16" s="23"/>
    </row>
    <row r="17" spans="1:13" x14ac:dyDescent="0.2">
      <c r="A17" s="16">
        <v>8</v>
      </c>
      <c r="B17" s="16">
        <v>2</v>
      </c>
      <c r="C17" s="16">
        <v>1</v>
      </c>
      <c r="D17" s="16">
        <v>46.68</v>
      </c>
      <c r="E17" s="16">
        <v>44.79</v>
      </c>
      <c r="F17" s="16"/>
      <c r="L17" s="17"/>
      <c r="M17" s="17"/>
    </row>
    <row r="18" spans="1:13" x14ac:dyDescent="0.2">
      <c r="A18" s="16">
        <v>9</v>
      </c>
      <c r="B18" s="16">
        <v>1</v>
      </c>
      <c r="C18" s="16">
        <v>1</v>
      </c>
      <c r="D18" s="16">
        <v>39.56</v>
      </c>
      <c r="E18" s="16">
        <v>64.87</v>
      </c>
      <c r="F18" s="16">
        <v>14.8</v>
      </c>
      <c r="L18" s="17"/>
      <c r="M18" s="17"/>
    </row>
    <row r="19" spans="1:13" x14ac:dyDescent="0.2">
      <c r="A19" s="16">
        <v>9</v>
      </c>
      <c r="B19" s="16">
        <v>2</v>
      </c>
      <c r="C19" s="16">
        <v>1</v>
      </c>
      <c r="D19" s="16">
        <v>38.69</v>
      </c>
      <c r="E19" s="16">
        <v>55.47</v>
      </c>
      <c r="F19" s="16"/>
      <c r="L19" s="17"/>
      <c r="M19" s="17"/>
    </row>
    <row r="20" spans="1:13" x14ac:dyDescent="0.2">
      <c r="A20">
        <v>10</v>
      </c>
      <c r="B20" s="8">
        <v>1</v>
      </c>
      <c r="C20">
        <v>1</v>
      </c>
      <c r="D20">
        <v>21.76</v>
      </c>
      <c r="E20">
        <v>28.74</v>
      </c>
      <c r="F20">
        <v>6.56</v>
      </c>
      <c r="L20" s="17"/>
      <c r="M20" s="17"/>
    </row>
    <row r="21" spans="1:13" x14ac:dyDescent="0.2">
      <c r="A21">
        <v>10</v>
      </c>
      <c r="B21" s="8">
        <v>2</v>
      </c>
      <c r="C21">
        <v>1</v>
      </c>
      <c r="D21">
        <v>17.37</v>
      </c>
      <c r="E21">
        <v>30.21</v>
      </c>
      <c r="F21">
        <v>7.03</v>
      </c>
      <c r="L21" s="17"/>
      <c r="M21" s="17"/>
    </row>
    <row r="22" spans="1:13" x14ac:dyDescent="0.2">
      <c r="A22">
        <v>11</v>
      </c>
      <c r="B22" s="8">
        <v>1</v>
      </c>
      <c r="C22">
        <v>1</v>
      </c>
      <c r="D22">
        <v>26.95</v>
      </c>
      <c r="E22">
        <v>39.78</v>
      </c>
      <c r="F22">
        <v>9.49</v>
      </c>
    </row>
    <row r="23" spans="1:13" x14ac:dyDescent="0.2">
      <c r="A23">
        <v>11</v>
      </c>
      <c r="B23" s="8">
        <v>2</v>
      </c>
      <c r="C23">
        <v>1</v>
      </c>
      <c r="D23">
        <v>27.43</v>
      </c>
      <c r="E23">
        <v>38.28</v>
      </c>
      <c r="F23">
        <v>9.44</v>
      </c>
    </row>
    <row r="24" spans="1:13" x14ac:dyDescent="0.2">
      <c r="A24" s="16">
        <v>12</v>
      </c>
      <c r="B24" s="18">
        <v>1</v>
      </c>
      <c r="C24" s="16">
        <v>1</v>
      </c>
      <c r="D24" s="16">
        <v>42.84</v>
      </c>
      <c r="E24" s="16">
        <v>47.59</v>
      </c>
      <c r="F24" s="16">
        <v>4.55</v>
      </c>
    </row>
    <row r="25" spans="1:13" x14ac:dyDescent="0.2">
      <c r="A25" s="16">
        <v>12</v>
      </c>
      <c r="B25" s="18">
        <v>2</v>
      </c>
      <c r="C25" s="16">
        <v>1</v>
      </c>
      <c r="D25" s="16">
        <v>41.43</v>
      </c>
      <c r="E25" s="16">
        <v>50.64</v>
      </c>
      <c r="F25" s="16"/>
    </row>
    <row r="26" spans="1:13" x14ac:dyDescent="0.2">
      <c r="A26" s="16">
        <v>13</v>
      </c>
      <c r="B26" s="18">
        <v>1</v>
      </c>
      <c r="C26" s="16">
        <v>1</v>
      </c>
      <c r="D26" s="16">
        <v>22.69</v>
      </c>
      <c r="E26" s="16">
        <v>190.02</v>
      </c>
      <c r="F26" s="16"/>
    </row>
    <row r="27" spans="1:13" x14ac:dyDescent="0.2">
      <c r="A27" s="16">
        <v>13</v>
      </c>
      <c r="B27" s="18">
        <v>2</v>
      </c>
      <c r="C27" s="16">
        <v>1</v>
      </c>
      <c r="D27" s="16"/>
      <c r="E27" s="16"/>
      <c r="F27" s="16"/>
    </row>
    <row r="28" spans="1:13" x14ac:dyDescent="0.2">
      <c r="A28">
        <v>14</v>
      </c>
      <c r="B28" s="8">
        <v>1</v>
      </c>
      <c r="C28">
        <v>1</v>
      </c>
      <c r="D28">
        <v>42.46</v>
      </c>
      <c r="E28">
        <v>50.23</v>
      </c>
      <c r="F28">
        <v>15.3</v>
      </c>
    </row>
    <row r="29" spans="1:13" x14ac:dyDescent="0.2">
      <c r="A29" s="17">
        <v>14</v>
      </c>
      <c r="B29" s="26">
        <v>2</v>
      </c>
      <c r="C29" s="26">
        <v>1</v>
      </c>
      <c r="D29" s="26">
        <v>43.54</v>
      </c>
      <c r="E29" s="26">
        <v>49.56</v>
      </c>
      <c r="F29" s="26">
        <v>15.01</v>
      </c>
      <c r="G29" s="26"/>
      <c r="H29" s="26"/>
      <c r="I29" s="26"/>
      <c r="J29" s="26"/>
      <c r="K29" s="26"/>
    </row>
    <row r="30" spans="1:13" x14ac:dyDescent="0.2">
      <c r="A30" s="17">
        <v>15</v>
      </c>
      <c r="B30" s="26">
        <v>1</v>
      </c>
      <c r="C30" s="26">
        <v>1</v>
      </c>
      <c r="D30" s="26">
        <v>41.96</v>
      </c>
      <c r="E30" s="26">
        <v>18.63</v>
      </c>
      <c r="F30" s="26">
        <v>9.07</v>
      </c>
      <c r="G30" s="26"/>
      <c r="H30" s="26"/>
      <c r="I30" s="26"/>
      <c r="J30" s="26"/>
      <c r="K30" s="26"/>
    </row>
    <row r="31" spans="1:13" x14ac:dyDescent="0.2">
      <c r="A31" s="17">
        <v>15</v>
      </c>
      <c r="B31" s="26">
        <v>2</v>
      </c>
      <c r="C31" s="26">
        <v>1</v>
      </c>
      <c r="D31" s="26">
        <v>42.45</v>
      </c>
      <c r="E31" s="26">
        <v>17.82</v>
      </c>
      <c r="F31" s="26">
        <v>9.23</v>
      </c>
      <c r="G31" s="26"/>
      <c r="H31" s="26"/>
      <c r="I31" s="26"/>
      <c r="J31" s="26"/>
      <c r="K31" s="26"/>
    </row>
    <row r="32" spans="1:13" x14ac:dyDescent="0.2">
      <c r="A32" s="17">
        <v>16</v>
      </c>
      <c r="B32" s="26">
        <v>1</v>
      </c>
      <c r="C32" s="26">
        <v>1</v>
      </c>
      <c r="D32" s="26">
        <v>37.24</v>
      </c>
      <c r="E32" s="26">
        <v>60.18</v>
      </c>
      <c r="F32" s="26">
        <v>14.24</v>
      </c>
      <c r="G32" s="26"/>
      <c r="H32" s="26"/>
      <c r="I32" s="26"/>
      <c r="J32" s="26"/>
      <c r="K32" s="26"/>
    </row>
    <row r="33" spans="1:11" x14ac:dyDescent="0.2">
      <c r="A33" s="17">
        <v>16</v>
      </c>
      <c r="B33" s="26">
        <v>2</v>
      </c>
      <c r="C33" s="26">
        <v>1</v>
      </c>
      <c r="D33" s="26">
        <v>39.15</v>
      </c>
      <c r="E33" s="26">
        <v>58.9</v>
      </c>
      <c r="F33" s="26">
        <v>14.61</v>
      </c>
      <c r="G33" s="26"/>
      <c r="H33" s="26"/>
      <c r="I33" s="26"/>
      <c r="J33" s="26"/>
      <c r="K33" s="26"/>
    </row>
    <row r="34" spans="1:11" x14ac:dyDescent="0.2">
      <c r="A34" s="17">
        <v>17</v>
      </c>
      <c r="B34" s="26">
        <v>1</v>
      </c>
      <c r="C34" s="26">
        <v>1</v>
      </c>
      <c r="D34" s="26">
        <v>28.03</v>
      </c>
      <c r="E34" s="26">
        <v>39.53</v>
      </c>
      <c r="F34" s="26">
        <v>9.26</v>
      </c>
      <c r="G34" s="26"/>
      <c r="H34" s="26"/>
      <c r="I34" s="26"/>
      <c r="J34" s="26"/>
      <c r="K34" s="26"/>
    </row>
    <row r="35" spans="1:11" x14ac:dyDescent="0.2">
      <c r="A35" s="17">
        <v>17</v>
      </c>
      <c r="B35" s="26">
        <v>2</v>
      </c>
      <c r="C35" s="26">
        <v>1</v>
      </c>
      <c r="D35" s="30">
        <v>26.7</v>
      </c>
      <c r="E35" s="30">
        <v>39.08</v>
      </c>
      <c r="F35" s="30">
        <v>9.77</v>
      </c>
      <c r="G35" s="26"/>
      <c r="H35" s="26"/>
      <c r="I35" s="26"/>
      <c r="J35" s="26"/>
      <c r="K35" s="26"/>
    </row>
    <row r="36" spans="1:11" x14ac:dyDescent="0.2">
      <c r="A36" s="17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 x14ac:dyDescent="0.2">
      <c r="A37" s="17"/>
      <c r="B37" s="17"/>
      <c r="C37" s="17"/>
      <c r="D37" s="17"/>
      <c r="E37" s="17"/>
      <c r="F37" s="17"/>
      <c r="G37" s="17"/>
    </row>
    <row r="38" spans="1:11" x14ac:dyDescent="0.2">
      <c r="A38" s="17"/>
      <c r="B38" s="17"/>
      <c r="C38" s="17"/>
      <c r="D38" s="17"/>
      <c r="E38" s="17"/>
      <c r="F38" s="17"/>
      <c r="G3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Make Shit Pretty</vt:lpstr>
      <vt:lpstr>Look at if Lost</vt:lpstr>
      <vt:lpstr>Ass Data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2017-04-10T20:45:11Z</dcterms:created>
  <dcterms:modified xsi:type="dcterms:W3CDTF">2017-05-05T07:13:46Z</dcterms:modified>
</cp:coreProperties>
</file>